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E2CC91FF-3FAF-4AE2-878D-B3BD3CB9241D}" xr6:coauthVersionLast="44" xr6:coauthVersionMax="44" xr10:uidLastSave="{00000000-0000-0000-0000-000000000000}"/>
  <workbookProtection workbookAlgorithmName="SHA-512" workbookHashValue="8bZS611WM30U3mk/SBvswSuOSNOq90j7mp+GPFBAp3RdvgWqbDiVMCty6JVXsB1Snt2zmVW2XbQzyX+dXJ/EoA==" workbookSaltValue="s3nc6u3JbLdwQOLNbv+xkg==" workbookSpinCount="100000" lockStructure="1"/>
  <bookViews>
    <workbookView xWindow="765" yWindow="615" windowWidth="25620"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L1877" i="94" l="1"/>
  <c r="P1221" i="94"/>
  <c r="J833" i="94"/>
  <c r="K833" i="94"/>
  <c r="L833" i="94"/>
  <c r="M833" i="94"/>
  <c r="N833" i="94"/>
  <c r="O833" i="94"/>
  <c r="P833" i="94"/>
  <c r="Q833" i="94"/>
  <c r="J834" i="94"/>
  <c r="K834" i="94"/>
  <c r="L834" i="94"/>
  <c r="M834" i="94"/>
  <c r="N834" i="94"/>
  <c r="O834" i="94"/>
  <c r="P834" i="94"/>
  <c r="Q834" i="94"/>
  <c r="J835" i="94"/>
  <c r="K835" i="94"/>
  <c r="L835" i="94"/>
  <c r="M835" i="94"/>
  <c r="N835" i="94"/>
  <c r="O835" i="94"/>
  <c r="P835" i="94"/>
  <c r="Q835" i="94"/>
  <c r="J836" i="94"/>
  <c r="K836" i="94"/>
  <c r="L836" i="94"/>
  <c r="M836" i="94"/>
  <c r="N836" i="94"/>
  <c r="O836" i="94"/>
  <c r="P836" i="94"/>
  <c r="Q836" i="94"/>
  <c r="J837" i="94"/>
  <c r="K837" i="94"/>
  <c r="L837" i="94"/>
  <c r="M837" i="94"/>
  <c r="N837" i="94"/>
  <c r="O837" i="94"/>
  <c r="P837" i="94"/>
  <c r="Q837" i="94"/>
  <c r="J838" i="94"/>
  <c r="K838" i="94"/>
  <c r="L838" i="94"/>
  <c r="M838" i="94"/>
  <c r="N838" i="94"/>
  <c r="O838" i="94"/>
  <c r="P838" i="94"/>
  <c r="Q838" i="94"/>
  <c r="J839" i="94"/>
  <c r="K839" i="94"/>
  <c r="L839" i="94"/>
  <c r="M839" i="94"/>
  <c r="N839" i="94"/>
  <c r="O839" i="94"/>
  <c r="P839" i="94"/>
  <c r="Q839" i="94"/>
  <c r="I834" i="94"/>
  <c r="I835" i="94"/>
  <c r="I836" i="94"/>
  <c r="I837" i="94"/>
  <c r="I838" i="94"/>
  <c r="I839" i="94"/>
  <c r="I833" i="94"/>
  <c r="K921" i="94"/>
  <c r="L921" i="94"/>
  <c r="M921" i="94"/>
  <c r="N921" i="94"/>
  <c r="O921"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S55" i="78" l="1"/>
  <c r="S60" i="78"/>
  <c r="S100" i="78"/>
  <c r="J72" i="78" l="1"/>
  <c r="J61" i="78" l="1"/>
  <c r="F216" i="75"/>
  <c r="F215" i="75"/>
  <c r="J402" i="72" l="1"/>
  <c r="C63" i="74"/>
  <c r="D63" i="74"/>
  <c r="E63" i="74"/>
  <c r="F63" i="74"/>
  <c r="B63" i="74"/>
  <c r="C31" i="74"/>
  <c r="D31" i="74"/>
  <c r="E31" i="74"/>
  <c r="F31" i="74"/>
  <c r="G31" i="74"/>
  <c r="H31" i="74"/>
  <c r="I31" i="74"/>
  <c r="J31" i="74"/>
  <c r="K31" i="74"/>
  <c r="B31" i="74"/>
  <c r="J124" i="78"/>
  <c r="J117" i="78"/>
  <c r="J80" i="78"/>
  <c r="J81" i="78"/>
  <c r="J82" i="78"/>
  <c r="J73" i="78" l="1"/>
  <c r="J59" i="78"/>
  <c r="J54" i="78"/>
  <c r="J29" i="78"/>
  <c r="J25" i="78"/>
  <c r="I32" i="75"/>
  <c r="S90" i="78" l="1"/>
  <c r="S535" i="94" s="1"/>
  <c r="O185" i="66"/>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Q1966" i="94"/>
  <c r="O1965" i="94"/>
  <c r="Q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L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c r="O1743" i="94"/>
  <c r="Q1743" i="94"/>
  <c r="O1742" i="94"/>
  <c r="O1741" i="94"/>
  <c r="O1737" i="94"/>
  <c r="Q1737" i="94"/>
  <c r="O1736" i="94"/>
  <c r="Q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c r="O1711" i="94"/>
  <c r="O1701" i="94"/>
  <c r="O1705" i="94"/>
  <c r="O1700" i="94"/>
  <c r="Q1700" i="94" s="1"/>
  <c r="H1704" i="94"/>
  <c r="O1675" i="94"/>
  <c r="O1674" i="94"/>
  <c r="O1678" i="94"/>
  <c r="O1673" i="94"/>
  <c r="O1656" i="94"/>
  <c r="P2097" i="94"/>
  <c r="M2096" i="94"/>
  <c r="P2088" i="94"/>
  <c r="L2070" i="94"/>
  <c r="R2068" i="94"/>
  <c r="P2068" i="94"/>
  <c r="M2052" i="94"/>
  <c r="S2034" i="94"/>
  <c r="R2034" i="94"/>
  <c r="P2032" i="94"/>
  <c r="J2032" i="94"/>
  <c r="P2017" i="94"/>
  <c r="L2007" i="94"/>
  <c r="I2007" i="94"/>
  <c r="G1999" i="94"/>
  <c r="G1991" i="94"/>
  <c r="P1990" i="94"/>
  <c r="P2098" i="94" s="1"/>
  <c r="P1982" i="94"/>
  <c r="P1977" i="94" s="1"/>
  <c r="P1978" i="94"/>
  <c r="P1984" i="94"/>
  <c r="Q1970" i="94"/>
  <c r="Q1969" i="94"/>
  <c r="L1955" i="94"/>
  <c r="J1955" i="94"/>
  <c r="L1954" i="94"/>
  <c r="U1948" i="94"/>
  <c r="M1947"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P1819" i="94"/>
  <c r="P1801" i="94" s="1"/>
  <c r="K1826" i="94"/>
  <c r="T1820" i="94"/>
  <c r="F1808" i="94"/>
  <c r="Q1772" i="94"/>
  <c r="Q1763" i="94"/>
  <c r="Q1757" i="94"/>
  <c r="L1757" i="94"/>
  <c r="J1757" i="94"/>
  <c r="F1738" i="94"/>
  <c r="Q1735" i="94"/>
  <c r="J1720" i="94"/>
  <c r="P1709" i="94"/>
  <c r="M1934" i="94"/>
  <c r="J1704" i="94"/>
  <c r="K1700" i="94"/>
  <c r="P1699" i="94"/>
  <c r="K1697" i="94"/>
  <c r="O1681" i="94"/>
  <c r="P1678" i="94" s="1"/>
  <c r="P1670" i="94" s="1"/>
  <c r="J1681" i="94"/>
  <c r="P1674" i="94" s="1"/>
  <c r="F1681"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N1548" i="94"/>
  <c r="Q2039" i="94"/>
  <c r="L1965" i="94"/>
  <c r="L1814" i="94"/>
  <c r="M1814" i="94"/>
  <c r="T1814" i="94" s="1"/>
  <c r="U1814" i="94" s="1"/>
  <c r="L1815" i="94"/>
  <c r="M1815" i="94" s="1"/>
  <c r="T1815" i="94" s="1"/>
  <c r="F1325" i="94"/>
  <c r="H1325" i="94"/>
  <c r="I1325" i="94"/>
  <c r="L1816" i="94"/>
  <c r="M1816" i="94" s="1"/>
  <c r="T1816" i="94"/>
  <c r="L1966" i="94"/>
  <c r="Q1929" i="94"/>
  <c r="H1826" i="94"/>
  <c r="H1736" i="94"/>
  <c r="K1325" i="94"/>
  <c r="L2059"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c r="A1137" i="94" s="1"/>
  <c r="A1074" i="94"/>
  <c r="A1106" i="94" s="1"/>
  <c r="A1136" i="94" s="1"/>
  <c r="A1073" i="94"/>
  <c r="A1105" i="94"/>
  <c r="A1135" i="94" s="1"/>
  <c r="A1072" i="94"/>
  <c r="A1104" i="94" s="1"/>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MS775" i="94" s="1"/>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GO794" i="94" s="1"/>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Y783" i="94" s="1"/>
  <c r="D783" i="94"/>
  <c r="E783" i="94"/>
  <c r="F783" i="94"/>
  <c r="G783" i="94"/>
  <c r="H783" i="94"/>
  <c r="J783" i="94"/>
  <c r="C784" i="94"/>
  <c r="D784" i="94"/>
  <c r="A784" i="94" s="1"/>
  <c r="E784" i="94"/>
  <c r="F784" i="94"/>
  <c r="G784" i="94"/>
  <c r="H784" i="94"/>
  <c r="J784" i="94"/>
  <c r="C785" i="94"/>
  <c r="IB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IB795" i="94" s="1"/>
  <c r="D795" i="94"/>
  <c r="E795" i="94"/>
  <c r="F795" i="94"/>
  <c r="G795" i="94"/>
  <c r="H795" i="94"/>
  <c r="J795" i="94"/>
  <c r="C796" i="94"/>
  <c r="D796" i="94"/>
  <c r="E796" i="94"/>
  <c r="MJ796" i="94" s="1"/>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B780" i="94"/>
  <c r="B781" i="94"/>
  <c r="B782" i="94"/>
  <c r="LH782" i="94" s="1"/>
  <c r="B783" i="94"/>
  <c r="B784" i="94"/>
  <c r="B785" i="94"/>
  <c r="B786" i="94"/>
  <c r="B787" i="94"/>
  <c r="B788" i="94"/>
  <c r="B789" i="94"/>
  <c r="B790" i="94"/>
  <c r="B791" i="94"/>
  <c r="B792" i="94"/>
  <c r="B793" i="94"/>
  <c r="LM793" i="94"/>
  <c r="B794" i="94"/>
  <c r="B795" i="94"/>
  <c r="B796" i="94"/>
  <c r="B797" i="94"/>
  <c r="B798" i="94"/>
  <c r="B799" i="94"/>
  <c r="B800" i="94"/>
  <c r="B801" i="94"/>
  <c r="BJ801" i="94"/>
  <c r="B802" i="94"/>
  <c r="B803" i="94"/>
  <c r="B804" i="94"/>
  <c r="B805" i="94"/>
  <c r="B806" i="94"/>
  <c r="B807" i="94"/>
  <c r="B808" i="94"/>
  <c r="B809" i="94"/>
  <c r="CC809" i="94" s="1"/>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A797" i="94"/>
  <c r="HZ797" i="94"/>
  <c r="HY797" i="94"/>
  <c r="GA797" i="94"/>
  <c r="DH795" i="94"/>
  <c r="GD794" i="94"/>
  <c r="FQ794" i="94"/>
  <c r="FM794" i="94"/>
  <c r="FA794" i="94"/>
  <c r="EW794" i="94"/>
  <c r="EG794" i="94"/>
  <c r="EC794" i="94"/>
  <c r="BG794" i="94"/>
  <c r="BC794" i="94"/>
  <c r="AY794" i="94"/>
  <c r="AU794" i="94"/>
  <c r="AQ794" i="94"/>
  <c r="AM794" i="94"/>
  <c r="AI794" i="94"/>
  <c r="AE794" i="94"/>
  <c r="AA794" i="94"/>
  <c r="W794" i="94"/>
  <c r="IC793" i="94"/>
  <c r="IB793" i="94"/>
  <c r="HY793" i="94"/>
  <c r="GE793" i="94"/>
  <c r="GC793" i="94"/>
  <c r="GA793" i="94"/>
  <c r="FC793" i="94"/>
  <c r="EG793" i="94"/>
  <c r="EE793" i="94"/>
  <c r="ED793" i="94"/>
  <c r="DQ793" i="94"/>
  <c r="BR793" i="94"/>
  <c r="AQ793" i="94"/>
  <c r="GE792" i="94"/>
  <c r="GD792" i="94"/>
  <c r="GC792" i="94"/>
  <c r="GB792" i="94"/>
  <c r="GA792" i="94"/>
  <c r="FZ792" i="94"/>
  <c r="FY792" i="94"/>
  <c r="FX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N787" i="94"/>
  <c r="LM787" i="94"/>
  <c r="LL787" i="94"/>
  <c r="LJ787" i="94"/>
  <c r="LI787" i="94"/>
  <c r="LH787" i="94"/>
  <c r="LF787" i="94"/>
  <c r="JE787" i="94"/>
  <c r="HZ787" i="94"/>
  <c r="GD787" i="94"/>
  <c r="GC787" i="94"/>
  <c r="GB787" i="94"/>
  <c r="FZ787" i="94"/>
  <c r="FY787" i="94"/>
  <c r="FX787" i="94"/>
  <c r="FV787" i="94"/>
  <c r="FU787" i="94"/>
  <c r="FT787" i="94"/>
  <c r="FR787" i="94"/>
  <c r="FQ787" i="94"/>
  <c r="FP787" i="94"/>
  <c r="FN787" i="94"/>
  <c r="FM787" i="94"/>
  <c r="FL787" i="94"/>
  <c r="FJ787" i="94"/>
  <c r="FI787" i="94"/>
  <c r="FH787" i="94"/>
  <c r="FF787" i="94"/>
  <c r="FE787" i="94"/>
  <c r="FD787" i="94"/>
  <c r="FB787" i="94"/>
  <c r="FA787" i="94"/>
  <c r="EZ787" i="94"/>
  <c r="EX787" i="94"/>
  <c r="EW787" i="94"/>
  <c r="EV787" i="94"/>
  <c r="ET787" i="94"/>
  <c r="ES787" i="94"/>
  <c r="ER787" i="94"/>
  <c r="EP787" i="94"/>
  <c r="EO787" i="94"/>
  <c r="EN787" i="94"/>
  <c r="EL787" i="94"/>
  <c r="EK787" i="94"/>
  <c r="EJ787" i="94"/>
  <c r="EH787" i="94"/>
  <c r="EG787" i="94"/>
  <c r="EF787" i="94"/>
  <c r="ED787" i="94"/>
  <c r="EC787" i="94"/>
  <c r="EB787" i="94"/>
  <c r="DZ787" i="94"/>
  <c r="DY787" i="94"/>
  <c r="DX787" i="94"/>
  <c r="DV787" i="94"/>
  <c r="DU787" i="94"/>
  <c r="DT787" i="94"/>
  <c r="DR787" i="94"/>
  <c r="DQ787" i="94"/>
  <c r="DP787" i="94"/>
  <c r="DN787" i="94"/>
  <c r="DM787" i="94"/>
  <c r="DL787" i="94"/>
  <c r="DJ787" i="94"/>
  <c r="DI787" i="94"/>
  <c r="DH787" i="94"/>
  <c r="DF787" i="94"/>
  <c r="DE787" i="94"/>
  <c r="DD787" i="94"/>
  <c r="DB787" i="94"/>
  <c r="DA787" i="94"/>
  <c r="CZ787" i="94"/>
  <c r="CX787" i="94"/>
  <c r="CW787" i="94"/>
  <c r="CV787" i="94"/>
  <c r="CT787" i="94"/>
  <c r="CS787" i="94"/>
  <c r="CR787" i="94"/>
  <c r="CP787" i="94"/>
  <c r="CO787" i="94"/>
  <c r="CN787" i="94"/>
  <c r="CL787" i="94"/>
  <c r="CK787" i="94"/>
  <c r="CJ787" i="94"/>
  <c r="CH787" i="94"/>
  <c r="CG787" i="94"/>
  <c r="CF787" i="94"/>
  <c r="CD787" i="94"/>
  <c r="CC787" i="94"/>
  <c r="CB787" i="94"/>
  <c r="BZ787" i="94"/>
  <c r="BY787" i="94"/>
  <c r="BX787" i="94"/>
  <c r="BV787" i="94"/>
  <c r="BU787" i="94"/>
  <c r="BT787" i="94"/>
  <c r="BR787" i="94"/>
  <c r="BQ787" i="94"/>
  <c r="BP787" i="94"/>
  <c r="BN787" i="94"/>
  <c r="BM787" i="94"/>
  <c r="BL787" i="94"/>
  <c r="BJ787" i="94"/>
  <c r="BI787" i="94"/>
  <c r="BH787" i="94"/>
  <c r="BF787" i="94"/>
  <c r="BE787" i="94"/>
  <c r="BD787" i="94"/>
  <c r="BB787" i="94"/>
  <c r="BA787" i="94"/>
  <c r="AZ787" i="94"/>
  <c r="AX787" i="94"/>
  <c r="AW787" i="94"/>
  <c r="AV787" i="94"/>
  <c r="AT787" i="94"/>
  <c r="AS787" i="94"/>
  <c r="AR787" i="94"/>
  <c r="AP787" i="94"/>
  <c r="AO787" i="94"/>
  <c r="AN787" i="94"/>
  <c r="AL787" i="94"/>
  <c r="AK787" i="94"/>
  <c r="AJ787" i="94"/>
  <c r="AH787" i="94"/>
  <c r="AG787" i="94"/>
  <c r="AF787" i="94"/>
  <c r="AD787" i="94"/>
  <c r="AC787" i="94"/>
  <c r="AB787" i="94"/>
  <c r="Z787" i="94"/>
  <c r="Y787" i="94"/>
  <c r="X787" i="94"/>
  <c r="MD786" i="94"/>
  <c r="MC786" i="94"/>
  <c r="MB786" i="94"/>
  <c r="LZ786" i="94"/>
  <c r="LY786" i="94"/>
  <c r="LX786" i="94"/>
  <c r="LV786" i="94"/>
  <c r="LU786" i="94"/>
  <c r="LT786" i="94"/>
  <c r="LR786" i="94"/>
  <c r="LQ786" i="94"/>
  <c r="LP786" i="94"/>
  <c r="LN786" i="94"/>
  <c r="LM786" i="94"/>
  <c r="LL786" i="94"/>
  <c r="LJ786" i="94"/>
  <c r="LI786" i="94"/>
  <c r="LH786" i="94"/>
  <c r="LF786" i="94"/>
  <c r="HX786" i="94"/>
  <c r="HW786" i="94"/>
  <c r="HU786" i="94"/>
  <c r="HT786" i="94"/>
  <c r="HS786" i="94"/>
  <c r="HQ786" i="94"/>
  <c r="HP786" i="94"/>
  <c r="HO786" i="94"/>
  <c r="HM786" i="94"/>
  <c r="HL786" i="94"/>
  <c r="HK786" i="94"/>
  <c r="HI786" i="94"/>
  <c r="HH786" i="94"/>
  <c r="HG786" i="94"/>
  <c r="HE786" i="94"/>
  <c r="HD786" i="94"/>
  <c r="HC786" i="94"/>
  <c r="HA786" i="94"/>
  <c r="GZ786" i="94"/>
  <c r="GY786" i="94"/>
  <c r="GW786" i="94"/>
  <c r="GV786" i="94"/>
  <c r="GU786" i="94"/>
  <c r="GS786" i="94"/>
  <c r="GR786" i="94"/>
  <c r="GQ786" i="94"/>
  <c r="GO786" i="94"/>
  <c r="GN786" i="94"/>
  <c r="GM786" i="94"/>
  <c r="GK786" i="94"/>
  <c r="GJ786" i="94"/>
  <c r="GI786" i="94"/>
  <c r="GG786" i="94"/>
  <c r="GF786" i="94"/>
  <c r="GE786" i="94"/>
  <c r="GC786" i="94"/>
  <c r="GB786" i="94"/>
  <c r="GA786" i="94"/>
  <c r="FT786" i="94"/>
  <c r="FS786" i="94"/>
  <c r="FR786" i="94"/>
  <c r="FP786" i="94"/>
  <c r="FO786" i="94"/>
  <c r="FN786" i="94"/>
  <c r="FL786" i="94"/>
  <c r="FK786" i="94"/>
  <c r="FJ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IC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E784" i="94"/>
  <c r="GD784" i="94"/>
  <c r="GC784" i="94"/>
  <c r="GB784" i="94"/>
  <c r="GA784" i="94"/>
  <c r="FZ784" i="94"/>
  <c r="FY784" i="94"/>
  <c r="FX784" i="94"/>
  <c r="FW784" i="94"/>
  <c r="FV784" i="94"/>
  <c r="EG784" i="94"/>
  <c r="EF784" i="94"/>
  <c r="EE784" i="94"/>
  <c r="ED784" i="94"/>
  <c r="EC784" i="94"/>
  <c r="MA782" i="94"/>
  <c r="LQ782" i="94"/>
  <c r="LG782" i="94"/>
  <c r="HS782" i="94"/>
  <c r="HJ782" i="94"/>
  <c r="HA782" i="94"/>
  <c r="GR782" i="94"/>
  <c r="GI782" i="94"/>
  <c r="FZ782" i="94"/>
  <c r="FP782" i="94"/>
  <c r="FG782" i="94"/>
  <c r="EX782" i="94"/>
  <c r="EO782" i="94"/>
  <c r="EF782" i="94"/>
  <c r="DW782" i="94"/>
  <c r="DN782" i="94"/>
  <c r="DD782" i="94"/>
  <c r="CU782" i="94"/>
  <c r="CL782" i="94"/>
  <c r="CD782" i="94"/>
  <c r="BV782" i="94"/>
  <c r="BN782" i="94"/>
  <c r="BF782" i="94"/>
  <c r="AX782" i="94"/>
  <c r="AP782" i="94"/>
  <c r="AH782" i="94"/>
  <c r="Z782" i="94"/>
  <c r="KP781" i="94"/>
  <c r="JJ781" i="94"/>
  <c r="ID781" i="94"/>
  <c r="HZ781" i="94"/>
  <c r="GE781" i="94"/>
  <c r="GD781" i="94"/>
  <c r="GC781" i="94"/>
  <c r="GB781" i="94"/>
  <c r="GA781" i="94"/>
  <c r="EG781" i="94"/>
  <c r="EF781" i="94"/>
  <c r="EE781" i="94"/>
  <c r="ED781" i="94"/>
  <c r="EC781" i="94"/>
  <c r="IB780" i="94"/>
  <c r="MR779" i="94"/>
  <c r="LN779" i="94"/>
  <c r="LJ779" i="94"/>
  <c r="LF779" i="94"/>
  <c r="LC779" i="94"/>
  <c r="KU779" i="94"/>
  <c r="KM779" i="94"/>
  <c r="KE779" i="94"/>
  <c r="JW779" i="94"/>
  <c r="JO779" i="94"/>
  <c r="JG779" i="94"/>
  <c r="IY779" i="94"/>
  <c r="IQ779" i="94"/>
  <c r="II779" i="94"/>
  <c r="IC779" i="94"/>
  <c r="IB779" i="94"/>
  <c r="IA779" i="94"/>
  <c r="HZ779" i="94"/>
  <c r="HY779" i="94"/>
  <c r="GE779" i="94"/>
  <c r="GA779" i="94"/>
  <c r="FW779" i="94"/>
  <c r="FS779" i="94"/>
  <c r="FO779" i="94"/>
  <c r="FK779" i="94"/>
  <c r="FG779" i="94"/>
  <c r="FC779" i="94"/>
  <c r="EY779" i="94"/>
  <c r="EU779" i="94"/>
  <c r="EQ779" i="94"/>
  <c r="EM779" i="94"/>
  <c r="EI779" i="94"/>
  <c r="EE779" i="94"/>
  <c r="EA779" i="94"/>
  <c r="DW779" i="94"/>
  <c r="DS779" i="94"/>
  <c r="DO779" i="94"/>
  <c r="DK779" i="94"/>
  <c r="DG779" i="94"/>
  <c r="DC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L749" i="94" s="1"/>
  <c r="K741" i="94"/>
  <c r="J741" i="94"/>
  <c r="I741" i="94"/>
  <c r="M740" i="94"/>
  <c r="M749" i="94" s="1"/>
  <c r="L740" i="94"/>
  <c r="K740" i="94"/>
  <c r="J740" i="94"/>
  <c r="I740" i="94"/>
  <c r="I749" i="94" s="1"/>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V550" i="94" s="1"/>
  <c r="W531" i="94"/>
  <c r="V531" i="94"/>
  <c r="W530" i="94"/>
  <c r="V530" i="94"/>
  <c r="V536" i="94" s="1"/>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W470" i="94"/>
  <c r="V470" i="94"/>
  <c r="W465" i="94"/>
  <c r="V465" i="94"/>
  <c r="W464" i="94"/>
  <c r="V464" i="94"/>
  <c r="V468" i="94" s="1"/>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J575" i="94" s="1"/>
  <c r="M574" i="94"/>
  <c r="M573" i="94"/>
  <c r="M575" i="94" s="1"/>
  <c r="P574" i="94"/>
  <c r="P573" i="94"/>
  <c r="P570" i="94"/>
  <c r="P569" i="94"/>
  <c r="P571" i="94"/>
  <c r="M570" i="94"/>
  <c r="M571" i="94" s="1"/>
  <c r="M569" i="94"/>
  <c r="J570" i="94"/>
  <c r="J569" i="94"/>
  <c r="J571" i="94" s="1"/>
  <c r="S570" i="94"/>
  <c r="S569" i="94"/>
  <c r="S568" i="94"/>
  <c r="S565" i="94"/>
  <c r="G570" i="94"/>
  <c r="G569" i="94"/>
  <c r="G568" i="94"/>
  <c r="G565" i="94"/>
  <c r="S562" i="94"/>
  <c r="S561" i="94"/>
  <c r="S560" i="94"/>
  <c r="S563" i="94" s="1"/>
  <c r="P562" i="94"/>
  <c r="P563" i="94" s="1"/>
  <c r="P561" i="94"/>
  <c r="P560" i="94"/>
  <c r="M562" i="94"/>
  <c r="M561" i="94"/>
  <c r="M560" i="94"/>
  <c r="J562" i="94"/>
  <c r="J561" i="94"/>
  <c r="J560" i="94"/>
  <c r="G562" i="94"/>
  <c r="G561" i="94"/>
  <c r="G560" i="94"/>
  <c r="G563" i="94" s="1"/>
  <c r="S555" i="94"/>
  <c r="S554" i="94"/>
  <c r="S553" i="94"/>
  <c r="S552" i="94"/>
  <c r="S556" i="94" s="1"/>
  <c r="G553" i="94"/>
  <c r="G554" i="94"/>
  <c r="G555" i="94"/>
  <c r="S549" i="94"/>
  <c r="S548" i="94"/>
  <c r="S547" i="94"/>
  <c r="S546" i="94"/>
  <c r="S543" i="94"/>
  <c r="S542" i="94"/>
  <c r="S541" i="94"/>
  <c r="G542" i="94"/>
  <c r="G543" i="94"/>
  <c r="G546" i="94"/>
  <c r="G547" i="94"/>
  <c r="G548" i="94"/>
  <c r="G549" i="94"/>
  <c r="S534" i="94"/>
  <c r="S533" i="94"/>
  <c r="S532" i="94"/>
  <c r="S531" i="94"/>
  <c r="S530" i="94"/>
  <c r="G531" i="94"/>
  <c r="G532" i="94"/>
  <c r="G533" i="94"/>
  <c r="G534" i="94"/>
  <c r="G535" i="94"/>
  <c r="G552" i="94"/>
  <c r="G556" i="94" s="1"/>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22" i="94" s="1"/>
  <c r="S512" i="94"/>
  <c r="S511" i="94"/>
  <c r="P521" i="94"/>
  <c r="P520" i="94"/>
  <c r="P519" i="94"/>
  <c r="P518" i="94"/>
  <c r="P517" i="94"/>
  <c r="P516" i="94"/>
  <c r="P515" i="94"/>
  <c r="P514" i="94"/>
  <c r="P513" i="94"/>
  <c r="P512" i="94"/>
  <c r="P522" i="94" s="1"/>
  <c r="P511" i="94"/>
  <c r="M521" i="94"/>
  <c r="M520" i="94"/>
  <c r="M519" i="94"/>
  <c r="M518" i="94"/>
  <c r="M517" i="94"/>
  <c r="M516" i="94"/>
  <c r="M515" i="94"/>
  <c r="M514" i="94"/>
  <c r="M513" i="94"/>
  <c r="M512" i="94"/>
  <c r="M511" i="94"/>
  <c r="M522" i="94" s="1"/>
  <c r="J521" i="94"/>
  <c r="J520" i="94"/>
  <c r="J519" i="94"/>
  <c r="J518" i="94"/>
  <c r="J517" i="94"/>
  <c r="J516" i="94"/>
  <c r="J515" i="94"/>
  <c r="J514" i="94"/>
  <c r="J522" i="94" s="1"/>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U507" i="94" s="1"/>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A508" i="94" s="1"/>
  <c r="C507" i="94"/>
  <c r="C486" i="94"/>
  <c r="S492" i="94"/>
  <c r="P492" i="94"/>
  <c r="M492" i="94"/>
  <c r="S486" i="94"/>
  <c r="P486" i="94"/>
  <c r="M486" i="94"/>
  <c r="J486" i="94"/>
  <c r="G486" i="94"/>
  <c r="C460" i="94"/>
  <c r="A460" i="94" s="1"/>
  <c r="C461" i="94"/>
  <c r="C459" i="94"/>
  <c r="S482" i="94"/>
  <c r="S481" i="94"/>
  <c r="S480" i="94"/>
  <c r="P482" i="94"/>
  <c r="P481" i="94"/>
  <c r="P483" i="94" s="1"/>
  <c r="P480" i="94"/>
  <c r="M482" i="94"/>
  <c r="M481" i="94"/>
  <c r="M480" i="94"/>
  <c r="M483" i="94" s="1"/>
  <c r="S471" i="94"/>
  <c r="S470" i="94"/>
  <c r="J471" i="94"/>
  <c r="J470" i="94"/>
  <c r="G471" i="94"/>
  <c r="G470" i="94"/>
  <c r="G472" i="94" s="1"/>
  <c r="S477" i="94"/>
  <c r="S476" i="94"/>
  <c r="S475" i="94"/>
  <c r="S474" i="94"/>
  <c r="P477" i="94"/>
  <c r="P476" i="94"/>
  <c r="P475" i="94"/>
  <c r="P474" i="94"/>
  <c r="P478" i="94" s="1"/>
  <c r="M477" i="94"/>
  <c r="M476" i="94"/>
  <c r="M475" i="94"/>
  <c r="M474" i="94"/>
  <c r="J477" i="94"/>
  <c r="J476" i="94"/>
  <c r="J475" i="94"/>
  <c r="J474" i="94"/>
  <c r="J478" i="94" s="1"/>
  <c r="G477" i="94"/>
  <c r="G476" i="94"/>
  <c r="G475" i="94"/>
  <c r="G474" i="94"/>
  <c r="G478" i="94" s="1"/>
  <c r="S467" i="94"/>
  <c r="S466" i="94"/>
  <c r="S465" i="94"/>
  <c r="S464" i="94"/>
  <c r="S468" i="94" s="1"/>
  <c r="M467" i="94"/>
  <c r="M468" i="94" s="1"/>
  <c r="G465" i="94"/>
  <c r="G466" i="94"/>
  <c r="G467" i="94"/>
  <c r="G468" i="94" s="1"/>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62" i="94" s="1"/>
  <c r="M454" i="94"/>
  <c r="M453" i="94"/>
  <c r="J461" i="94"/>
  <c r="J460" i="94"/>
  <c r="J459" i="94"/>
  <c r="J458" i="94"/>
  <c r="J457" i="94"/>
  <c r="J456" i="94"/>
  <c r="J455" i="94"/>
  <c r="J454" i="94"/>
  <c r="J453" i="94"/>
  <c r="G454" i="94"/>
  <c r="G455" i="94"/>
  <c r="G456" i="94"/>
  <c r="G457" i="94"/>
  <c r="G458" i="94"/>
  <c r="G459" i="94"/>
  <c r="G460" i="94"/>
  <c r="G461" i="94"/>
  <c r="M470" i="94"/>
  <c r="M472" i="94" s="1"/>
  <c r="P470" i="94"/>
  <c r="P472" i="94" s="1"/>
  <c r="M466" i="94"/>
  <c r="G464" i="94"/>
  <c r="G453" i="94"/>
  <c r="G462" i="94" s="1"/>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J563" i="94"/>
  <c r="IB787" i="94"/>
  <c r="HY787" i="94"/>
  <c r="IC787" i="94"/>
  <c r="KH781" i="94"/>
  <c r="LL779" i="94"/>
  <c r="LF794" i="94"/>
  <c r="LN794" i="94"/>
  <c r="LO794" i="94"/>
  <c r="Y793" i="94"/>
  <c r="AX793" i="94"/>
  <c r="BW793" i="94"/>
  <c r="CX793" i="94"/>
  <c r="DW793" i="94"/>
  <c r="EI793" i="94"/>
  <c r="FJ793" i="94"/>
  <c r="AE793" i="94"/>
  <c r="BE793" i="94"/>
  <c r="CD793" i="94"/>
  <c r="DC793" i="94"/>
  <c r="EP793" i="94"/>
  <c r="FO793" i="94"/>
  <c r="LN793" i="94"/>
  <c r="AL793" i="94"/>
  <c r="BK793" i="94"/>
  <c r="CK793" i="94"/>
  <c r="DJ793" i="94"/>
  <c r="EW793" i="94"/>
  <c r="S472" i="94"/>
  <c r="HZ785" i="94"/>
  <c r="JL785" i="94"/>
  <c r="IA785" i="94"/>
  <c r="IA781" i="94"/>
  <c r="IL781" i="94"/>
  <c r="JR781" i="94"/>
  <c r="KX781" i="94"/>
  <c r="IB781" i="94"/>
  <c r="IT781" i="94"/>
  <c r="JZ781" i="94"/>
  <c r="MO781" i="94"/>
  <c r="HY781" i="94"/>
  <c r="IC781" i="94"/>
  <c r="JB781"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LI779" i="94"/>
  <c r="LM779" i="94"/>
  <c r="DD779" i="94"/>
  <c r="DH779" i="94"/>
  <c r="DL779" i="94"/>
  <c r="DP779" i="94"/>
  <c r="DT779" i="94"/>
  <c r="DX779" i="94"/>
  <c r="EB779" i="94"/>
  <c r="EF779" i="94"/>
  <c r="EJ779" i="94"/>
  <c r="EN779" i="94"/>
  <c r="ER779" i="94"/>
  <c r="EV779" i="94"/>
  <c r="EZ779" i="94"/>
  <c r="FD779" i="94"/>
  <c r="FH779" i="94"/>
  <c r="FL779" i="94"/>
  <c r="FP779" i="94"/>
  <c r="FT779" i="94"/>
  <c r="FX779" i="94"/>
  <c r="GB779" i="94"/>
  <c r="LG779" i="94"/>
  <c r="LK779" i="94"/>
  <c r="LO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Y794" i="94"/>
  <c r="AC794" i="94"/>
  <c r="AG794" i="94"/>
  <c r="AK794" i="94"/>
  <c r="AO794" i="94"/>
  <c r="AS794" i="94"/>
  <c r="AW794" i="94"/>
  <c r="BA794" i="94"/>
  <c r="BE794" i="94"/>
  <c r="BI794" i="94"/>
  <c r="EE794" i="94"/>
  <c r="EI794" i="94"/>
  <c r="EM794" i="94"/>
  <c r="EQ794" i="94"/>
  <c r="EU794" i="94"/>
  <c r="EY794" i="94"/>
  <c r="FC794" i="94"/>
  <c r="FG794" i="94"/>
  <c r="FK794" i="94"/>
  <c r="FO794" i="94"/>
  <c r="FS794" i="94"/>
  <c r="GB794" i="94"/>
  <c r="GG794" i="94"/>
  <c r="GX794" i="94"/>
  <c r="HR794" i="94"/>
  <c r="LH794" i="94"/>
  <c r="LL794" i="94"/>
  <c r="LR794" i="94"/>
  <c r="Z794" i="94"/>
  <c r="AD794" i="94"/>
  <c r="AH794" i="94"/>
  <c r="AL794" i="94"/>
  <c r="AP794" i="94"/>
  <c r="AT794" i="94"/>
  <c r="AX794" i="94"/>
  <c r="BB794" i="94"/>
  <c r="BF794" i="94"/>
  <c r="BJ794" i="94"/>
  <c r="EF794" i="94"/>
  <c r="EJ794" i="94"/>
  <c r="EN794" i="94"/>
  <c r="ER794" i="94"/>
  <c r="EV794" i="94"/>
  <c r="EZ794" i="94"/>
  <c r="FD794" i="94"/>
  <c r="FH794" i="94"/>
  <c r="FL794" i="94"/>
  <c r="FP794" i="94"/>
  <c r="FT794" i="94"/>
  <c r="GC794" i="94"/>
  <c r="GK794" i="94"/>
  <c r="HB794" i="94"/>
  <c r="HX794" i="94"/>
  <c r="LI794" i="94"/>
  <c r="LM794" i="94"/>
  <c r="LW794" i="94"/>
  <c r="X794" i="94"/>
  <c r="AB794" i="94"/>
  <c r="AF794" i="94"/>
  <c r="AJ794" i="94"/>
  <c r="AN794" i="94"/>
  <c r="AR794" i="94"/>
  <c r="AV794" i="94"/>
  <c r="AZ794" i="94"/>
  <c r="BD794" i="94"/>
  <c r="BH794" i="94"/>
  <c r="ED794" i="94"/>
  <c r="EH794" i="94"/>
  <c r="EL794" i="94"/>
  <c r="EP794" i="94"/>
  <c r="ET794" i="94"/>
  <c r="EX794" i="94"/>
  <c r="FB794" i="94"/>
  <c r="FF794" i="94"/>
  <c r="FJ794" i="94"/>
  <c r="FN794" i="94"/>
  <c r="FR794" i="94"/>
  <c r="GA794" i="94"/>
  <c r="GE794" i="94"/>
  <c r="GS794" i="94"/>
  <c r="HM794" i="94"/>
  <c r="LG794" i="94"/>
  <c r="LK794" i="94"/>
  <c r="F470" i="94"/>
  <c r="M963" i="94"/>
  <c r="D483" i="94"/>
  <c r="J472" i="94"/>
  <c r="G575" i="94"/>
  <c r="V472" i="94"/>
  <c r="V556" i="94"/>
  <c r="FL795" i="94"/>
  <c r="EA793" i="94"/>
  <c r="GO783" i="94"/>
  <c r="CW773" i="94"/>
  <c r="LT802" i="94"/>
  <c r="MD794" i="94"/>
  <c r="LX777" i="94"/>
  <c r="HT773" i="94"/>
  <c r="MK772" i="94"/>
  <c r="MO772" i="94"/>
  <c r="HZ772" i="94"/>
  <c r="MN772" i="94"/>
  <c r="IQ772" i="94"/>
  <c r="IY772" i="94"/>
  <c r="JW772" i="94"/>
  <c r="KE772" i="94"/>
  <c r="LC772" i="94"/>
  <c r="MR772" i="94"/>
  <c r="KT772" i="94"/>
  <c r="IJ772" i="94"/>
  <c r="JH772" i="94"/>
  <c r="JP772" i="94"/>
  <c r="KN772" i="94"/>
  <c r="KV772" i="94"/>
  <c r="IO772" i="94"/>
  <c r="KC772" i="94"/>
  <c r="IK772" i="94"/>
  <c r="IS772" i="94"/>
  <c r="JQ772" i="94"/>
  <c r="JY772" i="94"/>
  <c r="KW772" i="94"/>
  <c r="LE772" i="94"/>
  <c r="ID772" i="94"/>
  <c r="IL772" i="94"/>
  <c r="JJ772" i="94"/>
  <c r="JR772" i="94"/>
  <c r="KP772" i="94"/>
  <c r="KX772" i="94"/>
  <c r="KK772" i="94"/>
  <c r="LA772" i="94"/>
  <c r="LB772" i="94"/>
  <c r="IE772" i="94"/>
  <c r="JC772" i="94"/>
  <c r="JK772" i="94"/>
  <c r="KI772" i="94"/>
  <c r="KQ772" i="94"/>
  <c r="IG772" i="94"/>
  <c r="IW772" i="94"/>
  <c r="KS772" i="94"/>
  <c r="MP772" i="94"/>
  <c r="IF772" i="94"/>
  <c r="IN772" i="94"/>
  <c r="JL772" i="94"/>
  <c r="JT772" i="94"/>
  <c r="KR772" i="94"/>
  <c r="KZ772" i="94"/>
  <c r="M478" i="94"/>
  <c r="S478"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J462" i="94"/>
  <c r="G528" i="94"/>
  <c r="M528"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M563" i="94"/>
  <c r="J613" i="94"/>
  <c r="EZ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BA792" i="94"/>
  <c r="LJ792" i="94"/>
  <c r="GP792" i="94"/>
  <c r="DM792" i="94"/>
  <c r="MD784" i="94"/>
  <c r="LO784" i="94"/>
  <c r="DP784" i="94"/>
  <c r="CS784" i="94"/>
  <c r="AG784" i="94"/>
  <c r="LH784" i="94"/>
  <c r="DJ784" i="94"/>
  <c r="CR784" i="94"/>
  <c r="AF784" i="94"/>
  <c r="LG784" i="94"/>
  <c r="EP784" i="94"/>
  <c r="DI784" i="94"/>
  <c r="AW784" i="94"/>
  <c r="Z784" i="94"/>
  <c r="EO784" i="94"/>
  <c r="DZ784" i="94"/>
  <c r="BN784" i="94"/>
  <c r="AV784" i="94"/>
  <c r="FM784" i="94"/>
  <c r="EN784" i="94"/>
  <c r="CJ784" i="94"/>
  <c r="BM784" i="94"/>
  <c r="LX784" i="94"/>
  <c r="HX784" i="94"/>
  <c r="EH784" i="94"/>
  <c r="DX784" i="94"/>
  <c r="BL784" i="94"/>
  <c r="AO784" i="94"/>
  <c r="GK784" i="94"/>
  <c r="FE784" i="94"/>
  <c r="CC784" i="94"/>
  <c r="BF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U549" i="94"/>
  <c r="P591" i="94"/>
  <c r="P595" i="94" s="1"/>
  <c r="JT774" i="94"/>
  <c r="AM776" i="94"/>
  <c r="CY776" i="94"/>
  <c r="GI776" i="94"/>
  <c r="LQ776" i="94"/>
  <c r="DT778" i="94"/>
  <c r="MK780" i="94"/>
  <c r="AU776" i="94"/>
  <c r="DG776" i="94"/>
  <c r="EM776" i="94"/>
  <c r="GQ776" i="94"/>
  <c r="LY776" i="94"/>
  <c r="BP778" i="94"/>
  <c r="EB778" i="94"/>
  <c r="G522" i="94"/>
  <c r="MK774" i="94"/>
  <c r="BC776" i="94"/>
  <c r="DO776" i="94"/>
  <c r="EU776" i="94"/>
  <c r="GY776" i="94"/>
  <c r="MK776" i="94"/>
  <c r="BX778" i="94"/>
  <c r="IB778" i="94"/>
  <c r="CB784" i="94"/>
  <c r="FD784" i="94"/>
  <c r="J749" i="94"/>
  <c r="BK776" i="94"/>
  <c r="DW776" i="94"/>
  <c r="FC776" i="94"/>
  <c r="HG776" i="94"/>
  <c r="CF778" i="94"/>
  <c r="S462" i="94"/>
  <c r="BS776" i="94"/>
  <c r="FK776" i="94"/>
  <c r="HO776" i="94"/>
  <c r="EC780" i="94"/>
  <c r="BV792" i="94"/>
  <c r="P462" i="94"/>
  <c r="FL780" i="94"/>
  <c r="GJ784" i="94"/>
  <c r="CP786" i="94"/>
  <c r="A535" i="94"/>
  <c r="DD778" i="94"/>
  <c r="GR780" i="94"/>
  <c r="DV786" i="94"/>
  <c r="J528" i="94"/>
  <c r="P528"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S528" i="94"/>
  <c r="K749" i="94"/>
  <c r="DE790" i="94"/>
  <c r="HG794" i="94"/>
  <c r="HO794" i="94"/>
  <c r="HW794" i="94"/>
  <c r="LT794" i="94"/>
  <c r="MB794" i="94"/>
  <c r="EF795" i="94"/>
  <c r="IC795" i="94"/>
  <c r="FV798" i="94"/>
  <c r="GV802" i="94"/>
  <c r="IB803" i="94"/>
  <c r="K732" i="94"/>
  <c r="M732" i="94"/>
  <c r="GF790" i="94"/>
  <c r="EN795" i="94"/>
  <c r="LM795" i="94"/>
  <c r="AD801" i="94"/>
  <c r="LK801" i="94"/>
  <c r="HC802" i="94"/>
  <c r="LS802" i="94"/>
  <c r="AX803" i="94"/>
  <c r="BT795" i="94"/>
  <c r="N945" i="94"/>
  <c r="J950" i="94"/>
  <c r="N954" i="94"/>
  <c r="J959" i="94"/>
  <c r="N963" i="94"/>
  <c r="V50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H798" i="94"/>
  <c r="LF798" i="94"/>
  <c r="LH790" i="94"/>
  <c r="LG790" i="94"/>
  <c r="LF790" i="94"/>
  <c r="LJ790" i="94"/>
  <c r="LI790" i="94"/>
  <c r="BC806" i="94"/>
  <c r="AM806" i="94"/>
  <c r="GQ806" i="94"/>
  <c r="GA806" i="94"/>
  <c r="DO806" i="94"/>
  <c r="BS806" i="94"/>
  <c r="FK806" i="94"/>
  <c r="LT798" i="94"/>
  <c r="LL798" i="94"/>
  <c r="HG798" i="94"/>
  <c r="GY798" i="94"/>
  <c r="GA798" i="94"/>
  <c r="FS798" i="94"/>
  <c r="EU798" i="94"/>
  <c r="EM798" i="94"/>
  <c r="EE798" i="94"/>
  <c r="DO798" i="94"/>
  <c r="DG798" i="94"/>
  <c r="CI798" i="94"/>
  <c r="CA798" i="94"/>
  <c r="BC798" i="94"/>
  <c r="AU798" i="94"/>
  <c r="W798" i="94"/>
  <c r="MA798" i="94"/>
  <c r="HV798" i="94"/>
  <c r="HN798" i="94"/>
  <c r="GP798" i="94"/>
  <c r="GH798" i="94"/>
  <c r="FZ798" i="94"/>
  <c r="FJ798" i="94"/>
  <c r="FB798" i="94"/>
  <c r="ED798" i="94"/>
  <c r="DV798" i="94"/>
  <c r="CX798" i="94"/>
  <c r="CP798" i="94"/>
  <c r="CH798" i="94"/>
  <c r="BR798" i="94"/>
  <c r="BJ798" i="94"/>
  <c r="BB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GE796" i="94"/>
  <c r="FW796" i="94"/>
  <c r="Y796" i="94"/>
  <c r="GD796" i="94"/>
  <c r="FV796" i="94"/>
  <c r="GC796" i="94"/>
  <c r="EG796" i="94"/>
  <c r="IC796" i="94"/>
  <c r="GB796" i="94"/>
  <c r="EF796" i="94"/>
  <c r="IB796" i="94"/>
  <c r="GA796" i="94"/>
  <c r="EE796" i="94"/>
  <c r="IA796" i="94"/>
  <c r="FZ796" i="94"/>
  <c r="ED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EC810" i="94" s="1"/>
  <c r="J828" i="94" s="1"/>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ED810" i="94" s="1"/>
  <c r="K828" i="94" s="1"/>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GC810" i="94" s="1"/>
  <c r="L917" i="94" s="1"/>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P810" i="94" s="1"/>
  <c r="J848" i="94" s="1"/>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D810" i="94" s="1"/>
  <c r="L819" i="94" s="1"/>
  <c r="AL780" i="94"/>
  <c r="AT780" i="94"/>
  <c r="BB780" i="94"/>
  <c r="BJ780" i="94"/>
  <c r="BR780" i="94"/>
  <c r="BZ780" i="94"/>
  <c r="CH780" i="94"/>
  <c r="CP780" i="94"/>
  <c r="CX780" i="94"/>
  <c r="DF780" i="94"/>
  <c r="DN780" i="94"/>
  <c r="DV780" i="94"/>
  <c r="DV810" i="94" s="1"/>
  <c r="M855" i="94" s="1"/>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U810" i="94" s="1"/>
  <c r="LM788" i="94"/>
  <c r="HU788" i="94"/>
  <c r="HM788" i="94"/>
  <c r="HE788" i="94"/>
  <c r="GW788" i="94"/>
  <c r="GO788" i="94"/>
  <c r="GG788" i="94"/>
  <c r="FQ788" i="94"/>
  <c r="FI788" i="94"/>
  <c r="FA788" i="94"/>
  <c r="ES788" i="94"/>
  <c r="EK788" i="94"/>
  <c r="DU788" i="94"/>
  <c r="DM788" i="94"/>
  <c r="DE788" i="94"/>
  <c r="CW788" i="94"/>
  <c r="CW810" i="94" s="1"/>
  <c r="M860" i="94" s="1"/>
  <c r="CO788" i="94"/>
  <c r="CG788" i="94"/>
  <c r="BY788" i="94"/>
  <c r="BQ788" i="94"/>
  <c r="BI788" i="94"/>
  <c r="BA788" i="94"/>
  <c r="AS788" i="94"/>
  <c r="AK788" i="94"/>
  <c r="AC788" i="94"/>
  <c r="MB788" i="94"/>
  <c r="LT788" i="94"/>
  <c r="LL788" i="94"/>
  <c r="LL810" i="94" s="1"/>
  <c r="HT788" i="94"/>
  <c r="HL788" i="94"/>
  <c r="HD788" i="94"/>
  <c r="GV788" i="94"/>
  <c r="GN788" i="94"/>
  <c r="GF788" i="94"/>
  <c r="FP788" i="94"/>
  <c r="FH788" i="94"/>
  <c r="EZ788" i="94"/>
  <c r="ER788" i="94"/>
  <c r="EJ788" i="94"/>
  <c r="EB788" i="94"/>
  <c r="DT788" i="94"/>
  <c r="DL788" i="94"/>
  <c r="DD788" i="94"/>
  <c r="CV788" i="94"/>
  <c r="CV810" i="94" s="1"/>
  <c r="L860" i="94" s="1"/>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CC810" i="94" s="1"/>
  <c r="M846" i="94" s="1"/>
  <c r="FU796" i="94"/>
  <c r="BH804" i="94"/>
  <c r="DT804" i="94"/>
  <c r="ER804" i="94"/>
  <c r="GV804" i="94"/>
  <c r="I732" i="94"/>
  <c r="V528" i="94"/>
  <c r="V522" i="94"/>
  <c r="V478" i="94"/>
  <c r="V563" i="94"/>
  <c r="V571" i="94"/>
  <c r="V462" i="94"/>
  <c r="V577" i="94" s="1"/>
  <c r="U574" i="94"/>
  <c r="F513" i="94"/>
  <c r="U521" i="94"/>
  <c r="S509" i="94"/>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c r="P1925"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O189" i="94"/>
  <c r="E1661" i="94" s="1"/>
  <c r="P189" i="94"/>
  <c r="L187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E1660"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c r="P1740" i="94"/>
  <c r="L1883" i="94"/>
  <c r="P1837" i="94"/>
  <c r="K1879" i="94"/>
  <c r="P1968" i="94"/>
  <c r="P1964" i="94"/>
  <c r="P1954" i="94" s="1"/>
  <c r="E1028" i="94"/>
  <c r="K895" i="94"/>
  <c r="K852" i="94"/>
  <c r="EG810" i="94"/>
  <c r="N828" i="94" s="1"/>
  <c r="FF810" i="94"/>
  <c r="N911" i="94" s="1"/>
  <c r="F34" i="94"/>
  <c r="A24" i="94" s="1"/>
  <c r="P113" i="94"/>
  <c r="H113" i="94"/>
  <c r="P111" i="94"/>
  <c r="H111" i="94"/>
  <c r="P110" i="94"/>
  <c r="H110" i="94"/>
  <c r="N111" i="94"/>
  <c r="A5" i="94"/>
  <c r="A2" i="94"/>
  <c r="F1028" i="94"/>
  <c r="G1028" i="94" s="1"/>
  <c r="H1028" i="94" s="1"/>
  <c r="I1028" i="94" s="1"/>
  <c r="J1028" i="94" s="1"/>
  <c r="I47" i="75"/>
  <c r="I809" i="94" s="1"/>
  <c r="K809" i="94" s="1"/>
  <c r="L809" i="94"/>
  <c r="I46" i="75"/>
  <c r="I808" i="94"/>
  <c r="K808" i="94" s="1"/>
  <c r="L808" i="94" s="1"/>
  <c r="I45" i="75"/>
  <c r="I807" i="94" s="1"/>
  <c r="K807" i="94" s="1"/>
  <c r="L807" i="94"/>
  <c r="I44" i="75"/>
  <c r="I806" i="94"/>
  <c r="K806" i="94" s="1"/>
  <c r="L806" i="94"/>
  <c r="I43" i="75"/>
  <c r="I805" i="94"/>
  <c r="K805" i="94" s="1"/>
  <c r="L805" i="94" s="1"/>
  <c r="I42" i="75"/>
  <c r="I804" i="94"/>
  <c r="K804" i="94" s="1"/>
  <c r="L804" i="94"/>
  <c r="I41" i="75"/>
  <c r="I803" i="94"/>
  <c r="K803" i="94" s="1"/>
  <c r="L803" i="94"/>
  <c r="I40" i="75"/>
  <c r="I802" i="94"/>
  <c r="K802" i="94" s="1"/>
  <c r="L802" i="94"/>
  <c r="I39" i="75"/>
  <c r="I801" i="94"/>
  <c r="K801" i="94" s="1"/>
  <c r="L801" i="94" s="1"/>
  <c r="I38" i="75"/>
  <c r="I800" i="94"/>
  <c r="K800" i="94"/>
  <c r="L800" i="94" s="1"/>
  <c r="I37" i="75"/>
  <c r="I799" i="94"/>
  <c r="K799" i="94"/>
  <c r="L799" i="94" s="1"/>
  <c r="I36" i="75"/>
  <c r="I798" i="94"/>
  <c r="K798" i="94"/>
  <c r="L798" i="94" s="1"/>
  <c r="I31" i="75"/>
  <c r="I793" i="94"/>
  <c r="K793" i="94"/>
  <c r="L793" i="94" s="1"/>
  <c r="I26" i="75"/>
  <c r="I788" i="94"/>
  <c r="K788" i="94"/>
  <c r="L788" i="94" s="1"/>
  <c r="I21" i="75"/>
  <c r="I783" i="94"/>
  <c r="K783" i="94"/>
  <c r="L783" i="94" s="1"/>
  <c r="I16" i="75"/>
  <c r="I778" i="94"/>
  <c r="K778" i="94"/>
  <c r="L778" i="94" s="1"/>
  <c r="I15" i="75"/>
  <c r="I777" i="94"/>
  <c r="K777" i="94"/>
  <c r="L777" i="94" s="1"/>
  <c r="I14" i="75"/>
  <c r="I776" i="94"/>
  <c r="K776" i="94"/>
  <c r="L776" i="94" s="1"/>
  <c r="I13" i="75"/>
  <c r="I775" i="94"/>
  <c r="K775" i="94"/>
  <c r="L775" i="94" s="1"/>
  <c r="I12" i="75"/>
  <c r="I774" i="94"/>
  <c r="K774" i="94"/>
  <c r="L774" i="94" s="1"/>
  <c r="I11" i="75"/>
  <c r="I773" i="94"/>
  <c r="K773" i="94"/>
  <c r="L773" i="94" s="1"/>
  <c r="I10" i="75"/>
  <c r="I772" i="94"/>
  <c r="K772" i="94"/>
  <c r="L772" i="94" s="1"/>
  <c r="F19" i="78"/>
  <c r="F98" i="72"/>
  <c r="H88" i="72"/>
  <c r="K49" i="72"/>
  <c r="H167" i="73"/>
  <c r="I167" i="73"/>
  <c r="L167" i="73"/>
  <c r="K167" i="73"/>
  <c r="F167" i="73"/>
  <c r="N241" i="73"/>
  <c r="P243" i="75"/>
  <c r="P1005" i="94"/>
  <c r="K53" i="75"/>
  <c r="R133" i="75"/>
  <c r="R90" i="75"/>
  <c r="B23" i="74"/>
  <c r="B1038" i="94" s="1"/>
  <c r="K1028" i="94"/>
  <c r="B1060" i="94" s="1"/>
  <c r="K133" i="75"/>
  <c r="K90"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EU48" i="75"/>
  <c r="M147" i="75" s="1"/>
  <c r="P41" i="68"/>
  <c r="P40" i="68"/>
  <c r="P38" i="68"/>
  <c r="B1134" i="94" s="1"/>
  <c r="P39" i="68"/>
  <c r="K1073" i="94"/>
  <c r="B1105" i="94"/>
  <c r="B1135" i="94"/>
  <c r="J1106" i="94"/>
  <c r="F1106" i="94"/>
  <c r="B1106" i="94"/>
  <c r="E1074" i="94"/>
  <c r="C1136" i="94"/>
  <c r="I1106" i="94"/>
  <c r="H1074" i="94"/>
  <c r="D1074" i="94"/>
  <c r="F1136" i="94"/>
  <c r="H1106" i="94"/>
  <c r="D1106" i="94"/>
  <c r="K1074" i="94"/>
  <c r="C1074" i="94"/>
  <c r="E1136" i="94"/>
  <c r="K1106" i="94"/>
  <c r="C1106" i="94"/>
  <c r="J1074" i="94"/>
  <c r="F1074" i="94"/>
  <c r="P417" i="94"/>
  <c r="C1137" i="94"/>
  <c r="H1107" i="94"/>
  <c r="J1075" i="94"/>
  <c r="F1075" i="94"/>
  <c r="B1075" i="94"/>
  <c r="B1137" i="94"/>
  <c r="K1107" i="94"/>
  <c r="G1107" i="94"/>
  <c r="I1075" i="94"/>
  <c r="E1075" i="94"/>
  <c r="E1137" i="94"/>
  <c r="F1107" i="94"/>
  <c r="B1107" i="94"/>
  <c r="H1075" i="94"/>
  <c r="D1137" i="94"/>
  <c r="I1107" i="94"/>
  <c r="E1107" i="94"/>
  <c r="G1075" i="94"/>
  <c r="C1075" i="94"/>
  <c r="P418" i="94"/>
  <c r="F1134" i="94"/>
  <c r="B3" i="76"/>
  <c r="C3" i="74"/>
  <c r="B6" i="72"/>
  <c r="K5" i="75"/>
  <c r="D5" i="78"/>
  <c r="L3" i="68"/>
  <c r="O3" i="67"/>
  <c r="A3" i="73"/>
  <c r="H3" i="73" s="1"/>
  <c r="H1161" i="94" s="1"/>
  <c r="A1161" i="94"/>
  <c r="Q12" i="72"/>
  <c r="P369" i="72"/>
  <c r="O369" i="72"/>
  <c r="O2017" i="94"/>
  <c r="E1666" i="94" s="1"/>
  <c r="E18" i="72"/>
  <c r="P107" i="72"/>
  <c r="O107" i="72"/>
  <c r="O1755" i="94"/>
  <c r="M448" i="72"/>
  <c r="P330" i="72"/>
  <c r="P329" i="72" s="1"/>
  <c r="P336" i="72"/>
  <c r="O330" i="72"/>
  <c r="O336" i="72" s="1"/>
  <c r="O1978" i="94"/>
  <c r="P334" i="72"/>
  <c r="O334" i="72"/>
  <c r="O1982" i="94"/>
  <c r="L1982" i="94" s="1"/>
  <c r="Q1982" i="94"/>
  <c r="O329" i="72"/>
  <c r="O1977" i="94" s="1"/>
  <c r="K293" i="72"/>
  <c r="J39" i="66"/>
  <c r="A3" i="94" s="1"/>
  <c r="J279" i="72"/>
  <c r="P288" i="72"/>
  <c r="O288" i="72"/>
  <c r="O1936" i="94"/>
  <c r="Q281" i="72"/>
  <c r="P205" i="72"/>
  <c r="O205" i="72"/>
  <c r="O1853" i="94"/>
  <c r="T1821" i="94"/>
  <c r="P1200" i="94"/>
  <c r="I713" i="94"/>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N48" i="75"/>
  <c r="L151" i="75" s="1"/>
  <c r="FM48" i="75"/>
  <c r="K151" i="75" s="1"/>
  <c r="EK48" i="75"/>
  <c r="M145" i="75" s="1"/>
  <c r="EN48" i="75"/>
  <c r="K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Y48" i="75" s="1"/>
  <c r="K92" i="75" s="1"/>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Z48" i="75" s="1"/>
  <c r="L92" i="75" s="1"/>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W48" i="75"/>
  <c r="N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F48" i="75" s="1"/>
  <c r="L96" i="75" s="1"/>
  <c r="DE11" i="75"/>
  <c r="DD11" i="75"/>
  <c r="DH10" i="75"/>
  <c r="DG10" i="75"/>
  <c r="DG48" i="75" s="1"/>
  <c r="M96" i="75" s="1"/>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T48" i="75" s="1"/>
  <c r="J98" i="75" s="1"/>
  <c r="CX10" i="75"/>
  <c r="CW10" i="75"/>
  <c r="CV10" i="75"/>
  <c r="CU10" i="75"/>
  <c r="CU48" i="75" s="1"/>
  <c r="K98" i="75" s="1"/>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L48" i="75" s="1"/>
  <c r="L82" i="75" s="1"/>
  <c r="CK11" i="75"/>
  <c r="CJ11" i="75"/>
  <c r="CN10" i="75"/>
  <c r="CM10" i="75"/>
  <c r="CM48" i="75" s="1"/>
  <c r="M82" i="75" s="1"/>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S48" i="75" s="1"/>
  <c r="N81" i="75" s="1"/>
  <c r="CR11" i="75"/>
  <c r="CQ11" i="75"/>
  <c r="CP11" i="75"/>
  <c r="CO11" i="75"/>
  <c r="CS10" i="75"/>
  <c r="CR10" i="75"/>
  <c r="CQ10" i="75"/>
  <c r="CP10" i="75"/>
  <c r="CP48" i="75" s="1"/>
  <c r="K81" i="75" s="1"/>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W48" i="75" s="1"/>
  <c r="L85" i="75" s="1"/>
  <c r="BV11" i="75"/>
  <c r="BU11" i="75"/>
  <c r="BY10" i="75"/>
  <c r="BX10" i="75"/>
  <c r="BX48" i="75" s="1"/>
  <c r="M85" i="75" s="1"/>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O48" i="75" s="1"/>
  <c r="N87" i="75" s="1"/>
  <c r="BN11" i="75"/>
  <c r="BM11" i="75"/>
  <c r="BL11" i="75"/>
  <c r="BK11" i="75"/>
  <c r="BO10" i="75"/>
  <c r="BN10" i="75"/>
  <c r="BM10" i="75"/>
  <c r="BL10" i="75"/>
  <c r="BL48" i="75" s="1"/>
  <c r="K87" i="75" s="1"/>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E15" i="72"/>
  <c r="O1946"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J1935" i="93" s="1"/>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L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K1732" i="93" s="1"/>
  <c r="I1732" i="93"/>
  <c r="J1731" i="93"/>
  <c r="I1731" i="93"/>
  <c r="D1718" i="93"/>
  <c r="D1722" i="93" s="1"/>
  <c r="E1718" i="93"/>
  <c r="F1718" i="93"/>
  <c r="D1719" i="93"/>
  <c r="E1719" i="93"/>
  <c r="F1719" i="93"/>
  <c r="L1723" i="93"/>
  <c r="K1723" i="93"/>
  <c r="L1722" i="93"/>
  <c r="K1722" i="93"/>
  <c r="L1721" i="93"/>
  <c r="K1721" i="93"/>
  <c r="J1723" i="93"/>
  <c r="M1723" i="93" s="1"/>
  <c r="P1723" i="93" s="1"/>
  <c r="I1723" i="93"/>
  <c r="J1722" i="93"/>
  <c r="I1722" i="93"/>
  <c r="J1721" i="93"/>
  <c r="M1721" i="93" s="1"/>
  <c r="P1721" i="93" s="1"/>
  <c r="I1721" i="93"/>
  <c r="L1719" i="93"/>
  <c r="K1719" i="93"/>
  <c r="L1718" i="93"/>
  <c r="K1718" i="93"/>
  <c r="L1717" i="93"/>
  <c r="K1717" i="93"/>
  <c r="J1719" i="93"/>
  <c r="M1719" i="93" s="1"/>
  <c r="O1719" i="93" s="1"/>
  <c r="I1719" i="93"/>
  <c r="J1718" i="93"/>
  <c r="I1718" i="93"/>
  <c r="J1717" i="93"/>
  <c r="M1717" i="93" s="1"/>
  <c r="O1717" i="93" s="1"/>
  <c r="I1717" i="93"/>
  <c r="H1719" i="93"/>
  <c r="G1719" i="93"/>
  <c r="H1718" i="93"/>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s="1"/>
  <c r="P1656" i="93"/>
  <c r="O1649" i="93" s="1"/>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R191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L1923" i="93"/>
  <c r="J1916" i="93"/>
  <c r="L1910" i="93"/>
  <c r="I1910" i="93"/>
  <c r="C1910" i="93"/>
  <c r="N1901" i="93"/>
  <c r="L1901" i="93"/>
  <c r="L1891" i="93"/>
  <c r="I1891" i="93"/>
  <c r="O1879" i="93"/>
  <c r="L1873" i="93"/>
  <c r="L1871" i="93"/>
  <c r="L1859" i="93"/>
  <c r="L1858" i="93"/>
  <c r="L1849" i="93"/>
  <c r="J1849" i="93"/>
  <c r="L1848" i="93"/>
  <c r="H1827" i="93"/>
  <c r="I1769" i="93"/>
  <c r="J1767" i="93"/>
  <c r="M1764" i="93"/>
  <c r="I1764" i="93"/>
  <c r="E1764" i="93"/>
  <c r="L1763" i="93"/>
  <c r="L1762" i="93"/>
  <c r="H1732" i="93"/>
  <c r="H1723" i="93"/>
  <c r="G1723" i="93"/>
  <c r="D1723" i="93"/>
  <c r="H1722" i="93"/>
  <c r="G1722" i="93"/>
  <c r="H1721" i="93"/>
  <c r="F1714" i="93"/>
  <c r="L1691" i="93"/>
  <c r="L1667"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c r="A1011" i="93"/>
  <c r="A1041" i="93" s="1"/>
  <c r="A1069" i="93" s="1"/>
  <c r="A1010" i="93"/>
  <c r="A1040" i="93"/>
  <c r="A1068" i="93" s="1"/>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G903" i="93" s="1"/>
  <c r="P901" i="93"/>
  <c r="O901" i="93"/>
  <c r="N901" i="93"/>
  <c r="M901" i="93"/>
  <c r="L901" i="93"/>
  <c r="K901" i="93"/>
  <c r="J901" i="93"/>
  <c r="I901" i="93"/>
  <c r="I903" i="93" s="1"/>
  <c r="H901" i="93"/>
  <c r="H903" i="93" s="1"/>
  <c r="G901" i="93"/>
  <c r="P897" i="93"/>
  <c r="O897" i="93"/>
  <c r="N897" i="93"/>
  <c r="N898" i="93" s="1"/>
  <c r="M897" i="93"/>
  <c r="L897" i="93"/>
  <c r="K897" i="93"/>
  <c r="J897" i="93"/>
  <c r="J898" i="93" s="1"/>
  <c r="I897" i="93"/>
  <c r="H897" i="93"/>
  <c r="G897" i="93"/>
  <c r="G898" i="93" s="1"/>
  <c r="P896" i="93"/>
  <c r="P898" i="93" s="1"/>
  <c r="O896" i="93"/>
  <c r="N896" i="93"/>
  <c r="M896" i="93"/>
  <c r="L896" i="93"/>
  <c r="K896" i="93"/>
  <c r="J896" i="93"/>
  <c r="I896" i="93"/>
  <c r="H896" i="93"/>
  <c r="H898" i="93" s="1"/>
  <c r="G896" i="93"/>
  <c r="P893" i="93"/>
  <c r="O893" i="93"/>
  <c r="N893" i="93"/>
  <c r="N894" i="93" s="1"/>
  <c r="M893" i="93"/>
  <c r="L893" i="93"/>
  <c r="K893" i="93"/>
  <c r="J893" i="93"/>
  <c r="J894" i="93" s="1"/>
  <c r="I893" i="93"/>
  <c r="H893" i="93"/>
  <c r="G893" i="93"/>
  <c r="P892" i="93"/>
  <c r="O892" i="93"/>
  <c r="N892" i="93"/>
  <c r="M892" i="93"/>
  <c r="L892" i="93"/>
  <c r="K892" i="93"/>
  <c r="J892" i="93"/>
  <c r="I892" i="93"/>
  <c r="H892" i="93"/>
  <c r="G892" i="93"/>
  <c r="P888" i="93"/>
  <c r="O888" i="93"/>
  <c r="N888" i="93"/>
  <c r="N889" i="93" s="1"/>
  <c r="M888" i="93"/>
  <c r="L888" i="93"/>
  <c r="K888" i="93"/>
  <c r="J888" i="93"/>
  <c r="J889" i="93" s="1"/>
  <c r="I888" i="93"/>
  <c r="H888" i="93"/>
  <c r="G888" i="93"/>
  <c r="P887" i="93"/>
  <c r="O887" i="93"/>
  <c r="N887" i="93"/>
  <c r="M887" i="93"/>
  <c r="L887" i="93"/>
  <c r="K887" i="93"/>
  <c r="J887" i="93"/>
  <c r="I887" i="93"/>
  <c r="H887" i="93"/>
  <c r="G887" i="93"/>
  <c r="H883" i="93"/>
  <c r="I883" i="93"/>
  <c r="J883" i="93"/>
  <c r="J885" i="93" s="1"/>
  <c r="K883" i="93"/>
  <c r="L883" i="93"/>
  <c r="M883" i="93"/>
  <c r="N883" i="93"/>
  <c r="O883" i="93"/>
  <c r="P883" i="93"/>
  <c r="P885" i="93" s="1"/>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J804" i="93" s="1"/>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FB786" i="93" s="1"/>
  <c r="N785" i="93"/>
  <c r="N784" i="93"/>
  <c r="N783" i="93"/>
  <c r="N782" i="93"/>
  <c r="N781" i="93"/>
  <c r="N780" i="93"/>
  <c r="EY780" i="93" s="1"/>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K786" i="93" s="1"/>
  <c r="L786" i="93" s="1"/>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JK791" i="93" s="1"/>
  <c r="E790" i="93"/>
  <c r="E789" i="93"/>
  <c r="E788" i="93"/>
  <c r="E787" i="93"/>
  <c r="E786" i="93"/>
  <c r="E785" i="93"/>
  <c r="E784" i="93"/>
  <c r="E783" i="93"/>
  <c r="E782" i="93"/>
  <c r="E781" i="93"/>
  <c r="E780" i="93"/>
  <c r="E779" i="93"/>
  <c r="E778" i="93"/>
  <c r="E777" i="93"/>
  <c r="E776" i="93"/>
  <c r="E775" i="93"/>
  <c r="E774" i="93"/>
  <c r="E773" i="93"/>
  <c r="E772" i="93"/>
  <c r="E771" i="93"/>
  <c r="E770" i="93"/>
  <c r="JM770"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A782" i="93" s="1"/>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Z797" i="93" s="1"/>
  <c r="C796" i="93"/>
  <c r="C795" i="93"/>
  <c r="EX795" i="93" s="1"/>
  <c r="C794" i="93"/>
  <c r="C793" i="93"/>
  <c r="C792" i="93"/>
  <c r="C791" i="93"/>
  <c r="C790" i="93"/>
  <c r="C789" i="93"/>
  <c r="C788" i="93"/>
  <c r="C787" i="93"/>
  <c r="EW787" i="93" s="1"/>
  <c r="C786" i="93"/>
  <c r="C785" i="93"/>
  <c r="C784" i="93"/>
  <c r="C783" i="93"/>
  <c r="C782" i="93"/>
  <c r="C781" i="93"/>
  <c r="C780" i="93"/>
  <c r="C779" i="93"/>
  <c r="IA779" i="93" s="1"/>
  <c r="C778" i="93"/>
  <c r="C777" i="93"/>
  <c r="C776" i="93"/>
  <c r="C775" i="93"/>
  <c r="C774" i="93"/>
  <c r="C773" i="93"/>
  <c r="C772" i="93"/>
  <c r="C771" i="93"/>
  <c r="FA771" i="93" s="1"/>
  <c r="C770" i="93"/>
  <c r="C769" i="93"/>
  <c r="C768" i="93"/>
  <c r="C767" i="93"/>
  <c r="B768" i="93"/>
  <c r="B769" i="93"/>
  <c r="B770" i="93"/>
  <c r="AM770" i="93" s="1"/>
  <c r="B771" i="93"/>
  <c r="B772" i="93"/>
  <c r="B773" i="93"/>
  <c r="B774" i="93"/>
  <c r="B775" i="93"/>
  <c r="B776" i="93"/>
  <c r="B777" i="93"/>
  <c r="B778" i="93"/>
  <c r="IH778" i="93" s="1"/>
  <c r="B779" i="93"/>
  <c r="B780" i="93"/>
  <c r="B781" i="93"/>
  <c r="B782" i="93"/>
  <c r="B783" i="93"/>
  <c r="B784" i="93"/>
  <c r="B785" i="93"/>
  <c r="B786" i="93"/>
  <c r="B787" i="93"/>
  <c r="IG787" i="93" s="1"/>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H1097" i="93"/>
  <c r="FZ767" i="93"/>
  <c r="BU796" i="93"/>
  <c r="CK787" i="93"/>
  <c r="BW771" i="93"/>
  <c r="G907" i="93"/>
  <c r="J916" i="93"/>
  <c r="K894" i="93"/>
  <c r="O898" i="93"/>
  <c r="O907" i="93"/>
  <c r="EX781" i="93"/>
  <c r="GP777" i="93"/>
  <c r="EZ781" i="93"/>
  <c r="IL787" i="93"/>
  <c r="IF803" i="93"/>
  <c r="IF795" i="93"/>
  <c r="AA787" i="93"/>
  <c r="AK787" i="93"/>
  <c r="M889" i="93"/>
  <c r="BU788" i="93"/>
  <c r="CC795" i="93"/>
  <c r="BW787" i="93"/>
  <c r="CH771" i="93"/>
  <c r="EW781" i="93"/>
  <c r="BX795" i="93"/>
  <c r="AD771" i="93"/>
  <c r="CY787" i="93"/>
  <c r="AH803" i="93"/>
  <c r="AG771" i="93"/>
  <c r="DA771" i="93"/>
  <c r="DB795" i="93"/>
  <c r="AL771" i="93"/>
  <c r="EX789" i="93"/>
  <c r="EY795" i="93"/>
  <c r="AC779" i="93"/>
  <c r="BV787" i="93"/>
  <c r="EZ787" i="93"/>
  <c r="AI795" i="93"/>
  <c r="EZ795" i="93"/>
  <c r="FA781" i="93"/>
  <c r="FU770" i="93"/>
  <c r="HY786" i="93"/>
  <c r="CX803" i="93"/>
  <c r="EX797" i="93"/>
  <c r="AO782" i="93"/>
  <c r="FH768" i="93"/>
  <c r="JQ769" i="93"/>
  <c r="FS777" i="93"/>
  <c r="FS785" i="93"/>
  <c r="IE795" i="93"/>
  <c r="IG771" i="93"/>
  <c r="EW773" i="93"/>
  <c r="EX773" i="93"/>
  <c r="EY773" i="93"/>
  <c r="CZ772" i="93"/>
  <c r="H916" i="93"/>
  <c r="CT781" i="93"/>
  <c r="IV769" i="93"/>
  <c r="BV778" i="93"/>
  <c r="AA769" i="93"/>
  <c r="FL778" i="93"/>
  <c r="AP786" i="93"/>
  <c r="J903" i="93"/>
  <c r="FM769" i="93"/>
  <c r="GJ769" i="93"/>
  <c r="EY770" i="93"/>
  <c r="JA771" i="93"/>
  <c r="HM773" i="93"/>
  <c r="FU769" i="93"/>
  <c r="FP773" i="93"/>
  <c r="HD777" i="93"/>
  <c r="BH769" i="93"/>
  <c r="GL769" i="93"/>
  <c r="GP773" i="93"/>
  <c r="BU769" i="93"/>
  <c r="HA769" i="93"/>
  <c r="GV773" i="93"/>
  <c r="IO771" i="93"/>
  <c r="BF769" i="93"/>
  <c r="AF777" i="93"/>
  <c r="O894" i="93"/>
  <c r="CZ778" i="93"/>
  <c r="CP769" i="93"/>
  <c r="HI769" i="93"/>
  <c r="CW777" i="93"/>
  <c r="EW769" i="93"/>
  <c r="HX769" i="93"/>
  <c r="FN777" i="93"/>
  <c r="EY769" i="93"/>
  <c r="HZ769" i="93"/>
  <c r="AH771" i="93"/>
  <c r="CL771" i="93"/>
  <c r="ID771" i="93"/>
  <c r="BM777" i="93"/>
  <c r="CI779" i="93"/>
  <c r="BX787" i="93"/>
  <c r="CP787" i="93"/>
  <c r="EX787" i="93"/>
  <c r="BY795" i="93"/>
  <c r="FA795" i="93"/>
  <c r="CL785" i="93"/>
  <c r="JN773" i="93"/>
  <c r="JG781" i="93"/>
  <c r="IO779" i="93"/>
  <c r="HL773" i="93"/>
  <c r="HM781" i="93"/>
  <c r="K889" i="93"/>
  <c r="G894" i="93"/>
  <c r="K898" i="93"/>
  <c r="O903" i="93"/>
  <c r="K907" i="93"/>
  <c r="H912" i="93"/>
  <c r="CM769" i="93"/>
  <c r="AK771" i="93"/>
  <c r="DU771" i="93"/>
  <c r="CR777" i="93"/>
  <c r="BY787" i="93"/>
  <c r="EY787" i="93"/>
  <c r="CB795" i="93"/>
  <c r="DA795" i="93"/>
  <c r="Y771" i="93"/>
  <c r="CC771" i="93"/>
  <c r="EY779" i="93"/>
  <c r="AL787" i="93"/>
  <c r="CZ787" i="93"/>
  <c r="FA787" i="93"/>
  <c r="AK795" i="93"/>
  <c r="DC795" i="93"/>
  <c r="IK795" i="93"/>
  <c r="H885" i="93"/>
  <c r="AO771" i="93"/>
  <c r="CS771" i="93"/>
  <c r="AT769" i="93"/>
  <c r="Z771" i="93"/>
  <c r="AP771" i="93"/>
  <c r="CY771" i="93"/>
  <c r="EX771" i="93"/>
  <c r="IL771" i="93"/>
  <c r="BY779" i="93"/>
  <c r="CE787" i="93"/>
  <c r="DA787" i="93"/>
  <c r="IE787" i="93"/>
  <c r="CK795" i="93"/>
  <c r="EW795" i="93"/>
  <c r="IM795" i="93"/>
  <c r="I894" i="93"/>
  <c r="M898" i="93"/>
  <c r="AC771" i="93"/>
  <c r="BU771" i="93"/>
  <c r="CZ771" i="93"/>
  <c r="EY771" i="93"/>
  <c r="BU787" i="93"/>
  <c r="CG787" i="93"/>
  <c r="BV795" i="93"/>
  <c r="Z769" i="93"/>
  <c r="AO769" i="93"/>
  <c r="BG769" i="93"/>
  <c r="BZ769" i="93"/>
  <c r="CN769" i="93"/>
  <c r="EX769" i="93"/>
  <c r="FN769" i="93"/>
  <c r="GK769" i="93"/>
  <c r="HH769" i="93"/>
  <c r="HY769" i="93"/>
  <c r="DZ771" i="93"/>
  <c r="CY772" i="93"/>
  <c r="FQ773" i="93"/>
  <c r="GS773" i="93"/>
  <c r="HU773" i="93"/>
  <c r="AN777" i="93"/>
  <c r="BI777" i="93"/>
  <c r="CV777" i="93"/>
  <c r="FR777" i="93"/>
  <c r="GT777" i="93"/>
  <c r="IJ777" i="93"/>
  <c r="DC796" i="93"/>
  <c r="HI768" i="93"/>
  <c r="CT804" i="93"/>
  <c r="CY774" i="93"/>
  <c r="BX790" i="93"/>
  <c r="HS772" i="93"/>
  <c r="GL780" i="93"/>
  <c r="L894" i="93"/>
  <c r="N903" i="93"/>
  <c r="I912" i="93"/>
  <c r="EH771" i="93"/>
  <c r="FZ773" i="93"/>
  <c r="GW773" i="93"/>
  <c r="HY773" i="93"/>
  <c r="AR777" i="93"/>
  <c r="BV777" i="93"/>
  <c r="CX777" i="93"/>
  <c r="FT777" i="93"/>
  <c r="HH777" i="93"/>
  <c r="EW780" i="93"/>
  <c r="EX796" i="93"/>
  <c r="CF772"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BU772" i="93"/>
  <c r="GC773" i="93"/>
  <c r="HE773" i="93"/>
  <c r="IB773" i="93"/>
  <c r="X777" i="93"/>
  <c r="AS777" i="93"/>
  <c r="BZ777" i="93"/>
  <c r="DB777" i="93"/>
  <c r="FX777" i="93"/>
  <c r="HJ777" i="93"/>
  <c r="BX780" i="93"/>
  <c r="EX780" i="93"/>
  <c r="FY781" i="93"/>
  <c r="EW788" i="93"/>
  <c r="FG769" i="93"/>
  <c r="II769" i="93"/>
  <c r="EP771" i="93"/>
  <c r="HF773" i="93"/>
  <c r="AI769" i="93"/>
  <c r="BP769" i="93"/>
  <c r="CX769" i="93"/>
  <c r="FZ769" i="93"/>
  <c r="HN769" i="93"/>
  <c r="FI773" i="93"/>
  <c r="GF773" i="93"/>
  <c r="IC773" i="93"/>
  <c r="AA777" i="93"/>
  <c r="AV777" i="93"/>
  <c r="EX777" i="93"/>
  <c r="GI777" i="93"/>
  <c r="HO777" i="93"/>
  <c r="HL781" i="93"/>
  <c r="HJ768" i="93"/>
  <c r="AJ769" i="93"/>
  <c r="AY769" i="93"/>
  <c r="BR769" i="93"/>
  <c r="CK769" i="93"/>
  <c r="CZ769" i="93"/>
  <c r="FJ769" i="93"/>
  <c r="GB769" i="93"/>
  <c r="GX769" i="93"/>
  <c r="HS769" i="93"/>
  <c r="IL769" i="93"/>
  <c r="DJ771" i="93"/>
  <c r="DL772" i="93"/>
  <c r="FJ773" i="93"/>
  <c r="GG773" i="93"/>
  <c r="HI773" i="93"/>
  <c r="AB777" i="93"/>
  <c r="BD777" i="93"/>
  <c r="CC777" i="93"/>
  <c r="EY777" i="93"/>
  <c r="GM777" i="93"/>
  <c r="HZ777" i="93"/>
  <c r="CY780" i="93"/>
  <c r="FA780" i="93"/>
  <c r="BR785" i="93"/>
  <c r="EY788" i="93"/>
  <c r="N885" i="93"/>
  <c r="AX769" i="93"/>
  <c r="CE769" i="93"/>
  <c r="GU769" i="93"/>
  <c r="DE771" i="93"/>
  <c r="CB777" i="93"/>
  <c r="AL769" i="93"/>
  <c r="BE769" i="93"/>
  <c r="BT769" i="93"/>
  <c r="CL769" i="93"/>
  <c r="DA769" i="93"/>
  <c r="FL769" i="93"/>
  <c r="GH769" i="93"/>
  <c r="GZ769" i="93"/>
  <c r="HV769" i="93"/>
  <c r="EW772" i="93"/>
  <c r="FM773" i="93"/>
  <c r="GO773" i="93"/>
  <c r="AC777" i="93"/>
  <c r="BG777" i="93"/>
  <c r="CG777" i="93"/>
  <c r="FC777" i="93"/>
  <c r="GN777" i="93"/>
  <c r="Y788" i="93"/>
  <c r="FJ768" i="93"/>
  <c r="IB768" i="93"/>
  <c r="GM772" i="93"/>
  <c r="JC781" i="93"/>
  <c r="GM767" i="93"/>
  <c r="GX767" i="93"/>
  <c r="GB768" i="93"/>
  <c r="JM768" i="93"/>
  <c r="FU771" i="93"/>
  <c r="BP773" i="93"/>
  <c r="HM767" i="93"/>
  <c r="GC768" i="93"/>
  <c r="JN768" i="93"/>
  <c r="GU771" i="93"/>
  <c r="DP773" i="93"/>
  <c r="IB767" i="93"/>
  <c r="IW777" i="93"/>
  <c r="BH767" i="93"/>
  <c r="GP768" i="93"/>
  <c r="CY767" i="93"/>
  <c r="JP767" i="93"/>
  <c r="GU768" i="93"/>
  <c r="EG769" i="93"/>
  <c r="IW769" i="93"/>
  <c r="BK781" i="93"/>
  <c r="FY767" i="93"/>
  <c r="DR769" i="93"/>
  <c r="EZ767" i="93"/>
  <c r="FI772" i="93"/>
  <c r="EC777" i="93"/>
  <c r="JG783" i="93"/>
  <c r="GB783" i="93"/>
  <c r="IK783" i="93"/>
  <c r="GS783" i="93"/>
  <c r="DB783" i="93"/>
  <c r="JN783" i="93"/>
  <c r="HA783" i="93"/>
  <c r="DP783" i="93"/>
  <c r="AN783" i="93"/>
  <c r="HI783" i="93"/>
  <c r="EJ783" i="93"/>
  <c r="JK783" i="93"/>
  <c r="HG783" i="93"/>
  <c r="EF783" i="93"/>
  <c r="BT783" i="93"/>
  <c r="IB783" i="93"/>
  <c r="FE783" i="93"/>
  <c r="CV783" i="93"/>
  <c r="JH783" i="93"/>
  <c r="HM783" i="93"/>
  <c r="CU783" i="93"/>
  <c r="GL783" i="93"/>
  <c r="FK783" i="93"/>
  <c r="IL783" i="93"/>
  <c r="DY783" i="93"/>
  <c r="DU783" i="93"/>
  <c r="DD783" i="93"/>
  <c r="HY783" i="93"/>
  <c r="FC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HW768" i="93"/>
  <c r="HO768" i="93"/>
  <c r="HG768" i="93"/>
  <c r="GY768" i="93"/>
  <c r="GQ768" i="93"/>
  <c r="GI768" i="93"/>
  <c r="GA768" i="93"/>
  <c r="FS768" i="93"/>
  <c r="FK768" i="93"/>
  <c r="FC768" i="93"/>
  <c r="JP768" i="93"/>
  <c r="IC768" i="93"/>
  <c r="HU768" i="93"/>
  <c r="HM768" i="93"/>
  <c r="HE768" i="93"/>
  <c r="GW768" i="93"/>
  <c r="GO768" i="93"/>
  <c r="GG768" i="93"/>
  <c r="FY768" i="93"/>
  <c r="FQ768" i="93"/>
  <c r="FI768" i="93"/>
  <c r="FA768" i="93"/>
  <c r="JG768" i="93"/>
  <c r="HZ768" i="93"/>
  <c r="HP768" i="93"/>
  <c r="HD768" i="93"/>
  <c r="GT768" i="93"/>
  <c r="GJ768" i="93"/>
  <c r="FX768" i="93"/>
  <c r="FN768" i="93"/>
  <c r="FD768" i="93"/>
  <c r="JQ768" i="93"/>
  <c r="JF768" i="93"/>
  <c r="HY768" i="93"/>
  <c r="HN768" i="93"/>
  <c r="HC768" i="93"/>
  <c r="GS768" i="93"/>
  <c r="GH768" i="93"/>
  <c r="FM768" i="93"/>
  <c r="FB768" i="93"/>
  <c r="DA768" i="93"/>
  <c r="EZ768" i="93"/>
  <c r="FW768" i="93"/>
  <c r="CZ768" i="93"/>
  <c r="JO768" i="93"/>
  <c r="HX768" i="93"/>
  <c r="HL768" i="93"/>
  <c r="HB768" i="93"/>
  <c r="GR768" i="93"/>
  <c r="GF768" i="93"/>
  <c r="FV768" i="93"/>
  <c r="FL768" i="93"/>
  <c r="JN776" i="93"/>
  <c r="JO776" i="93"/>
  <c r="IA776" i="93"/>
  <c r="GE776" i="93"/>
  <c r="FO776" i="93"/>
  <c r="JO784" i="93"/>
  <c r="IB784" i="93"/>
  <c r="HT784" i="93"/>
  <c r="HL784" i="93"/>
  <c r="HD784" i="93"/>
  <c r="GV784" i="93"/>
  <c r="GN784" i="93"/>
  <c r="GF784" i="93"/>
  <c r="FX784" i="93"/>
  <c r="FP784" i="93"/>
  <c r="FH784" i="93"/>
  <c r="EZ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HY784" i="93"/>
  <c r="HO784" i="93"/>
  <c r="HE784" i="93"/>
  <c r="GS784" i="93"/>
  <c r="GI784" i="93"/>
  <c r="FY784" i="93"/>
  <c r="FM784" i="93"/>
  <c r="FC784" i="93"/>
  <c r="DB784" i="93"/>
  <c r="JQ784" i="93"/>
  <c r="HX784" i="93"/>
  <c r="HN784" i="93"/>
  <c r="HB784" i="93"/>
  <c r="GR784" i="93"/>
  <c r="GH784" i="93"/>
  <c r="FV784" i="93"/>
  <c r="FL784" i="93"/>
  <c r="FB784" i="93"/>
  <c r="CZ784" i="93"/>
  <c r="JP784" i="93"/>
  <c r="HW784" i="93"/>
  <c r="HM784" i="93"/>
  <c r="HA784" i="93"/>
  <c r="GQ784" i="93"/>
  <c r="GG784" i="93"/>
  <c r="FU784" i="93"/>
  <c r="FK784" i="93"/>
  <c r="FA784" i="93"/>
  <c r="CY784" i="93"/>
  <c r="JM784" i="93"/>
  <c r="HV784" i="93"/>
  <c r="HJ784" i="93"/>
  <c r="GZ784" i="93"/>
  <c r="GP784" i="93"/>
  <c r="GD784" i="93"/>
  <c r="FT784" i="93"/>
  <c r="FJ784" i="93"/>
  <c r="EX784" i="93"/>
  <c r="CX784" i="93"/>
  <c r="IC784" i="93"/>
  <c r="GX784" i="93"/>
  <c r="FS784" i="93"/>
  <c r="HU784" i="93"/>
  <c r="GW784" i="93"/>
  <c r="FR784" i="93"/>
  <c r="HR784" i="93"/>
  <c r="GO784" i="93"/>
  <c r="FQ784" i="93"/>
  <c r="HQ784" i="93"/>
  <c r="GL784" i="93"/>
  <c r="FI784" i="93"/>
  <c r="HI784" i="93"/>
  <c r="GK784" i="93"/>
  <c r="FF784" i="93"/>
  <c r="HH784" i="93"/>
  <c r="HG784" i="93"/>
  <c r="GY784" i="93"/>
  <c r="GC784" i="93"/>
  <c r="GB784" i="93"/>
  <c r="IZ784" i="93"/>
  <c r="GA784" i="93"/>
  <c r="EW784" i="93"/>
  <c r="HU792" i="93"/>
  <c r="GV792" i="93"/>
  <c r="FX792" i="93"/>
  <c r="JP792" i="93"/>
  <c r="HT792" i="93"/>
  <c r="GP792" i="93"/>
  <c r="FW792" i="93"/>
  <c r="DA792" i="93"/>
  <c r="HS792" i="93"/>
  <c r="GO792" i="93"/>
  <c r="FP792" i="93"/>
  <c r="HL792" i="93"/>
  <c r="GN792" i="93"/>
  <c r="FJ792" i="93"/>
  <c r="HF792" i="93"/>
  <c r="GM792" i="93"/>
  <c r="FI792" i="93"/>
  <c r="HE792" i="93"/>
  <c r="EZ792" i="93"/>
  <c r="HD792" i="93"/>
  <c r="GF792" i="93"/>
  <c r="JG792" i="93"/>
  <c r="IB792" i="93"/>
  <c r="HV792" i="93"/>
  <c r="HC792" i="93"/>
  <c r="FZ792" i="93"/>
  <c r="FY792" i="93"/>
  <c r="FH792" i="93"/>
  <c r="FG792" i="93"/>
  <c r="GG800" i="93"/>
  <c r="GD800" i="93"/>
  <c r="FU800" i="93"/>
  <c r="DB800" i="93"/>
  <c r="HH800" i="93"/>
  <c r="HQ800" i="93"/>
  <c r="HF800" i="93"/>
  <c r="DA800" i="93"/>
  <c r="JD772" i="93"/>
  <c r="JD780" i="93"/>
  <c r="JN780" i="93"/>
  <c r="EZ780" i="93"/>
  <c r="JQ788" i="93"/>
  <c r="JN788" i="93"/>
  <c r="JM788" i="93"/>
  <c r="JF788" i="93"/>
  <c r="CU772" i="93"/>
  <c r="CV780" i="93"/>
  <c r="CW788" i="93"/>
  <c r="CT788" i="93"/>
  <c r="HR772" i="93"/>
  <c r="GL772" i="93"/>
  <c r="FF772" i="93"/>
  <c r="HA772" i="93"/>
  <c r="FU772" i="93"/>
  <c r="HO772" i="93"/>
  <c r="GI772" i="93"/>
  <c r="FC772" i="93"/>
  <c r="GX772" i="93"/>
  <c r="FR772" i="93"/>
  <c r="GZ772" i="93"/>
  <c r="IC772" i="93"/>
  <c r="FQ772" i="93"/>
  <c r="GF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GQ796" i="93"/>
  <c r="GH796" i="93"/>
  <c r="HN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HD791" i="93"/>
  <c r="GK791" i="93"/>
  <c r="FU791" i="93"/>
  <c r="FE791" i="93"/>
  <c r="ET791" i="93"/>
  <c r="DR791" i="93"/>
  <c r="CY791" i="93"/>
  <c r="BZ791" i="93"/>
  <c r="BB791" i="93"/>
  <c r="JH791" i="93"/>
  <c r="HA791" i="93"/>
  <c r="GJ791" i="93"/>
  <c r="FT791" i="93"/>
  <c r="FD791" i="93"/>
  <c r="EN791" i="93"/>
  <c r="DL791" i="93"/>
  <c r="CW791" i="93"/>
  <c r="BY791" i="93"/>
  <c r="AV791" i="93"/>
  <c r="IB791" i="93"/>
  <c r="GW791" i="93"/>
  <c r="GG791" i="93"/>
  <c r="FQ791" i="93"/>
  <c r="FA791" i="93"/>
  <c r="EM791" i="93"/>
  <c r="DK791" i="93"/>
  <c r="CV791" i="93"/>
  <c r="BX791" i="93"/>
  <c r="AP791" i="93"/>
  <c r="JB791" i="93"/>
  <c r="HY791" i="93"/>
  <c r="GV791" i="93"/>
  <c r="GF791" i="93"/>
  <c r="FP791" i="93"/>
  <c r="EH791" i="93"/>
  <c r="DF791" i="93"/>
  <c r="CP791" i="93"/>
  <c r="BW791" i="93"/>
  <c r="AN791" i="93"/>
  <c r="IV791" i="93"/>
  <c r="HT791" i="93"/>
  <c r="GS791" i="93"/>
  <c r="GC791" i="93"/>
  <c r="FM791" i="93"/>
  <c r="EY791" i="93"/>
  <c r="EF791" i="93"/>
  <c r="DC791" i="93"/>
  <c r="CN791" i="93"/>
  <c r="BV791" i="93"/>
  <c r="AI791" i="93"/>
  <c r="HL791" i="93"/>
  <c r="FL791" i="93"/>
  <c r="DS791" i="93"/>
  <c r="BP791" i="93"/>
  <c r="HI791" i="93"/>
  <c r="FI791" i="93"/>
  <c r="DB791" i="93"/>
  <c r="BK791" i="93"/>
  <c r="JJ791" i="93"/>
  <c r="GO791" i="93"/>
  <c r="EX791" i="93"/>
  <c r="CZ791" i="93"/>
  <c r="AA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AY779" i="93"/>
  <c r="BI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IA775" i="93"/>
  <c r="EQ777" i="93"/>
  <c r="JE767" i="93"/>
  <c r="FB771" i="93"/>
  <c r="EV777" i="93"/>
  <c r="HB795" i="93"/>
  <c r="BD803" i="93"/>
  <c r="DX797" i="93"/>
  <c r="IJ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DH769" i="93"/>
  <c r="DV769" i="93"/>
  <c r="EO769" i="93"/>
  <c r="A771" i="93"/>
  <c r="FE771" i="93"/>
  <c r="GE771" i="93"/>
  <c r="HI771" i="93"/>
  <c r="HT772" i="93"/>
  <c r="X773" i="93"/>
  <c r="CR773" i="93"/>
  <c r="EC773" i="93"/>
  <c r="JA773" i="93"/>
  <c r="G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Q779" i="93"/>
  <c r="GK779" i="93"/>
  <c r="FE779" i="93"/>
  <c r="GZ779" i="93"/>
  <c r="FT779" i="93"/>
  <c r="HO779" i="93"/>
  <c r="GI779" i="93"/>
  <c r="FC779" i="93"/>
  <c r="GX779" i="93"/>
  <c r="FR779" i="93"/>
  <c r="HU779" i="93"/>
  <c r="GO779" i="93"/>
  <c r="FI779" i="93"/>
  <c r="FG779" i="93"/>
  <c r="FF779" i="93"/>
  <c r="IB779" i="93"/>
  <c r="HC779" i="93"/>
  <c r="GT779" i="93"/>
  <c r="GI803" i="93"/>
  <c r="FC803" i="93"/>
  <c r="GZ803" i="93"/>
  <c r="DS769" i="93"/>
  <c r="FB775" i="93"/>
  <c r="X783" i="93"/>
  <c r="DE767" i="93"/>
  <c r="GA767" i="93"/>
  <c r="HO767" i="93"/>
  <c r="EW768" i="93"/>
  <c r="GV768" i="93"/>
  <c r="HA771" i="93"/>
  <c r="CJ773" i="93"/>
  <c r="JJ777" i="93"/>
  <c r="BX767" i="93"/>
  <c r="DU767" i="93"/>
  <c r="FG767" i="93"/>
  <c r="FR767" i="93"/>
  <c r="GF767" i="93"/>
  <c r="GQ767" i="93"/>
  <c r="HE767" i="93"/>
  <c r="HV767" i="93"/>
  <c r="JG767" i="93"/>
  <c r="CT768" i="93"/>
  <c r="EY768" i="93"/>
  <c r="FR768" i="93"/>
  <c r="GK768" i="93"/>
  <c r="GZ768" i="93"/>
  <c r="HR768" i="93"/>
  <c r="DI769" i="93"/>
  <c r="EA769" i="93"/>
  <c r="EP769" i="93"/>
  <c r="FM771" i="93"/>
  <c r="GH771" i="93"/>
  <c r="HJ771" i="93"/>
  <c r="JC771" i="93"/>
  <c r="HU772" i="93"/>
  <c r="AF773" i="93"/>
  <c r="CT773" i="93"/>
  <c r="DR775" i="93"/>
  <c r="II775" i="93"/>
  <c r="DO777" i="93"/>
  <c r="GN780" i="93"/>
  <c r="HW783" i="93"/>
  <c r="HP788" i="93"/>
  <c r="CZ767" i="93"/>
  <c r="GN767" i="93"/>
  <c r="HN767" i="93"/>
  <c r="JQ767" i="93"/>
  <c r="GC771" i="93"/>
  <c r="DT773" i="93"/>
  <c r="BV767" i="93"/>
  <c r="FP767" i="93"/>
  <c r="HC767" i="93"/>
  <c r="FO768" i="93"/>
  <c r="IY769" i="93"/>
  <c r="DU773" i="93"/>
  <c r="GU767" i="93"/>
  <c r="EB769" i="93"/>
  <c r="FN771" i="93"/>
  <c r="HK771" i="93"/>
  <c r="HC772" i="93"/>
  <c r="CU773" i="93"/>
  <c r="DV775" i="93"/>
  <c r="FW779" i="93"/>
  <c r="JQ775" i="93"/>
  <c r="HU775" i="93"/>
  <c r="GO775" i="93"/>
  <c r="FI775" i="93"/>
  <c r="CZ775" i="93"/>
  <c r="JP775" i="93"/>
  <c r="HT775" i="93"/>
  <c r="GN775" i="93"/>
  <c r="FH775" i="93"/>
  <c r="CY775" i="93"/>
  <c r="JN775" i="93"/>
  <c r="HR775" i="93"/>
  <c r="GL775" i="93"/>
  <c r="FF775" i="93"/>
  <c r="CW775" i="93"/>
  <c r="JM775" i="93"/>
  <c r="HQ775" i="93"/>
  <c r="GK775" i="93"/>
  <c r="FE775" i="93"/>
  <c r="CT775" i="93"/>
  <c r="JD775" i="93"/>
  <c r="GB775" i="93"/>
  <c r="BX775" i="93"/>
  <c r="HG775" i="93"/>
  <c r="EQ775" i="93"/>
  <c r="HV775" i="93"/>
  <c r="FJ775" i="93"/>
  <c r="IQ799" i="93"/>
  <c r="CR799" i="93"/>
  <c r="CI799" i="93"/>
  <c r="DF799" i="93"/>
  <c r="DC799" i="93"/>
  <c r="EZ779" i="93"/>
  <c r="JQ803" i="93"/>
  <c r="JP803" i="93"/>
  <c r="CU787" i="93"/>
  <c r="BM787" i="93"/>
  <c r="CT787" i="93"/>
  <c r="BB787" i="93"/>
  <c r="AQ787" i="93"/>
  <c r="BF787" i="93"/>
  <c r="CX787" i="93"/>
  <c r="AU787" i="93"/>
  <c r="BQ787" i="93"/>
  <c r="BX789" i="93"/>
  <c r="BU789" i="93"/>
  <c r="CZ789" i="93"/>
  <c r="BU767" i="93"/>
  <c r="FO767" i="93"/>
  <c r="GY767" i="93"/>
  <c r="JC767" i="93"/>
  <c r="EL769" i="93"/>
  <c r="GX771" i="93"/>
  <c r="JF777" i="93"/>
  <c r="GC795" i="93"/>
  <c r="FB767" i="93"/>
  <c r="GO767" i="93"/>
  <c r="BU768" i="93"/>
  <c r="GD768" i="93"/>
  <c r="HK768" i="93"/>
  <c r="DF769" i="93"/>
  <c r="DT769" i="93"/>
  <c r="EN769" i="93"/>
  <c r="GD771" i="93"/>
  <c r="IA771" i="93"/>
  <c r="JO772" i="93"/>
  <c r="IZ773" i="93"/>
  <c r="GE775" i="93"/>
  <c r="CL767" i="93"/>
  <c r="EC767" i="93"/>
  <c r="FH767" i="93"/>
  <c r="FS767" i="93"/>
  <c r="GG767" i="93"/>
  <c r="HF767" i="93"/>
  <c r="HW767" i="93"/>
  <c r="JH767" i="93"/>
  <c r="FE768" i="93"/>
  <c r="FT768" i="93"/>
  <c r="GL768" i="93"/>
  <c r="HA768" i="93"/>
  <c r="HS768" i="93"/>
  <c r="DJ769" i="93"/>
  <c r="EQ769" i="93"/>
  <c r="IN769" i="93"/>
  <c r="GK771" i="93"/>
  <c r="BA773" i="93"/>
  <c r="DT777" i="93"/>
  <c r="CV767" i="93"/>
  <c r="EK767" i="93"/>
  <c r="FI767" i="93"/>
  <c r="FW767" i="93"/>
  <c r="GH767" i="93"/>
  <c r="GV767" i="93"/>
  <c r="HG767" i="93"/>
  <c r="HY767" i="93"/>
  <c r="JN767" i="93"/>
  <c r="FF768" i="93"/>
  <c r="FU768" i="93"/>
  <c r="GM768" i="93"/>
  <c r="HF768" i="93"/>
  <c r="HT768" i="93"/>
  <c r="JK768" i="93"/>
  <c r="DK769" i="93"/>
  <c r="ED769" i="93"/>
  <c r="IT769" i="93"/>
  <c r="AS771" i="93"/>
  <c r="FO771" i="93"/>
  <c r="GS771" i="93"/>
  <c r="HN771" i="93"/>
  <c r="FG772" i="93"/>
  <c r="BI773" i="93"/>
  <c r="CX773" i="93"/>
  <c r="FR775" i="93"/>
  <c r="DU777" i="93"/>
  <c r="FE784" i="93"/>
  <c r="HJ780" i="93"/>
  <c r="CW767" i="93"/>
  <c r="EY767" i="93"/>
  <c r="FJ767" i="93"/>
  <c r="FX767" i="93"/>
  <c r="GI767" i="93"/>
  <c r="GW767" i="93"/>
  <c r="HL767" i="93"/>
  <c r="IA767" i="93"/>
  <c r="JO767" i="93"/>
  <c r="FG768" i="93"/>
  <c r="FZ768" i="93"/>
  <c r="GN768" i="93"/>
  <c r="HH768" i="93"/>
  <c r="HV768" i="93"/>
  <c r="JL768" i="93"/>
  <c r="DQ769" i="93"/>
  <c r="EF769" i="93"/>
  <c r="BA771" i="93"/>
  <c r="FR771" i="93"/>
  <c r="GT771" i="93"/>
  <c r="HQ771" i="93"/>
  <c r="GE772" i="93"/>
  <c r="BL773" i="93"/>
  <c r="DH773" i="93"/>
  <c r="CM775" i="93"/>
  <c r="HP775" i="93"/>
  <c r="BJ781"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GP793" i="93"/>
  <c r="DA793" i="93"/>
  <c r="W793" i="93"/>
  <c r="GO793" i="93"/>
  <c r="CZ793" i="93"/>
  <c r="IL793" i="93"/>
  <c r="FX793" i="93"/>
  <c r="CC793" i="93"/>
  <c r="HS793" i="93"/>
  <c r="FG793" i="93"/>
  <c r="BF793" i="93"/>
  <c r="GX793" i="93"/>
  <c r="DU793" i="93"/>
  <c r="AE793" i="93"/>
  <c r="AW793" i="93"/>
  <c r="AV793" i="93"/>
  <c r="CL793" i="93"/>
  <c r="GG793" i="93"/>
  <c r="BT793" i="93"/>
  <c r="IB793" i="93"/>
  <c r="AB793" i="93"/>
  <c r="EY793" i="93"/>
  <c r="HA801" i="93"/>
  <c r="FY801" i="93"/>
  <c r="FT801" i="93"/>
  <c r="BR801" i="93"/>
  <c r="BJ801" i="93"/>
  <c r="AX801" i="93"/>
  <c r="GQ801" i="93"/>
  <c r="JJ773" i="93"/>
  <c r="JF773"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T789" i="93"/>
  <c r="CT797" i="93"/>
  <c r="IX799" i="93"/>
  <c r="IX771" i="93"/>
  <c r="ET771" i="93"/>
  <c r="ED771" i="93"/>
  <c r="DN771" i="93"/>
  <c r="IW771" i="93"/>
  <c r="ES771" i="93"/>
  <c r="EC771" i="93"/>
  <c r="DM771" i="93"/>
  <c r="IS771" i="93"/>
  <c r="EO771" i="93"/>
  <c r="DY771" i="93"/>
  <c r="DI771" i="93"/>
  <c r="IP771" i="93"/>
  <c r="EL771" i="93"/>
  <c r="DV771" i="93"/>
  <c r="DF771" i="93"/>
  <c r="DW779" i="93"/>
  <c r="DR779" i="93"/>
  <c r="EG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J789" i="93"/>
  <c r="GD789" i="93"/>
  <c r="HI789" i="93"/>
  <c r="GC789" i="93"/>
  <c r="HX789" i="93"/>
  <c r="GR789" i="93"/>
  <c r="FL789" i="93"/>
  <c r="HG789" i="93"/>
  <c r="GA789" i="93"/>
  <c r="HV789" i="93"/>
  <c r="GP789" i="93"/>
  <c r="FJ789" i="93"/>
  <c r="GM789" i="93"/>
  <c r="GG789" i="93"/>
  <c r="GE789" i="93"/>
  <c r="FN789" i="93"/>
  <c r="HS789" i="93"/>
  <c r="GF789" i="93"/>
  <c r="FX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FG790" i="93"/>
  <c r="JN792" i="93"/>
  <c r="JF792" i="93"/>
  <c r="HZ792" i="93"/>
  <c r="HR792" i="93"/>
  <c r="HJ792" i="93"/>
  <c r="HB792" i="93"/>
  <c r="GT792" i="93"/>
  <c r="GL792" i="93"/>
  <c r="GD792" i="93"/>
  <c r="FV792" i="93"/>
  <c r="FN792" i="93"/>
  <c r="FF792" i="93"/>
  <c r="EX792" i="93"/>
  <c r="CX792" i="93"/>
  <c r="JM792" i="93"/>
  <c r="HY792" i="93"/>
  <c r="HQ792" i="93"/>
  <c r="HI792" i="93"/>
  <c r="HA792" i="93"/>
  <c r="GS792" i="93"/>
  <c r="GK792" i="93"/>
  <c r="GC792" i="93"/>
  <c r="FU792" i="93"/>
  <c r="FM792" i="93"/>
  <c r="FE792" i="93"/>
  <c r="EW792" i="93"/>
  <c r="BU792" i="93"/>
  <c r="HX792" i="93"/>
  <c r="HP792" i="93"/>
  <c r="HH792" i="93"/>
  <c r="GZ792" i="93"/>
  <c r="GR792" i="93"/>
  <c r="GJ792" i="93"/>
  <c r="GB792" i="93"/>
  <c r="FT792" i="93"/>
  <c r="FL792" i="93"/>
  <c r="FD792" i="93"/>
  <c r="JK792" i="93"/>
  <c r="HW792" i="93"/>
  <c r="HO792" i="93"/>
  <c r="HG792" i="93"/>
  <c r="GY792" i="93"/>
  <c r="GQ792" i="93"/>
  <c r="GI792" i="93"/>
  <c r="GA792" i="93"/>
  <c r="FS792" i="93"/>
  <c r="FK792" i="93"/>
  <c r="FC792" i="93"/>
  <c r="DC792" i="93"/>
  <c r="JO800" i="93"/>
  <c r="HP800" i="93"/>
  <c r="HB800" i="93"/>
  <c r="GP800" i="93"/>
  <c r="GC800" i="93"/>
  <c r="FQ800" i="93"/>
  <c r="FD800" i="93"/>
  <c r="HZ800" i="93"/>
  <c r="HN800" i="93"/>
  <c r="HA800" i="93"/>
  <c r="GO800" i="93"/>
  <c r="GB800" i="93"/>
  <c r="FN800" i="93"/>
  <c r="FB800" i="93"/>
  <c r="JQ800" i="93"/>
  <c r="HY800" i="93"/>
  <c r="HM800" i="93"/>
  <c r="GZ800" i="93"/>
  <c r="GL800" i="93"/>
  <c r="FZ800" i="93"/>
  <c r="FM800" i="93"/>
  <c r="FA800" i="93"/>
  <c r="JN800" i="93"/>
  <c r="HX800" i="93"/>
  <c r="HJ800" i="93"/>
  <c r="GX800" i="93"/>
  <c r="GK800" i="93"/>
  <c r="FY800" i="93"/>
  <c r="FL800" i="93"/>
  <c r="EX800" i="93"/>
  <c r="BY800" i="93"/>
  <c r="JM800" i="93"/>
  <c r="HV800" i="93"/>
  <c r="HI800" i="93"/>
  <c r="GW800" i="93"/>
  <c r="GJ800" i="93"/>
  <c r="FV800" i="93"/>
  <c r="FJ800" i="93"/>
  <c r="EW800" i="93"/>
  <c r="JP788" i="93"/>
  <c r="JH788" i="93"/>
  <c r="JE796" i="93"/>
  <c r="JI804" i="93"/>
  <c r="HJ796" i="93"/>
  <c r="FS796" i="93"/>
  <c r="HI796" i="93"/>
  <c r="FR796" i="93"/>
  <c r="GW796" i="93"/>
  <c r="FH796" i="93"/>
  <c r="GJ796" i="93"/>
  <c r="HQ796" i="93"/>
  <c r="FY796" i="93"/>
  <c r="HD804" i="93"/>
  <c r="FH804" i="93"/>
  <c r="GZ804" i="93"/>
  <c r="FD804" i="93"/>
  <c r="GO804" i="93"/>
  <c r="GN804" i="93"/>
  <c r="GJ804" i="93"/>
  <c r="HT804" i="93"/>
  <c r="FX804" i="93"/>
  <c r="FE800" i="93"/>
  <c r="GH800" i="93"/>
  <c r="HR800" i="93"/>
  <c r="EY792" i="93"/>
  <c r="FO792" i="93"/>
  <c r="GE792" i="93"/>
  <c r="GU792" i="93"/>
  <c r="HK792" i="93"/>
  <c r="IA792" i="93"/>
  <c r="JO792" i="93"/>
  <c r="GZ796" i="93"/>
  <c r="FF800" i="93"/>
  <c r="GR800" i="93"/>
  <c r="HU800" i="93"/>
  <c r="FI800" i="93"/>
  <c r="GS800" i="93"/>
  <c r="JC800" i="93"/>
  <c r="FI804" i="93"/>
  <c r="JO788" i="93"/>
  <c r="BY792" i="93"/>
  <c r="FA792" i="93"/>
  <c r="FQ792" i="93"/>
  <c r="GG792" i="93"/>
  <c r="GW792" i="93"/>
  <c r="HM792" i="93"/>
  <c r="IC792" i="93"/>
  <c r="JQ792" i="93"/>
  <c r="FD796" i="93"/>
  <c r="AM800" i="93"/>
  <c r="FR800" i="93"/>
  <c r="GT800" i="93"/>
  <c r="FY804" i="93"/>
  <c r="FB792" i="93"/>
  <c r="FR792" i="93"/>
  <c r="GH792" i="93"/>
  <c r="GX792" i="93"/>
  <c r="HN792" i="93"/>
  <c r="FE796" i="93"/>
  <c r="BU800" i="93"/>
  <c r="FT800" i="93"/>
  <c r="HE800" i="93"/>
  <c r="HP804" i="93"/>
  <c r="AP793" i="93"/>
  <c r="CG793" i="93"/>
  <c r="ER793" i="93"/>
  <c r="FS793" i="93"/>
  <c r="GA793" i="93"/>
  <c r="GY793" i="93"/>
  <c r="HG793" i="93"/>
  <c r="IF793" i="93"/>
  <c r="IS793" i="93"/>
  <c r="DX795" i="93"/>
  <c r="JA795" i="93"/>
  <c r="FJ797" i="93"/>
  <c r="FT797" i="93"/>
  <c r="GE797" i="93"/>
  <c r="GP797" i="93"/>
  <c r="GZ797" i="93"/>
  <c r="HK797" i="93"/>
  <c r="HV797" i="93"/>
  <c r="BV799" i="93"/>
  <c r="CV799" i="93"/>
  <c r="ID799" i="93"/>
  <c r="CL801" i="93"/>
  <c r="GU801" i="93"/>
  <c r="IZ771" i="93"/>
  <c r="JK803" i="93"/>
  <c r="JL799" i="93"/>
  <c r="AR793" i="93"/>
  <c r="BB793" i="93"/>
  <c r="CH793" i="93"/>
  <c r="CS793" i="93"/>
  <c r="EV793" i="93"/>
  <c r="FD793" i="93"/>
  <c r="GB793" i="93"/>
  <c r="GJ793" i="93"/>
  <c r="HH793" i="93"/>
  <c r="HP793" i="93"/>
  <c r="IW793" i="93"/>
  <c r="DY795" i="93"/>
  <c r="JF795" i="93"/>
  <c r="FK797" i="93"/>
  <c r="FV797" i="93"/>
  <c r="GF797" i="93"/>
  <c r="GQ797" i="93"/>
  <c r="HB797" i="93"/>
  <c r="HL797" i="93"/>
  <c r="HW797" i="93"/>
  <c r="CW799" i="93"/>
  <c r="DN799" i="93"/>
  <c r="CP801" i="93"/>
  <c r="HE801" i="93"/>
  <c r="JE804" i="93"/>
  <c r="H894" i="93"/>
  <c r="P894" i="93"/>
  <c r="L898" i="93"/>
  <c r="AH793" i="93"/>
  <c r="AS793" i="93"/>
  <c r="BD793" i="93"/>
  <c r="BY793" i="93"/>
  <c r="CJ793" i="93"/>
  <c r="CT793" i="93"/>
  <c r="EB793" i="93"/>
  <c r="EW793" i="93"/>
  <c r="FE793" i="93"/>
  <c r="FU793" i="93"/>
  <c r="GC793" i="93"/>
  <c r="GK793" i="93"/>
  <c r="HA793" i="93"/>
  <c r="HI793" i="93"/>
  <c r="HQ793" i="93"/>
  <c r="IH793" i="93"/>
  <c r="IX793" i="93"/>
  <c r="EE795" i="93"/>
  <c r="JG795" i="93"/>
  <c r="FB797" i="93"/>
  <c r="FL797" i="93"/>
  <c r="FW797" i="93"/>
  <c r="GH797" i="93"/>
  <c r="GR797" i="93"/>
  <c r="HC797" i="93"/>
  <c r="HN797" i="93"/>
  <c r="HX797" i="93"/>
  <c r="AI799" i="93"/>
  <c r="BX799" i="93"/>
  <c r="CY799" i="93"/>
  <c r="EZ799" i="93"/>
  <c r="IN799" i="93"/>
  <c r="CY801" i="93"/>
  <c r="HK801" i="93"/>
  <c r="O839" i="93"/>
  <c r="O885" i="93"/>
  <c r="AA793" i="93"/>
  <c r="AT793" i="93"/>
  <c r="BE793" i="93"/>
  <c r="BP793" i="93"/>
  <c r="CK793" i="93"/>
  <c r="CV793" i="93"/>
  <c r="DJ793" i="93"/>
  <c r="EX793" i="93"/>
  <c r="FF793" i="93"/>
  <c r="FN793" i="93"/>
  <c r="GD793" i="93"/>
  <c r="GL793" i="93"/>
  <c r="GT793" i="93"/>
  <c r="HJ793" i="93"/>
  <c r="HR793" i="93"/>
  <c r="HZ793" i="93"/>
  <c r="DD795" i="93"/>
  <c r="EF795" i="93"/>
  <c r="CH797" i="93"/>
  <c r="FC797" i="93"/>
  <c r="FN797" i="93"/>
  <c r="FX797" i="93"/>
  <c r="GI797" i="93"/>
  <c r="GT797" i="93"/>
  <c r="HD797" i="93"/>
  <c r="HO797" i="93"/>
  <c r="HZ797" i="93"/>
  <c r="BY799" i="93"/>
  <c r="CZ799" i="93"/>
  <c r="DW799" i="93"/>
  <c r="Z801" i="93"/>
  <c r="FD801" i="93"/>
  <c r="IZ767" i="93"/>
  <c r="HF797" i="93"/>
  <c r="HP797" i="93"/>
  <c r="AZ799" i="93"/>
  <c r="CE799" i="93"/>
  <c r="EA799" i="93"/>
  <c r="AU801" i="93"/>
  <c r="FK801" i="93"/>
  <c r="JJ771" i="93"/>
  <c r="HQ799" i="93"/>
  <c r="JL801" i="93"/>
  <c r="L885" i="93"/>
  <c r="M903" i="93"/>
  <c r="I907" i="93"/>
  <c r="G916" i="93"/>
  <c r="K932" i="93"/>
  <c r="FW776" i="93"/>
  <c r="JG776" i="93"/>
  <c r="GM776" i="93"/>
  <c r="GU776" i="93"/>
  <c r="CZ776" i="93"/>
  <c r="HC776" i="93"/>
  <c r="EY776" i="93"/>
  <c r="HK776" i="93"/>
  <c r="FG776" i="93"/>
  <c r="H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R805" i="93" s="1"/>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AV805" i="93" s="1"/>
  <c r="J822" i="93" s="1"/>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D976" i="93" s="1"/>
  <c r="AR805" i="93"/>
  <c r="DS805" i="93"/>
  <c r="J832" i="93" s="1"/>
  <c r="DD805" i="93"/>
  <c r="J829" i="93" s="1"/>
  <c r="BE805" i="93"/>
  <c r="N821" i="93" s="1"/>
  <c r="IQ805" i="93"/>
  <c r="CE805" i="93"/>
  <c r="J871" i="93" s="1"/>
  <c r="BK805" i="93"/>
  <c r="J826" i="93" s="1"/>
  <c r="BF805" i="93"/>
  <c r="DU805" i="93"/>
  <c r="L832" i="93" s="1"/>
  <c r="BB805" i="93"/>
  <c r="K821"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S500" i="93" s="1"/>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J500" i="93" s="1"/>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53" i="93" s="1"/>
  <c r="P568" i="93" s="1"/>
  <c r="P585" i="93" s="1"/>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U450" i="93" s="1"/>
  <c r="H450" i="93"/>
  <c r="G451" i="93"/>
  <c r="H451" i="93"/>
  <c r="G452" i="93"/>
  <c r="H452" i="93"/>
  <c r="C451" i="93"/>
  <c r="D451" i="93"/>
  <c r="E451" i="93"/>
  <c r="F451" i="93"/>
  <c r="C452" i="93"/>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G465" i="93"/>
  <c r="N461" i="93"/>
  <c r="M461" i="93"/>
  <c r="M463" i="93"/>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4" i="93" s="1"/>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P554" i="93"/>
  <c r="A565" i="93"/>
  <c r="A512" i="93"/>
  <c r="S459" i="93"/>
  <c r="U561" i="93"/>
  <c r="M566" i="93"/>
  <c r="F504" i="93"/>
  <c r="G453" i="93"/>
  <c r="M459" i="93"/>
  <c r="P519" i="93"/>
  <c r="U540" i="93"/>
  <c r="J604" i="93"/>
  <c r="S453" i="93"/>
  <c r="S513" i="93"/>
  <c r="K730" i="93"/>
  <c r="J746" i="93"/>
  <c r="A452" i="93"/>
  <c r="U451" i="93"/>
  <c r="J469" i="93"/>
  <c r="P474" i="93"/>
  <c r="U526" i="93"/>
  <c r="A546" i="93"/>
  <c r="M513" i="93"/>
  <c r="G463" i="93"/>
  <c r="A561" i="93"/>
  <c r="U565" i="93"/>
  <c r="M453" i="93"/>
  <c r="A450" i="93"/>
  <c r="G500" i="93"/>
  <c r="S527" i="93"/>
  <c r="G547" i="93"/>
  <c r="L730" i="93"/>
  <c r="S463" i="93"/>
  <c r="J513" i="93"/>
  <c r="S519" i="93"/>
  <c r="P562" i="93"/>
  <c r="P582" i="93"/>
  <c r="P586" i="93" s="1"/>
  <c r="M730" i="93"/>
  <c r="L746" i="93"/>
  <c r="S474" i="93"/>
  <c r="M562" i="93"/>
  <c r="G566" i="93"/>
  <c r="S566" i="93"/>
  <c r="M746" i="93"/>
  <c r="K746" i="93"/>
  <c r="M469" i="93"/>
  <c r="P469" i="93"/>
  <c r="S469" i="93"/>
  <c r="U452" i="93"/>
  <c r="M500" i="93"/>
  <c r="P500" i="93"/>
  <c r="S547" i="93"/>
  <c r="G554" i="93"/>
  <c r="J582" i="93"/>
  <c r="J586" i="93" s="1"/>
  <c r="V568" i="93"/>
  <c r="J453" i="93"/>
  <c r="J463" i="93"/>
  <c r="M474" i="93"/>
  <c r="U512" i="93"/>
  <c r="P513" i="93"/>
  <c r="I730" i="93"/>
  <c r="G513" i="93"/>
  <c r="J519" i="93"/>
  <c r="M519" i="93"/>
  <c r="J566" i="93"/>
  <c r="P566" i="93"/>
  <c r="J730" i="93"/>
  <c r="I746" i="93"/>
  <c r="E977" i="93"/>
  <c r="E975" i="93"/>
  <c r="E971" i="93"/>
  <c r="E970" i="93"/>
  <c r="F969" i="93"/>
  <c r="D97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4" i="93" s="1"/>
  <c r="E473" i="93"/>
  <c r="E472" i="93"/>
  <c r="M568" i="93"/>
  <c r="M585" i="93" s="1"/>
  <c r="M587" i="93" s="1"/>
  <c r="M589" i="93" s="1"/>
  <c r="E972" i="93"/>
  <c r="F971" i="93"/>
  <c r="G969" i="93"/>
  <c r="F977" i="93"/>
  <c r="F975" i="93"/>
  <c r="F970"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H969" i="93"/>
  <c r="H975" i="93" s="1"/>
  <c r="G971" i="93"/>
  <c r="G977" i="93"/>
  <c r="G975" i="93"/>
  <c r="F972" i="93"/>
  <c r="P182" i="93"/>
  <c r="L49" i="93"/>
  <c r="A206" i="85"/>
  <c r="A11" i="83"/>
  <c r="I9" i="92"/>
  <c r="G11" i="91"/>
  <c r="H977" i="93"/>
  <c r="H970" i="93"/>
  <c r="F197" i="90"/>
  <c r="D101" i="90"/>
  <c r="E163" i="90"/>
  <c r="C16" i="90"/>
  <c r="A206" i="90"/>
  <c r="A200" i="90"/>
  <c r="C5" i="90"/>
  <c r="C8" i="84"/>
  <c r="E8" i="84"/>
  <c r="A1" i="89" s="1"/>
  <c r="A2" i="90"/>
  <c r="E9" i="89"/>
  <c r="H7" i="92"/>
  <c r="E50" i="89"/>
  <c r="G49" i="89"/>
  <c r="E49" i="89"/>
  <c r="C21" i="90"/>
  <c r="F30" i="89"/>
  <c r="D62" i="90" s="1"/>
  <c r="E24" i="89"/>
  <c r="E23" i="89"/>
  <c r="E21" i="89"/>
  <c r="E17" i="89"/>
  <c r="C31" i="90"/>
  <c r="E16" i="89"/>
  <c r="C30" i="90"/>
  <c r="F48" i="92" s="1"/>
  <c r="E13" i="89"/>
  <c r="E11" i="89"/>
  <c r="C25" i="90"/>
  <c r="E47" i="89"/>
  <c r="E22" i="89"/>
  <c r="E20" i="89"/>
  <c r="E19" i="89"/>
  <c r="C137" i="90" s="1"/>
  <c r="E12" i="89"/>
  <c r="C23" i="90" s="1"/>
  <c r="E10" i="89"/>
  <c r="C15" i="90" s="1"/>
  <c r="E8" i="89"/>
  <c r="C19" i="90"/>
  <c r="C142" i="90" s="1"/>
  <c r="E7" i="89"/>
  <c r="C18" i="90"/>
  <c r="C141" i="90"/>
  <c r="K7" i="88"/>
  <c r="A2" i="88"/>
  <c r="B1" i="87"/>
  <c r="D54" i="86"/>
  <c r="E54" i="86"/>
  <c r="F54" i="86"/>
  <c r="G54" i="86"/>
  <c r="H54" i="86"/>
  <c r="C1" i="86"/>
  <c r="H49" i="86"/>
  <c r="E6" i="86"/>
  <c r="K5" i="86" s="1"/>
  <c r="E4" i="86"/>
  <c r="G49" i="86"/>
  <c r="F49" i="86"/>
  <c r="E49" i="86"/>
  <c r="D49" i="86"/>
  <c r="O61" i="85"/>
  <c r="F73" i="89"/>
  <c r="Q61" i="85"/>
  <c r="N61" i="85"/>
  <c r="L61" i="85"/>
  <c r="F103" i="92"/>
  <c r="E96" i="90"/>
  <c r="E92" i="90"/>
  <c r="F39" i="89"/>
  <c r="D79" i="90" s="1"/>
  <c r="H4" i="86"/>
  <c r="E171" i="90"/>
  <c r="E170" i="90"/>
  <c r="H1" i="91"/>
  <c r="C28" i="90"/>
  <c r="G5" i="92" s="1"/>
  <c r="E28" i="89"/>
  <c r="E15" i="89"/>
  <c r="O6" i="86"/>
  <c r="F13" i="85"/>
  <c r="F12" i="85"/>
  <c r="A2" i="83"/>
  <c r="P1840" i="93"/>
  <c r="O1840" i="93"/>
  <c r="C30" i="84"/>
  <c r="C32" i="84"/>
  <c r="B32" i="84"/>
  <c r="C31" i="84"/>
  <c r="B31" i="84"/>
  <c r="C25" i="84"/>
  <c r="F15" i="85" s="1"/>
  <c r="B25" i="84"/>
  <c r="M11" i="84"/>
  <c r="G130" i="90" s="1"/>
  <c r="E16" i="84"/>
  <c r="F19" i="85" s="1"/>
  <c r="C16" i="84"/>
  <c r="A2" i="84"/>
  <c r="C14" i="84"/>
  <c r="F17" i="85" s="1"/>
  <c r="E11" i="84"/>
  <c r="E57" i="90"/>
  <c r="C11" i="84"/>
  <c r="C57" i="90" s="1"/>
  <c r="H12" i="84"/>
  <c r="C12" i="84"/>
  <c r="K11" i="84"/>
  <c r="D130" i="90" s="1"/>
  <c r="H11" i="84"/>
  <c r="C130" i="90"/>
  <c r="K10" i="84"/>
  <c r="C146" i="90" s="1"/>
  <c r="H10" i="84"/>
  <c r="C144" i="90"/>
  <c r="C10" i="84"/>
  <c r="C55" i="90" s="1"/>
  <c r="H9" i="84"/>
  <c r="D14" i="84"/>
  <c r="K36" i="88"/>
  <c r="C8" i="90"/>
  <c r="B5" i="92"/>
  <c r="E65" i="89"/>
  <c r="E5" i="89"/>
  <c r="F102" i="78"/>
  <c r="F101" i="78"/>
  <c r="G6" i="74"/>
  <c r="O12" i="86"/>
  <c r="O22" i="86"/>
  <c r="F101" i="92"/>
  <c r="F95" i="92"/>
  <c r="I65" i="92"/>
  <c r="E184" i="90"/>
  <c r="E81" i="90"/>
  <c r="C139" i="90"/>
  <c r="D39" i="88"/>
  <c r="C34" i="84"/>
  <c r="C29" i="84"/>
  <c r="K33" i="84" s="1"/>
  <c r="A47"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E19" i="72" s="1"/>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c r="P1878" i="93" s="1"/>
  <c r="P1997" i="93" s="1"/>
  <c r="G351" i="72"/>
  <c r="G1884" i="93" s="1"/>
  <c r="O343" i="72"/>
  <c r="K321" i="72"/>
  <c r="E1589" i="93"/>
  <c r="E1592" i="93"/>
  <c r="O1900" i="93"/>
  <c r="O1761" i="93"/>
  <c r="J180" i="72"/>
  <c r="P171" i="72" s="1"/>
  <c r="P1725" i="93" s="1"/>
  <c r="J181" i="72"/>
  <c r="J1735" i="93"/>
  <c r="I181" i="72"/>
  <c r="I1829" i="94" s="1"/>
  <c r="I180" i="72"/>
  <c r="I1734" i="93" s="1"/>
  <c r="I1828" i="94"/>
  <c r="I1735" i="93"/>
  <c r="P1761" i="93"/>
  <c r="E1587" i="93"/>
  <c r="P1648" i="93"/>
  <c r="E1585" i="93"/>
  <c r="O1648" i="93"/>
  <c r="P61" i="72"/>
  <c r="M286" i="72" s="1"/>
  <c r="M1833" i="93" s="1"/>
  <c r="O61" i="72"/>
  <c r="E11" i="72" s="1"/>
  <c r="E1584" i="93"/>
  <c r="B96" i="78"/>
  <c r="F384" i="73"/>
  <c r="J384" i="73" s="1"/>
  <c r="J182" i="72"/>
  <c r="J1736" i="93"/>
  <c r="I182" i="72"/>
  <c r="I1736" i="93"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c r="L801" i="93" s="1"/>
  <c r="I800" i="93"/>
  <c r="K800" i="93" s="1"/>
  <c r="L800" i="93" s="1"/>
  <c r="I799" i="93"/>
  <c r="K799" i="93" s="1"/>
  <c r="L799" i="93" s="1"/>
  <c r="I798" i="93"/>
  <c r="K798" i="93" s="1"/>
  <c r="L798" i="93" s="1"/>
  <c r="I797" i="93"/>
  <c r="K797" i="93"/>
  <c r="L797" i="93" s="1"/>
  <c r="I796" i="93"/>
  <c r="K796" i="93" s="1"/>
  <c r="L796" i="93" s="1"/>
  <c r="I795" i="93"/>
  <c r="K795" i="93" s="1"/>
  <c r="L795" i="93" s="1"/>
  <c r="I794" i="93"/>
  <c r="K794" i="93" s="1"/>
  <c r="L794" i="93" s="1"/>
  <c r="I793" i="93"/>
  <c r="K793" i="93"/>
  <c r="L793" i="93" s="1"/>
  <c r="I788" i="93"/>
  <c r="K788" i="93" s="1"/>
  <c r="L788" i="93" s="1"/>
  <c r="I783" i="93"/>
  <c r="K783" i="93" s="1"/>
  <c r="L783" i="93" s="1"/>
  <c r="I773" i="93"/>
  <c r="K773" i="93" s="1"/>
  <c r="L773" i="93" s="1"/>
  <c r="K232" i="72"/>
  <c r="K1784" i="93"/>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1" i="75"/>
  <c r="L31"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3" i="93" s="1"/>
  <c r="R808" i="94"/>
  <c r="R45" i="75"/>
  <c r="R807" i="94" s="1"/>
  <c r="R44" i="75"/>
  <c r="R806" i="94"/>
  <c r="R43" i="75"/>
  <c r="R805" i="94" s="1"/>
  <c r="R42" i="75"/>
  <c r="R804" i="94"/>
  <c r="R41" i="75"/>
  <c r="R803" i="94" s="1"/>
  <c r="R40" i="75"/>
  <c r="R802" i="94" s="1"/>
  <c r="R39" i="75"/>
  <c r="R801" i="94" s="1"/>
  <c r="R38" i="75"/>
  <c r="R800" i="94" s="1"/>
  <c r="R37" i="75"/>
  <c r="R799" i="94" s="1"/>
  <c r="R36" i="75"/>
  <c r="R798" i="94"/>
  <c r="R31" i="75"/>
  <c r="R793" i="94" s="1"/>
  <c r="R26" i="75"/>
  <c r="R788" i="94" s="1"/>
  <c r="R16" i="75"/>
  <c r="R778" i="94" s="1"/>
  <c r="R15" i="75"/>
  <c r="R777" i="94" s="1"/>
  <c r="R14" i="75"/>
  <c r="R776" i="94" s="1"/>
  <c r="R11" i="75"/>
  <c r="R773" i="94"/>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c r="M167" i="72"/>
  <c r="T167" i="72" s="1"/>
  <c r="U166" i="72" s="1"/>
  <c r="M166" i="72"/>
  <c r="T166" i="72"/>
  <c r="R420" i="72"/>
  <c r="P420" i="72"/>
  <c r="P1968" i="93" s="1"/>
  <c r="O420" i="72"/>
  <c r="P1951" i="93"/>
  <c r="S386" i="72"/>
  <c r="P1900" i="93"/>
  <c r="P1870" i="93"/>
  <c r="U300" i="72"/>
  <c r="U299" i="72"/>
  <c r="L222" i="72"/>
  <c r="L1776" i="93"/>
  <c r="P1834" i="93"/>
  <c r="O1834" i="93"/>
  <c r="M282" i="72"/>
  <c r="O33" i="72"/>
  <c r="P30" i="72" s="1"/>
  <c r="P22" i="72"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c r="A121" i="74" s="1"/>
  <c r="A58" i="74"/>
  <c r="A90" i="74"/>
  <c r="A120" i="74"/>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c r="E1127" i="94" s="1"/>
  <c r="I210" i="75"/>
  <c r="D112" i="74"/>
  <c r="D1127" i="94"/>
  <c r="H210" i="75"/>
  <c r="C112" i="74" s="1"/>
  <c r="C1127" i="94" s="1"/>
  <c r="G210" i="75"/>
  <c r="B112" i="74" s="1"/>
  <c r="B1127" i="94" s="1"/>
  <c r="R207" i="75"/>
  <c r="K206" i="75"/>
  <c r="F111" i="74" s="1"/>
  <c r="F1126" i="94" s="1"/>
  <c r="J206" i="75"/>
  <c r="E111" i="74"/>
  <c r="E1126" i="94" s="1"/>
  <c r="I206" i="75"/>
  <c r="D111" i="74"/>
  <c r="D1126" i="94"/>
  <c r="H206" i="75"/>
  <c r="C111" i="74" s="1"/>
  <c r="C1126" i="94" s="1"/>
  <c r="G206" i="75"/>
  <c r="B111" i="74" s="1"/>
  <c r="B1126" i="94" s="1"/>
  <c r="S203" i="75"/>
  <c r="P201" i="75"/>
  <c r="K82" i="74" s="1"/>
  <c r="K1097" i="94" s="1"/>
  <c r="O201" i="75"/>
  <c r="J82" i="74"/>
  <c r="J1097" i="94" s="1"/>
  <c r="N201" i="75"/>
  <c r="I82" i="74"/>
  <c r="I1097" i="94"/>
  <c r="M201" i="75"/>
  <c r="H82" i="74" s="1"/>
  <c r="H1097" i="94" s="1"/>
  <c r="L201" i="75"/>
  <c r="G82" i="74" s="1"/>
  <c r="G1097" i="94" s="1"/>
  <c r="K201" i="75"/>
  <c r="F82" i="74"/>
  <c r="F1097" i="94" s="1"/>
  <c r="J201" i="75"/>
  <c r="E82" i="74"/>
  <c r="E1097" i="94"/>
  <c r="I201" i="75"/>
  <c r="D82" i="74" s="1"/>
  <c r="D1097" i="94" s="1"/>
  <c r="H201" i="75"/>
  <c r="C82" i="74" s="1"/>
  <c r="C1097" i="94" s="1"/>
  <c r="G201" i="75"/>
  <c r="B82" i="74"/>
  <c r="B1097" i="94" s="1"/>
  <c r="R198" i="75"/>
  <c r="P197" i="75"/>
  <c r="K81" i="74"/>
  <c r="K1096" i="94" s="1"/>
  <c r="O197" i="75"/>
  <c r="J81" i="74"/>
  <c r="J1096" i="94"/>
  <c r="N197" i="75"/>
  <c r="I81" i="74" s="1"/>
  <c r="I1096" i="94" s="1"/>
  <c r="M197" i="75"/>
  <c r="H81" i="74" s="1"/>
  <c r="H1096" i="94" s="1"/>
  <c r="L197" i="75"/>
  <c r="G81" i="74"/>
  <c r="G1096" i="94" s="1"/>
  <c r="K197" i="75"/>
  <c r="F81" i="74"/>
  <c r="F1096" i="94"/>
  <c r="J197" i="75"/>
  <c r="E81" i="74" s="1"/>
  <c r="E1096" i="94" s="1"/>
  <c r="I197" i="75"/>
  <c r="D81" i="74" s="1"/>
  <c r="D1096" i="94" s="1"/>
  <c r="H197" i="75"/>
  <c r="C81" i="74"/>
  <c r="C1096" i="94" s="1"/>
  <c r="G197" i="75"/>
  <c r="B81" i="74"/>
  <c r="B1096" i="94"/>
  <c r="S194" i="75"/>
  <c r="P192" i="75"/>
  <c r="K50" i="74"/>
  <c r="K1065" i="94"/>
  <c r="O192" i="75"/>
  <c r="J50" i="74" s="1"/>
  <c r="J1065" i="94" s="1"/>
  <c r="N192" i="75"/>
  <c r="I50" i="74" s="1"/>
  <c r="I1065" i="94" s="1"/>
  <c r="M192" i="75"/>
  <c r="H50" i="74"/>
  <c r="H1065" i="94" s="1"/>
  <c r="L192" i="75"/>
  <c r="G50" i="74"/>
  <c r="G1065" i="94"/>
  <c r="K192" i="75"/>
  <c r="F50" i="74" s="1"/>
  <c r="F1065" i="94" s="1"/>
  <c r="J192" i="75"/>
  <c r="E50" i="74" s="1"/>
  <c r="E1065" i="94" s="1"/>
  <c r="I192" i="75"/>
  <c r="D50" i="74"/>
  <c r="D1065" i="94" s="1"/>
  <c r="H192" i="75"/>
  <c r="C50" i="74"/>
  <c r="C1065" i="94"/>
  <c r="G192" i="75"/>
  <c r="B50" i="74" s="1"/>
  <c r="B1065" i="94" s="1"/>
  <c r="R189" i="75"/>
  <c r="P188" i="75"/>
  <c r="K49" i="74" s="1"/>
  <c r="K1064" i="94" s="1"/>
  <c r="O188" i="75"/>
  <c r="J49" i="74" s="1"/>
  <c r="J1064" i="94" s="1"/>
  <c r="N188" i="75"/>
  <c r="I49" i="74"/>
  <c r="I1064" i="94" s="1"/>
  <c r="M188" i="75"/>
  <c r="H49" i="74"/>
  <c r="H1064" i="94"/>
  <c r="L188" i="75"/>
  <c r="G49" i="74" s="1"/>
  <c r="G1064" i="94" s="1"/>
  <c r="K188" i="75"/>
  <c r="F49" i="74" s="1"/>
  <c r="F1064" i="94" s="1"/>
  <c r="J188" i="75"/>
  <c r="E49" i="74"/>
  <c r="E1064" i="94" s="1"/>
  <c r="I188" i="75"/>
  <c r="D49" i="74"/>
  <c r="D1064" i="94"/>
  <c r="H188" i="75"/>
  <c r="C49" i="74" s="1"/>
  <c r="C1064" i="94" s="1"/>
  <c r="G188" i="75"/>
  <c r="B49" i="74" s="1"/>
  <c r="B1064" i="94" s="1"/>
  <c r="S185" i="75"/>
  <c r="P183" i="75"/>
  <c r="K18" i="74" s="1"/>
  <c r="K1033" i="94" s="1"/>
  <c r="O183" i="75"/>
  <c r="J18" i="74"/>
  <c r="J1033" i="94" s="1"/>
  <c r="N183" i="75"/>
  <c r="I18" i="74"/>
  <c r="I1033" i="94"/>
  <c r="M183" i="75"/>
  <c r="H18" i="74" s="1"/>
  <c r="H1033" i="94" s="1"/>
  <c r="L183" i="75"/>
  <c r="G18" i="74" s="1"/>
  <c r="G1033" i="94" s="1"/>
  <c r="K183" i="75"/>
  <c r="F18" i="74"/>
  <c r="F1033" i="94" s="1"/>
  <c r="J183" i="75"/>
  <c r="E18" i="74"/>
  <c r="E1033" i="94"/>
  <c r="I183" i="75"/>
  <c r="D18" i="74" s="1"/>
  <c r="D1033" i="94" s="1"/>
  <c r="H183" i="75"/>
  <c r="C18" i="74" s="1"/>
  <c r="C1033" i="94" s="1"/>
  <c r="G183" i="75"/>
  <c r="B18" i="74"/>
  <c r="B1033" i="94" s="1"/>
  <c r="R180" i="75"/>
  <c r="P179" i="75"/>
  <c r="K17" i="74"/>
  <c r="K1032" i="94" s="1"/>
  <c r="O179" i="75"/>
  <c r="J17" i="74"/>
  <c r="J1032" i="94"/>
  <c r="N179" i="75"/>
  <c r="I17" i="74" s="1"/>
  <c r="I1032" i="94" s="1"/>
  <c r="M179" i="75"/>
  <c r="H17" i="74" s="1"/>
  <c r="H1032" i="94" s="1"/>
  <c r="L179" i="75"/>
  <c r="G17" i="74"/>
  <c r="G1032" i="94" s="1"/>
  <c r="K179" i="75"/>
  <c r="F17" i="74"/>
  <c r="F1032" i="94"/>
  <c r="J179" i="75"/>
  <c r="E17" i="74" s="1"/>
  <c r="E1032" i="94" s="1"/>
  <c r="I179" i="75"/>
  <c r="D17" i="74" s="1"/>
  <c r="D1032" i="94" s="1"/>
  <c r="H179" i="75"/>
  <c r="C17" i="74"/>
  <c r="C1032" i="94" s="1"/>
  <c r="G179" i="75"/>
  <c r="B17" i="74"/>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89" i="93"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U48" i="75" s="1"/>
  <c r="N121" i="75" s="1"/>
  <c r="N140" i="75" s="1"/>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S48" i="75" s="1"/>
  <c r="N108" i="75" s="1"/>
  <c r="HR29" i="75"/>
  <c r="HQ29" i="75"/>
  <c r="HP29" i="75"/>
  <c r="HO29" i="75"/>
  <c r="HI29" i="75"/>
  <c r="HH29" i="75"/>
  <c r="HG29" i="75"/>
  <c r="HF29" i="75"/>
  <c r="HE29" i="75"/>
  <c r="HD29" i="75"/>
  <c r="HC29" i="75"/>
  <c r="HB29" i="75"/>
  <c r="HA29" i="75"/>
  <c r="GZ29" i="75"/>
  <c r="GT29" i="75"/>
  <c r="GS29" i="75"/>
  <c r="GS48" i="75" s="1"/>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BF48" i="75" s="1"/>
  <c r="J64" i="75" s="1"/>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5" i="75" s="1"/>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F115" i="78" s="1"/>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33" i="75"/>
  <c r="I34" i="75"/>
  <c r="I35" i="75"/>
  <c r="I29" i="75"/>
  <c r="I28" i="75"/>
  <c r="I27" i="75"/>
  <c r="I30" i="75"/>
  <c r="I24" i="75"/>
  <c r="I786" i="94" s="1"/>
  <c r="K786" i="94" s="1"/>
  <c r="L786" i="94" s="1"/>
  <c r="I23" i="75"/>
  <c r="I785" i="94" s="1"/>
  <c r="K785" i="94" s="1"/>
  <c r="L785" i="94" s="1"/>
  <c r="I22" i="75"/>
  <c r="I784" i="94" s="1"/>
  <c r="K784" i="94" s="1"/>
  <c r="L784" i="94" s="1"/>
  <c r="I17" i="75"/>
  <c r="I779" i="94" s="1"/>
  <c r="K779" i="94" s="1"/>
  <c r="L779" i="94" s="1"/>
  <c r="I20" i="75"/>
  <c r="I782" i="94" s="1"/>
  <c r="K782" i="94" s="1"/>
  <c r="L782" i="94" s="1"/>
  <c r="I19" i="75"/>
  <c r="I781" i="94" s="1"/>
  <c r="K781" i="94" s="1"/>
  <c r="L781" i="94" s="1"/>
  <c r="I18" i="75"/>
  <c r="I780" i="94" s="1"/>
  <c r="K780" i="94" s="1"/>
  <c r="L780" i="94" s="1"/>
  <c r="N88" i="66"/>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17" i="94"/>
  <c r="L1203" i="94"/>
  <c r="C55" i="84"/>
  <c r="K55" i="84" s="1"/>
  <c r="B1032" i="94"/>
  <c r="L1214" i="94"/>
  <c r="L1200" i="94"/>
  <c r="Q767" i="93"/>
  <c r="Q772" i="94"/>
  <c r="R10" i="75"/>
  <c r="R772" i="94" s="1"/>
  <c r="D13" i="74"/>
  <c r="D23" i="74" s="1"/>
  <c r="D1038" i="94" s="1"/>
  <c r="C23" i="74"/>
  <c r="C1038" i="94"/>
  <c r="N66" i="93"/>
  <c r="N77" i="94"/>
  <c r="P316" i="72"/>
  <c r="P1857" i="93"/>
  <c r="O320" i="72"/>
  <c r="O316" i="72"/>
  <c r="R794" i="93"/>
  <c r="R771" i="93"/>
  <c r="R768" i="93"/>
  <c r="R772" i="93"/>
  <c r="R796" i="93"/>
  <c r="R804" i="93"/>
  <c r="R783" i="93"/>
  <c r="R799" i="93"/>
  <c r="R800" i="93"/>
  <c r="R802" i="93"/>
  <c r="R793" i="93"/>
  <c r="R801" i="93"/>
  <c r="N400" i="93"/>
  <c r="D122" i="74"/>
  <c r="N403" i="93"/>
  <c r="R13" i="75"/>
  <c r="R775" i="94" s="1"/>
  <c r="Q770" i="93"/>
  <c r="G55" i="84"/>
  <c r="E55" i="84"/>
  <c r="I55" i="84"/>
  <c r="B53" i="82"/>
  <c r="B984" i="93"/>
  <c r="T1727" i="93"/>
  <c r="A2011" i="93"/>
  <c r="T1729" i="93"/>
  <c r="F1910" i="93"/>
  <c r="A364" i="93"/>
  <c r="I712" i="93"/>
  <c r="A623" i="93"/>
  <c r="O1974" i="93"/>
  <c r="P66" i="93"/>
  <c r="I28" i="74"/>
  <c r="I1043" i="94" s="1"/>
  <c r="F120" i="74"/>
  <c r="N401" i="93"/>
  <c r="J60" i="74"/>
  <c r="K27" i="74"/>
  <c r="K1042" i="94" s="1"/>
  <c r="N402" i="93"/>
  <c r="R12" i="75"/>
  <c r="R774" i="94"/>
  <c r="Q769" i="93"/>
  <c r="O1870" i="93"/>
  <c r="G101" i="90"/>
  <c r="E1595" i="93"/>
  <c r="O1968" i="93"/>
  <c r="A839" i="93"/>
  <c r="A3" i="93"/>
  <c r="J50" i="93"/>
  <c r="C43" i="90"/>
  <c r="H8" i="84"/>
  <c r="F14" i="85"/>
  <c r="A3" i="83" s="1"/>
  <c r="F92" i="74"/>
  <c r="D25" i="74"/>
  <c r="D1040" i="94" s="1"/>
  <c r="E57" i="74"/>
  <c r="E1009" i="93" s="1"/>
  <c r="C58" i="74"/>
  <c r="K58" i="74"/>
  <c r="G25" i="74"/>
  <c r="G1040" i="94" s="1"/>
  <c r="E26" i="74"/>
  <c r="E1041" i="94" s="1"/>
  <c r="G27" i="74"/>
  <c r="G1042" i="94" s="1"/>
  <c r="H57" i="74"/>
  <c r="H1009" i="93" s="1"/>
  <c r="F58" i="74"/>
  <c r="D59" i="74"/>
  <c r="B90" i="74"/>
  <c r="J90" i="74"/>
  <c r="J92" i="74"/>
  <c r="D120" i="74"/>
  <c r="B26" i="74"/>
  <c r="G90" i="74"/>
  <c r="C120" i="74"/>
  <c r="H25" i="74"/>
  <c r="H1040" i="94" s="1"/>
  <c r="F26" i="74"/>
  <c r="F1041" i="94"/>
  <c r="I57" i="74"/>
  <c r="E25" i="87" s="1"/>
  <c r="G58" i="74"/>
  <c r="B60" i="74"/>
  <c r="C90" i="74"/>
  <c r="K90" i="74"/>
  <c r="E122" i="74"/>
  <c r="J26" i="74"/>
  <c r="J1041" i="94"/>
  <c r="C25" i="74"/>
  <c r="C1040" i="94" s="1"/>
  <c r="K25" i="74"/>
  <c r="K1040" i="94" s="1"/>
  <c r="I26" i="74"/>
  <c r="I1041" i="94"/>
  <c r="E28" i="74"/>
  <c r="E1043" i="94"/>
  <c r="D57" i="74"/>
  <c r="B58" i="74"/>
  <c r="J58" i="74"/>
  <c r="F60" i="74"/>
  <c r="F90" i="74"/>
  <c r="B92" i="74"/>
  <c r="P92" i="72"/>
  <c r="P1638" i="93"/>
  <c r="N54" i="66"/>
  <c r="C30" i="74"/>
  <c r="F116" i="78"/>
  <c r="F113" i="78"/>
  <c r="O279" i="72"/>
  <c r="O1927" i="94" s="1"/>
  <c r="Q55" i="73"/>
  <c r="P42" i="73"/>
  <c r="P1136" i="93" s="1"/>
  <c r="O40" i="66"/>
  <c r="P55" i="73"/>
  <c r="L440" i="72"/>
  <c r="A1" i="66"/>
  <c r="N40" i="66"/>
  <c r="M307" i="73"/>
  <c r="M1397" i="93" s="1"/>
  <c r="L1397" i="93" s="1"/>
  <c r="A111" i="75"/>
  <c r="O426" i="72"/>
  <c r="P54" i="66"/>
  <c r="A1" i="72"/>
  <c r="E36" i="78"/>
  <c r="G36" i="78" s="1"/>
  <c r="J36" i="78" s="1"/>
  <c r="A1" i="74"/>
  <c r="N1" i="74" s="1"/>
  <c r="A3" i="79"/>
  <c r="A1" i="77"/>
  <c r="D38" i="78"/>
  <c r="P26" i="72"/>
  <c r="P86" i="72"/>
  <c r="P1634" i="93" s="1"/>
  <c r="M299" i="72"/>
  <c r="AY48" i="75"/>
  <c r="M61" i="75" s="1"/>
  <c r="BQ48" i="75"/>
  <c r="K86" i="75" s="1"/>
  <c r="CD48" i="75"/>
  <c r="N84" i="75" s="1"/>
  <c r="FK48" i="75"/>
  <c r="N150" i="75" s="1"/>
  <c r="GV48" i="75"/>
  <c r="K104" i="75" s="1"/>
  <c r="IB48" i="75"/>
  <c r="JX48" i="75"/>
  <c r="K117" i="75" s="1"/>
  <c r="KN48" i="75"/>
  <c r="L120" i="75" s="1"/>
  <c r="LT48" i="75"/>
  <c r="W48" i="75"/>
  <c r="J56" i="75" s="1"/>
  <c r="BG48" i="75"/>
  <c r="K64" i="75" s="1"/>
  <c r="BT48" i="75"/>
  <c r="N86" i="75" s="1"/>
  <c r="CG48" i="75"/>
  <c r="L83" i="75" s="1"/>
  <c r="CZ48" i="75"/>
  <c r="K97" i="75" s="1"/>
  <c r="DM48" i="75"/>
  <c r="N95" i="75" s="1"/>
  <c r="DQ48" i="75"/>
  <c r="M94" i="75" s="1"/>
  <c r="FA48" i="75"/>
  <c r="N148" i="75" s="1"/>
  <c r="GI48" i="75"/>
  <c r="M101" i="75" s="1"/>
  <c r="GQ48" i="75"/>
  <c r="GU48" i="75"/>
  <c r="J104" i="75" s="1"/>
  <c r="GY48" i="75"/>
  <c r="N104" i="75" s="1"/>
  <c r="HC48" i="75"/>
  <c r="M105" i="75" s="1"/>
  <c r="HG48" i="75"/>
  <c r="II48" i="75"/>
  <c r="J125" i="75" s="1"/>
  <c r="MA48" i="75"/>
  <c r="MQ48" i="75"/>
  <c r="DA48" i="75"/>
  <c r="L97" i="75" s="1"/>
  <c r="IR48" i="75"/>
  <c r="N130" i="75" s="1"/>
  <c r="LD48" i="75"/>
  <c r="M123" i="75" s="1"/>
  <c r="V132" i="78"/>
  <c r="M132" i="78"/>
  <c r="M149" i="78"/>
  <c r="M151" i="78" s="1"/>
  <c r="M153" i="78" s="1"/>
  <c r="E37" i="78"/>
  <c r="G37" i="78" s="1"/>
  <c r="J37" i="78" s="1"/>
  <c r="P132" i="78"/>
  <c r="P149" i="78"/>
  <c r="E121" i="74"/>
  <c r="K91" i="74"/>
  <c r="G91" i="74"/>
  <c r="C91" i="74"/>
  <c r="K59" i="74"/>
  <c r="G59" i="74"/>
  <c r="C59" i="74"/>
  <c r="J27" i="74"/>
  <c r="J1042" i="94" s="1"/>
  <c r="F27" i="74"/>
  <c r="F1042" i="94" s="1"/>
  <c r="B27" i="74"/>
  <c r="B1042" i="94" s="1"/>
  <c r="C121" i="74"/>
  <c r="E91" i="74"/>
  <c r="I59" i="74"/>
  <c r="H27" i="74"/>
  <c r="H1042" i="94"/>
  <c r="D27" i="74"/>
  <c r="D1042" i="94"/>
  <c r="D121" i="74"/>
  <c r="J91" i="74"/>
  <c r="F91" i="74"/>
  <c r="B91" i="74"/>
  <c r="J59" i="74"/>
  <c r="F59" i="74"/>
  <c r="B59" i="74"/>
  <c r="I27" i="74"/>
  <c r="I1042" i="94" s="1"/>
  <c r="E27" i="74"/>
  <c r="E1042" i="94" s="1"/>
  <c r="I91" i="74"/>
  <c r="E59" i="74"/>
  <c r="F121" i="74"/>
  <c r="B121" i="74"/>
  <c r="H91" i="74"/>
  <c r="D91" i="74"/>
  <c r="H59" i="74"/>
  <c r="C27" i="74"/>
  <c r="C1042" i="94"/>
  <c r="C60" i="74"/>
  <c r="K60" i="74"/>
  <c r="G92" i="74"/>
  <c r="K92" i="74"/>
  <c r="E25" i="74"/>
  <c r="E1040" i="94" s="1"/>
  <c r="I25" i="74"/>
  <c r="I1040" i="94" s="1"/>
  <c r="C26" i="74"/>
  <c r="C1041" i="94"/>
  <c r="G26" i="74"/>
  <c r="G1041" i="94"/>
  <c r="K26" i="74"/>
  <c r="K1041" i="94"/>
  <c r="C28" i="74"/>
  <c r="C1043" i="94"/>
  <c r="G28" i="74"/>
  <c r="G1043" i="94"/>
  <c r="K28" i="74"/>
  <c r="K1043" i="94"/>
  <c r="B57" i="74"/>
  <c r="B1009" i="93" s="1"/>
  <c r="F57" i="74"/>
  <c r="J57" i="74"/>
  <c r="J1009" i="93" s="1"/>
  <c r="D58" i="74"/>
  <c r="H58" i="74"/>
  <c r="D60" i="74"/>
  <c r="R55" i="74" s="1"/>
  <c r="H60" i="74"/>
  <c r="F1039" i="93"/>
  <c r="D90" i="74"/>
  <c r="H90" i="74"/>
  <c r="D92" i="74"/>
  <c r="H92" i="74"/>
  <c r="E120" i="74"/>
  <c r="C122" i="74"/>
  <c r="R117" i="74" s="1"/>
  <c r="S117" i="74" s="1"/>
  <c r="B28" i="74"/>
  <c r="B1043" i="94"/>
  <c r="F28" i="74"/>
  <c r="F1043" i="94"/>
  <c r="J28" i="74"/>
  <c r="J1043" i="94"/>
  <c r="G60" i="74"/>
  <c r="C92" i="74"/>
  <c r="B122" i="74"/>
  <c r="F122" i="74"/>
  <c r="B25" i="74"/>
  <c r="B39" i="74" s="1"/>
  <c r="F25" i="74"/>
  <c r="F1040" i="94" s="1"/>
  <c r="J25" i="74"/>
  <c r="J1040" i="94" s="1"/>
  <c r="D26" i="74"/>
  <c r="D1041" i="94" s="1"/>
  <c r="H26" i="74"/>
  <c r="H1041" i="94" s="1"/>
  <c r="D28" i="74"/>
  <c r="D1043" i="94" s="1"/>
  <c r="H28" i="74"/>
  <c r="H1043" i="94" s="1"/>
  <c r="C57" i="74"/>
  <c r="G57" i="74"/>
  <c r="G1009" i="93" s="1"/>
  <c r="K57" i="74"/>
  <c r="E58" i="74"/>
  <c r="I58" i="74"/>
  <c r="E60" i="74"/>
  <c r="I60" i="74"/>
  <c r="E29" i="87"/>
  <c r="K1039" i="93"/>
  <c r="E90" i="74"/>
  <c r="I90" i="74"/>
  <c r="E92" i="74"/>
  <c r="I92" i="74"/>
  <c r="B120" i="74"/>
  <c r="A1" i="73"/>
  <c r="A1" i="75"/>
  <c r="U1" i="75" s="1"/>
  <c r="A1" i="78"/>
  <c r="W1" i="78" s="1"/>
  <c r="A1" i="68"/>
  <c r="S1" i="68" s="1"/>
  <c r="T173" i="72"/>
  <c r="A1" i="67"/>
  <c r="T175" i="72"/>
  <c r="I3" i="76"/>
  <c r="I40" i="66"/>
  <c r="A3" i="71"/>
  <c r="A1" i="76"/>
  <c r="O92" i="72"/>
  <c r="P320" i="72"/>
  <c r="P1861" i="93" s="1"/>
  <c r="O86" i="72"/>
  <c r="O1634" i="93" s="1"/>
  <c r="E13" i="74"/>
  <c r="E23" i="74"/>
  <c r="E1038" i="94" s="1"/>
  <c r="AU48" i="75"/>
  <c r="N60" i="75" s="1"/>
  <c r="BZ48" i="75"/>
  <c r="J84" i="75" s="1"/>
  <c r="DJ48" i="75"/>
  <c r="K95" i="75" s="1"/>
  <c r="EX48" i="75"/>
  <c r="K148" i="75" s="1"/>
  <c r="AR48" i="75"/>
  <c r="K60" i="75" s="1"/>
  <c r="BR48" i="75"/>
  <c r="L86" i="75" s="1"/>
  <c r="CI48" i="75"/>
  <c r="N83" i="75" s="1"/>
  <c r="DO48" i="75"/>
  <c r="K94" i="75" s="1"/>
  <c r="EY48" i="75"/>
  <c r="L148" i="75" s="1"/>
  <c r="FQ48" i="75"/>
  <c r="J153" i="75" s="1"/>
  <c r="FY48" i="75"/>
  <c r="IC48" i="75"/>
  <c r="JI48" i="75"/>
  <c r="K126" i="75" s="1"/>
  <c r="LA48" i="75"/>
  <c r="J123" i="75" s="1"/>
  <c r="LM48" i="75"/>
  <c r="LY48" i="75"/>
  <c r="MG48" i="75"/>
  <c r="MO48" i="75"/>
  <c r="FD48" i="75"/>
  <c r="L149" i="75" s="1"/>
  <c r="FG48" i="75"/>
  <c r="J150" i="75" s="1"/>
  <c r="Y48" i="75"/>
  <c r="L56" i="75" s="1"/>
  <c r="AV48" i="75"/>
  <c r="J61" i="75" s="1"/>
  <c r="AZ48" i="75"/>
  <c r="N61" i="75" s="1"/>
  <c r="CE48" i="75"/>
  <c r="J83" i="75" s="1"/>
  <c r="EC48" i="75"/>
  <c r="J66" i="75" s="1"/>
  <c r="FE48" i="75"/>
  <c r="M149" i="75" s="1"/>
  <c r="FH48" i="75"/>
  <c r="K150" i="75" s="1"/>
  <c r="FU48" i="75"/>
  <c r="N153" i="75" s="1"/>
  <c r="GC48" i="75"/>
  <c r="L155" i="75" s="1"/>
  <c r="GG48" i="75"/>
  <c r="K101" i="75" s="1"/>
  <c r="HA48" i="75"/>
  <c r="K105" i="75" s="1"/>
  <c r="HM48" i="75"/>
  <c r="M107" i="75" s="1"/>
  <c r="HY48" i="75"/>
  <c r="IK48" i="75"/>
  <c r="L125" i="75" s="1"/>
  <c r="JM48" i="75"/>
  <c r="J127" i="75" s="1"/>
  <c r="KK48" i="75"/>
  <c r="N119" i="75" s="1"/>
  <c r="LI48" i="75"/>
  <c r="LQ48" i="75"/>
  <c r="LU48" i="75"/>
  <c r="MC48" i="75"/>
  <c r="MK48" i="75"/>
  <c r="MS48" i="75"/>
  <c r="Z48" i="75"/>
  <c r="M56" i="75" s="1"/>
  <c r="BS48" i="75"/>
  <c r="M86" i="75" s="1"/>
  <c r="CB48" i="75"/>
  <c r="L84" i="75" s="1"/>
  <c r="CF48" i="75"/>
  <c r="K83" i="75" s="1"/>
  <c r="DL48" i="75"/>
  <c r="M95" i="75" s="1"/>
  <c r="ED48" i="75"/>
  <c r="K66" i="75" s="1"/>
  <c r="FB48" i="75"/>
  <c r="J149" i="75" s="1"/>
  <c r="FF48" i="75"/>
  <c r="N149" i="75" s="1"/>
  <c r="FR48" i="75"/>
  <c r="K153" i="75" s="1"/>
  <c r="FV48" i="75"/>
  <c r="GD48" i="75"/>
  <c r="M155" i="75" s="1"/>
  <c r="AQ48" i="75"/>
  <c r="J60" i="75" s="1"/>
  <c r="BH48" i="75"/>
  <c r="L64" i="75" s="1"/>
  <c r="GR48" i="75"/>
  <c r="HD48" i="75"/>
  <c r="N105" i="75" s="1"/>
  <c r="HP48" i="75"/>
  <c r="K108" i="75" s="1"/>
  <c r="HT48" i="75"/>
  <c r="HX48" i="75"/>
  <c r="IJ48" i="75"/>
  <c r="K125" i="75" s="1"/>
  <c r="IN48" i="75"/>
  <c r="J130" i="75" s="1"/>
  <c r="JD48" i="75"/>
  <c r="K129" i="75" s="1"/>
  <c r="JL48" i="75"/>
  <c r="N126" i="75" s="1"/>
  <c r="KB48" i="75"/>
  <c r="J118" i="75" s="1"/>
  <c r="KF48" i="75"/>
  <c r="N118" i="75" s="1"/>
  <c r="KJ48" i="75"/>
  <c r="M119" i="75" s="1"/>
  <c r="KR48" i="75"/>
  <c r="K121" i="75" s="1"/>
  <c r="K140" i="75" s="1"/>
  <c r="KV48" i="75"/>
  <c r="J122" i="75" s="1"/>
  <c r="KZ48" i="75"/>
  <c r="N122" i="75" s="1"/>
  <c r="LH48" i="75"/>
  <c r="LL48" i="75"/>
  <c r="LP48" i="75"/>
  <c r="LX48" i="75"/>
  <c r="MB48" i="75"/>
  <c r="MR48" i="75"/>
  <c r="GH48" i="75"/>
  <c r="L101" i="75" s="1"/>
  <c r="GL48" i="75"/>
  <c r="K102" i="75" s="1"/>
  <c r="GP48" i="75"/>
  <c r="GT48" i="75"/>
  <c r="HJ48" i="75"/>
  <c r="J107" i="75" s="1"/>
  <c r="HN48" i="75"/>
  <c r="N107" i="75" s="1"/>
  <c r="HZ48" i="75"/>
  <c r="IL48" i="75"/>
  <c r="M125" i="75" s="1"/>
  <c r="JB48" i="75"/>
  <c r="N128" i="75" s="1"/>
  <c r="JR48" i="75"/>
  <c r="J116" i="75" s="1"/>
  <c r="KH48" i="75"/>
  <c r="K119" i="75" s="1"/>
  <c r="KX48" i="75"/>
  <c r="L122" i="75" s="1"/>
  <c r="LF48" i="75"/>
  <c r="LJ48" i="75"/>
  <c r="LR48" i="75"/>
  <c r="LV48" i="75"/>
  <c r="LZ48" i="75"/>
  <c r="MD48" i="75"/>
  <c r="MP48" i="75"/>
  <c r="P151" i="78"/>
  <c r="P153" i="78"/>
  <c r="E35" i="78"/>
  <c r="G35" i="78" s="1"/>
  <c r="J35" i="78" s="1"/>
  <c r="J480" i="94" s="1"/>
  <c r="I797" i="94"/>
  <c r="K797" i="94" s="1"/>
  <c r="L797" i="94" s="1"/>
  <c r="I792" i="93"/>
  <c r="K792" i="93" s="1"/>
  <c r="L792" i="93" s="1"/>
  <c r="K35" i="75"/>
  <c r="L35" i="75" s="1"/>
  <c r="I794" i="94"/>
  <c r="K794" i="94" s="1"/>
  <c r="L794" i="94" s="1"/>
  <c r="I789" i="93"/>
  <c r="K789" i="93" s="1"/>
  <c r="L789" i="93" s="1"/>
  <c r="K32" i="75"/>
  <c r="L32" i="75" s="1"/>
  <c r="I796" i="94"/>
  <c r="K796" i="94" s="1"/>
  <c r="L796" i="94" s="1"/>
  <c r="I791" i="93"/>
  <c r="K791" i="93"/>
  <c r="L791" i="93" s="1"/>
  <c r="K34" i="75"/>
  <c r="L34" i="75" s="1"/>
  <c r="I795" i="94"/>
  <c r="K795" i="94" s="1"/>
  <c r="L795" i="94" s="1"/>
  <c r="I790" i="93"/>
  <c r="K790" i="93"/>
  <c r="L790" i="93" s="1"/>
  <c r="K33" i="75"/>
  <c r="L33" i="75" s="1"/>
  <c r="I792" i="94"/>
  <c r="K792" i="94" s="1"/>
  <c r="L792" i="94" s="1"/>
  <c r="I787" i="93"/>
  <c r="K787" i="93" s="1"/>
  <c r="L787" i="93" s="1"/>
  <c r="K30" i="75"/>
  <c r="L30" i="75" s="1"/>
  <c r="I790" i="94"/>
  <c r="K790" i="94" s="1"/>
  <c r="L790" i="94" s="1"/>
  <c r="I785" i="93"/>
  <c r="K785" i="93"/>
  <c r="L785" i="93" s="1"/>
  <c r="K28" i="75"/>
  <c r="L28" i="75" s="1"/>
  <c r="I789" i="94"/>
  <c r="K789" i="94" s="1"/>
  <c r="L789" i="94" s="1"/>
  <c r="I784" i="93"/>
  <c r="K784" i="93" s="1"/>
  <c r="L784" i="93" s="1"/>
  <c r="K27" i="75"/>
  <c r="L27" i="75" s="1"/>
  <c r="I791" i="94"/>
  <c r="K791" i="94" s="1"/>
  <c r="L791" i="94" s="1"/>
  <c r="I786" i="93"/>
  <c r="K29" i="75"/>
  <c r="L29" i="75" s="1"/>
  <c r="G481" i="94"/>
  <c r="G472" i="93"/>
  <c r="F36" i="78"/>
  <c r="G471" i="93"/>
  <c r="G474" i="93" s="1"/>
  <c r="B480" i="93" s="1"/>
  <c r="G482" i="94"/>
  <c r="G473" i="93"/>
  <c r="O1638" i="93"/>
  <c r="O1740" i="94"/>
  <c r="N51" i="93"/>
  <c r="N63" i="94"/>
  <c r="T1822" i="94"/>
  <c r="O768" i="94"/>
  <c r="M768" i="94"/>
  <c r="O63" i="94"/>
  <c r="B40" i="74"/>
  <c r="B1055" i="94" s="1"/>
  <c r="B1041" i="94"/>
  <c r="O1857" i="93"/>
  <c r="O1964" i="94"/>
  <c r="O1861" i="93"/>
  <c r="O1968" i="94"/>
  <c r="O1734" i="94"/>
  <c r="I51" i="93"/>
  <c r="I63" i="94"/>
  <c r="D30" i="74"/>
  <c r="D1045" i="94"/>
  <c r="C1045" i="94"/>
  <c r="R87" i="74"/>
  <c r="S87" i="74"/>
  <c r="S55" i="74"/>
  <c r="R23" i="74"/>
  <c r="S23" i="74"/>
  <c r="B982" i="93"/>
  <c r="B990" i="93"/>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c r="H980" i="93"/>
  <c r="G1010" i="93"/>
  <c r="F1068" i="93"/>
  <c r="G1039" i="93"/>
  <c r="I1039" i="93"/>
  <c r="F1067" i="93"/>
  <c r="C1067" i="93"/>
  <c r="J1039" i="93"/>
  <c r="K24" i="75"/>
  <c r="L24" i="75"/>
  <c r="P71" i="72"/>
  <c r="P1621" i="93"/>
  <c r="O1826" i="93"/>
  <c r="O71" i="72"/>
  <c r="J68" i="74"/>
  <c r="J1083" i="94" s="1"/>
  <c r="I36" i="74"/>
  <c r="I1051" i="94" s="1"/>
  <c r="I771" i="93"/>
  <c r="K771" i="93"/>
  <c r="L771" i="93" s="1"/>
  <c r="K14" i="75"/>
  <c r="L14" i="75" s="1"/>
  <c r="I777" i="93"/>
  <c r="K777" i="93"/>
  <c r="L777" i="93" s="1"/>
  <c r="K20" i="75"/>
  <c r="L20" i="75" s="1"/>
  <c r="I772" i="93"/>
  <c r="K772" i="93"/>
  <c r="L772" i="93" s="1"/>
  <c r="K15" i="75"/>
  <c r="L15" i="75" s="1"/>
  <c r="I767" i="93"/>
  <c r="K767" i="93" s="1"/>
  <c r="L767" i="93" s="1"/>
  <c r="K10" i="75"/>
  <c r="L10" i="75"/>
  <c r="I780" i="93"/>
  <c r="K780" i="93"/>
  <c r="L780" i="93" s="1"/>
  <c r="K23" i="75"/>
  <c r="L23" i="75" s="1"/>
  <c r="I770" i="93"/>
  <c r="K770" i="93" s="1"/>
  <c r="L770" i="93" s="1"/>
  <c r="K13" i="75"/>
  <c r="L13" i="75"/>
  <c r="I779" i="93"/>
  <c r="K779" i="93" s="1"/>
  <c r="L779" i="93" s="1"/>
  <c r="K22" i="75"/>
  <c r="L22" i="75" s="1"/>
  <c r="I775" i="93"/>
  <c r="K775" i="93" s="1"/>
  <c r="L775" i="93"/>
  <c r="K18" i="75"/>
  <c r="L18" i="75"/>
  <c r="I768" i="93"/>
  <c r="K768" i="93" s="1"/>
  <c r="L768" i="93" s="1"/>
  <c r="K11" i="75"/>
  <c r="L11" i="75"/>
  <c r="I776" i="93"/>
  <c r="K776" i="93"/>
  <c r="L776" i="93" s="1"/>
  <c r="K19" i="75"/>
  <c r="L19" i="75" s="1"/>
  <c r="I774" i="93"/>
  <c r="K774" i="93" s="1"/>
  <c r="L774" i="93" s="1"/>
  <c r="K17" i="75"/>
  <c r="L17" i="75"/>
  <c r="I778" i="93"/>
  <c r="K778" i="93" s="1"/>
  <c r="L778" i="93"/>
  <c r="K21" i="75"/>
  <c r="L21" i="75"/>
  <c r="I769" i="93"/>
  <c r="K769" i="93"/>
  <c r="L769" i="93" s="1"/>
  <c r="K12" i="75"/>
  <c r="L12" i="75" s="1"/>
  <c r="BA48" i="75"/>
  <c r="J62" i="75" s="1"/>
  <c r="BE48" i="75"/>
  <c r="N62" i="75" s="1"/>
  <c r="BC48" i="75"/>
  <c r="L62" i="75" s="1"/>
  <c r="AD48" i="75"/>
  <c r="L57" i="75" s="1"/>
  <c r="AG48" i="75"/>
  <c r="J58" i="75" s="1"/>
  <c r="AH48" i="75"/>
  <c r="K58" i="75" s="1"/>
  <c r="AI48" i="75"/>
  <c r="L58" i="75" s="1"/>
  <c r="AK48" i="75"/>
  <c r="N58" i="75" s="1"/>
  <c r="R769" i="93"/>
  <c r="AB48" i="75"/>
  <c r="J57" i="75" s="1"/>
  <c r="AF48" i="75"/>
  <c r="N57" i="75" s="1"/>
  <c r="AC48" i="75"/>
  <c r="K57" i="75" s="1"/>
  <c r="C1009" i="93"/>
  <c r="E19" i="87"/>
  <c r="E32" i="87"/>
  <c r="E18" i="87"/>
  <c r="O51" i="93"/>
  <c r="T1728" i="93"/>
  <c r="O763" i="93"/>
  <c r="M763" i="93"/>
  <c r="C53" i="82"/>
  <c r="C984" i="93"/>
  <c r="F68" i="74"/>
  <c r="F1083" i="94" s="1"/>
  <c r="F1012" i="93"/>
  <c r="F1020" i="93" s="1"/>
  <c r="J980" i="93"/>
  <c r="I1009" i="93"/>
  <c r="J1040" i="93"/>
  <c r="J1047" i="93"/>
  <c r="G979" i="93"/>
  <c r="E13" i="87"/>
  <c r="C1039" i="93"/>
  <c r="B1039" i="93"/>
  <c r="E28" i="87"/>
  <c r="J1010" i="93"/>
  <c r="E129" i="74"/>
  <c r="E1144" i="94" s="1"/>
  <c r="E1070" i="93"/>
  <c r="E1077" i="93" s="1"/>
  <c r="F980" i="93"/>
  <c r="B1040" i="93"/>
  <c r="K1010" i="93"/>
  <c r="B1067" i="93"/>
  <c r="B1010" i="93"/>
  <c r="B1018" i="93" s="1"/>
  <c r="D1067" i="93"/>
  <c r="H979" i="93"/>
  <c r="E14" i="87"/>
  <c r="D1039" i="93"/>
  <c r="E30" i="87"/>
  <c r="C1010" i="93"/>
  <c r="D1009" i="93"/>
  <c r="E20" i="87"/>
  <c r="K1040" i="93"/>
  <c r="C1068" i="93"/>
  <c r="C1075" i="93"/>
  <c r="D1011" i="93"/>
  <c r="D53" i="82"/>
  <c r="D984" i="93"/>
  <c r="E1067" i="93"/>
  <c r="E36" i="74"/>
  <c r="E1051" i="94" s="1"/>
  <c r="E982" i="93"/>
  <c r="E990" i="93"/>
  <c r="C1040" i="93"/>
  <c r="C1047" i="93"/>
  <c r="G1040" i="93"/>
  <c r="F1010" i="93"/>
  <c r="D979" i="93"/>
  <c r="E10" i="87"/>
  <c r="J979" i="93"/>
  <c r="B99" i="74"/>
  <c r="B1114" i="94" s="1"/>
  <c r="B1042" i="93"/>
  <c r="B1049" i="93"/>
  <c r="I980" i="93"/>
  <c r="E1039" i="93"/>
  <c r="E31" i="87"/>
  <c r="B980" i="93"/>
  <c r="E24" i="87"/>
  <c r="F99" i="74"/>
  <c r="F1114" i="94" s="1"/>
  <c r="F1042" i="93"/>
  <c r="F1049" i="93"/>
  <c r="K1009" i="93"/>
  <c r="E27" i="87"/>
  <c r="F979" i="93"/>
  <c r="E12" i="87"/>
  <c r="F1040" i="93"/>
  <c r="E17" i="87"/>
  <c r="B68" i="74"/>
  <c r="B1083" i="94" s="1"/>
  <c r="B1012" i="93"/>
  <c r="B1020" i="93" s="1"/>
  <c r="D1068" i="93"/>
  <c r="D1075" i="93" s="1"/>
  <c r="G981" i="93"/>
  <c r="E23" i="87"/>
  <c r="F1009" i="93"/>
  <c r="E22" i="87"/>
  <c r="I979" i="93"/>
  <c r="E15" i="87"/>
  <c r="H1039" i="93"/>
  <c r="C979" i="93"/>
  <c r="E9" i="87"/>
  <c r="J99" i="74"/>
  <c r="J1114" i="94" s="1"/>
  <c r="J1042" i="93"/>
  <c r="J1049" i="93" s="1"/>
  <c r="E980" i="93"/>
  <c r="E988" i="93" s="1"/>
  <c r="F45" i="82"/>
  <c r="J45" i="82"/>
  <c r="H45" i="82"/>
  <c r="D45" i="82"/>
  <c r="K45" i="82"/>
  <c r="G45" i="82"/>
  <c r="I45" i="82"/>
  <c r="C45" i="82"/>
  <c r="E30" i="74"/>
  <c r="E1045" i="94" s="1"/>
  <c r="L139" i="75"/>
  <c r="F1215" i="94" s="1"/>
  <c r="I1215"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K51" i="93" s="1"/>
  <c r="L307" i="73"/>
  <c r="T174" i="72"/>
  <c r="M6" i="75"/>
  <c r="O6" i="75"/>
  <c r="R30" i="75" s="1"/>
  <c r="P306" i="72"/>
  <c r="P1848" i="93" s="1"/>
  <c r="F13" i="74"/>
  <c r="F23" i="74" s="1"/>
  <c r="F1038" i="94" s="1"/>
  <c r="J141" i="75"/>
  <c r="F1220" i="94" s="1"/>
  <c r="I1220" i="94" s="1"/>
  <c r="E38" i="78"/>
  <c r="J482" i="94"/>
  <c r="J473" i="93"/>
  <c r="J38" i="78"/>
  <c r="J481" i="94"/>
  <c r="J472" i="93"/>
  <c r="R25" i="75"/>
  <c r="R787" i="94" s="1"/>
  <c r="R17" i="75"/>
  <c r="R32" i="75"/>
  <c r="R789" i="93" s="1"/>
  <c r="R18" i="75"/>
  <c r="R775" i="93" s="1"/>
  <c r="R35" i="75"/>
  <c r="R792" i="93" s="1"/>
  <c r="G1153" i="93"/>
  <c r="G1224" i="94"/>
  <c r="G1222" i="94"/>
  <c r="G1220" i="94"/>
  <c r="G1215" i="94"/>
  <c r="G1210" i="94"/>
  <c r="G1208" i="94"/>
  <c r="G1206" i="94"/>
  <c r="O1719" i="94"/>
  <c r="G1202" i="94"/>
  <c r="G1223" i="94"/>
  <c r="G1221" i="94"/>
  <c r="G1217" i="94"/>
  <c r="G1216" i="94"/>
  <c r="G1214" i="94"/>
  <c r="G1213" i="94"/>
  <c r="G1209" i="94"/>
  <c r="G1207" i="94"/>
  <c r="G1200" i="94"/>
  <c r="G1203" i="94"/>
  <c r="G1201" i="94"/>
  <c r="G1199" i="94"/>
  <c r="B996" i="93"/>
  <c r="B1057" i="94"/>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783" i="94" s="1"/>
  <c r="R20" i="75"/>
  <c r="R782" i="94" s="1"/>
  <c r="R19" i="75"/>
  <c r="Q58" i="73"/>
  <c r="G1143" i="93"/>
  <c r="G1158" i="93"/>
  <c r="C42" i="74"/>
  <c r="B995" i="93"/>
  <c r="C12" i="86"/>
  <c r="C41" i="74"/>
  <c r="C1056" i="94" s="1"/>
  <c r="C994" i="93"/>
  <c r="D40" i="74"/>
  <c r="D1055" i="94"/>
  <c r="D11" i="86"/>
  <c r="G1139" i="93"/>
  <c r="G1152" i="93"/>
  <c r="G1136" i="93"/>
  <c r="G1138" i="93"/>
  <c r="G1137" i="93"/>
  <c r="G1135" i="93"/>
  <c r="G1157" i="93"/>
  <c r="G1156" i="93"/>
  <c r="O1621" i="93"/>
  <c r="G1149" i="93"/>
  <c r="G1150" i="93"/>
  <c r="G1142" i="93"/>
  <c r="G1144" i="93"/>
  <c r="G1145" i="93"/>
  <c r="G1146" i="93"/>
  <c r="G1159" i="93"/>
  <c r="G1151" i="93"/>
  <c r="G1160" i="93"/>
  <c r="P1562" i="93"/>
  <c r="AL48" i="75"/>
  <c r="J59" i="75" s="1"/>
  <c r="AN48" i="75"/>
  <c r="L59" i="75" s="1"/>
  <c r="AP48" i="75"/>
  <c r="N59" i="75" s="1"/>
  <c r="E53" i="82"/>
  <c r="E984" i="93"/>
  <c r="H15" i="84"/>
  <c r="F18" i="85"/>
  <c r="F30" i="74"/>
  <c r="F1045" i="94" s="1"/>
  <c r="G66" i="73"/>
  <c r="G62" i="73"/>
  <c r="G56" i="73"/>
  <c r="G50" i="73"/>
  <c r="G44" i="73"/>
  <c r="G65" i="73"/>
  <c r="G59" i="73"/>
  <c r="G55" i="73"/>
  <c r="G49" i="73"/>
  <c r="G43" i="73"/>
  <c r="G64" i="73"/>
  <c r="G58" i="73"/>
  <c r="G52" i="73"/>
  <c r="G48" i="73"/>
  <c r="G42" i="73"/>
  <c r="G63" i="73"/>
  <c r="G57" i="73"/>
  <c r="G51" i="73"/>
  <c r="G45" i="73"/>
  <c r="G41" i="73"/>
  <c r="P58" i="73"/>
  <c r="G13" i="74"/>
  <c r="G23" i="74"/>
  <c r="G1038" i="94" s="1"/>
  <c r="R797" i="94"/>
  <c r="R779" i="94"/>
  <c r="R774" i="93"/>
  <c r="C996" i="93"/>
  <c r="C1057" i="94"/>
  <c r="R779" i="93"/>
  <c r="R784" i="94"/>
  <c r="R776" i="93"/>
  <c r="R781" i="94"/>
  <c r="R777" i="93"/>
  <c r="D42" i="74"/>
  <c r="D1057" i="94" s="1"/>
  <c r="C995" i="93"/>
  <c r="D41" i="74"/>
  <c r="E12" i="86" s="1"/>
  <c r="D12" i="86"/>
  <c r="D994" i="93"/>
  <c r="E40" i="74"/>
  <c r="F11" i="86" s="1"/>
  <c r="E11" i="86"/>
  <c r="F53" i="82"/>
  <c r="F984" i="93"/>
  <c r="G30" i="74"/>
  <c r="G1045" i="94" s="1"/>
  <c r="H13" i="74"/>
  <c r="H23" i="74"/>
  <c r="H1038" i="94" s="1"/>
  <c r="D996" i="93"/>
  <c r="E42" i="74"/>
  <c r="E996" i="93" s="1"/>
  <c r="D995" i="93"/>
  <c r="E41" i="74"/>
  <c r="E1056" i="94"/>
  <c r="E994" i="93"/>
  <c r="F40" i="74"/>
  <c r="F1055" i="94"/>
  <c r="G984" i="93"/>
  <c r="I13" i="74"/>
  <c r="I23" i="74"/>
  <c r="I1038" i="94" s="1"/>
  <c r="S545" i="94"/>
  <c r="S536" i="93"/>
  <c r="E1057" i="94"/>
  <c r="F42" i="74"/>
  <c r="E995" i="93"/>
  <c r="F41" i="74"/>
  <c r="F1056" i="94"/>
  <c r="F12" i="86"/>
  <c r="F994" i="93"/>
  <c r="G40" i="74"/>
  <c r="G1055" i="94"/>
  <c r="G11" i="86"/>
  <c r="O1951" i="93"/>
  <c r="J13" i="74"/>
  <c r="J23" i="74"/>
  <c r="J1038" i="94" s="1"/>
  <c r="F996" i="93"/>
  <c r="F1057" i="94"/>
  <c r="B988" i="93"/>
  <c r="B989" i="93"/>
  <c r="G42" i="74"/>
  <c r="G996" i="93" s="1"/>
  <c r="F995" i="93"/>
  <c r="G41" i="74"/>
  <c r="G1056" i="94" s="1"/>
  <c r="G12" i="86"/>
  <c r="G994" i="93"/>
  <c r="H40" i="74"/>
  <c r="H1055" i="94" s="1"/>
  <c r="H11" i="86"/>
  <c r="K13" i="74"/>
  <c r="K23" i="74"/>
  <c r="K1038" i="94" s="1"/>
  <c r="G1057" i="94"/>
  <c r="B35" i="74"/>
  <c r="B1050" i="94" s="1"/>
  <c r="I35" i="74"/>
  <c r="I1050" i="94" s="1"/>
  <c r="C35" i="74"/>
  <c r="C1050" i="94" s="1"/>
  <c r="H35" i="74"/>
  <c r="H1050" i="94" s="1"/>
  <c r="E35" i="74"/>
  <c r="E1050" i="94" s="1"/>
  <c r="D35" i="74"/>
  <c r="D1050" i="94" s="1"/>
  <c r="F35" i="74"/>
  <c r="F1050" i="94" s="1"/>
  <c r="G35" i="74"/>
  <c r="G1050" i="94" s="1"/>
  <c r="H42" i="74"/>
  <c r="G995" i="93"/>
  <c r="H41" i="74"/>
  <c r="H1056" i="94"/>
  <c r="H994" i="93"/>
  <c r="I40" i="74"/>
  <c r="I1055" i="94"/>
  <c r="K1602" i="93"/>
  <c r="L1603" i="93"/>
  <c r="P1603" i="93"/>
  <c r="L1602" i="93"/>
  <c r="K1603" i="93"/>
  <c r="O1603" i="93"/>
  <c r="B45" i="74"/>
  <c r="B55" i="74"/>
  <c r="B65" i="82"/>
  <c r="G34" i="74"/>
  <c r="G1049" i="94" s="1"/>
  <c r="F34" i="74"/>
  <c r="F1049" i="94" s="1"/>
  <c r="C34" i="74"/>
  <c r="C1049" i="94" s="1"/>
  <c r="H996" i="93"/>
  <c r="H1057" i="94"/>
  <c r="J35" i="74"/>
  <c r="J1050" i="94" s="1"/>
  <c r="I42" i="74"/>
  <c r="I996" i="93" s="1"/>
  <c r="H995" i="93"/>
  <c r="I41" i="74"/>
  <c r="I1056" i="94" s="1"/>
  <c r="I12" i="86"/>
  <c r="I994" i="93"/>
  <c r="J40" i="74"/>
  <c r="J1055" i="94" s="1"/>
  <c r="C31" i="86"/>
  <c r="P1709" i="93"/>
  <c r="P153" i="72"/>
  <c r="L235" i="72"/>
  <c r="O1602" i="93"/>
  <c r="O1601" i="93"/>
  <c r="P1602" i="93"/>
  <c r="P1601" i="93"/>
  <c r="C45" i="74"/>
  <c r="C55" i="74" s="1"/>
  <c r="C65" i="82"/>
  <c r="E34" i="74"/>
  <c r="E1049" i="94" s="1"/>
  <c r="H34" i="74"/>
  <c r="H1049" i="94" s="1"/>
  <c r="I34" i="74"/>
  <c r="I1049" i="94" s="1"/>
  <c r="I1057" i="94"/>
  <c r="K35" i="74"/>
  <c r="K1050" i="94" s="1"/>
  <c r="J42" i="74"/>
  <c r="J996" i="93" s="1"/>
  <c r="J41" i="74"/>
  <c r="J995" i="93" s="1"/>
  <c r="J994" i="93"/>
  <c r="K40" i="74"/>
  <c r="K1055" i="94"/>
  <c r="P1707" i="93"/>
  <c r="O1959" i="93"/>
  <c r="E1586" i="93"/>
  <c r="P1959" i="93"/>
  <c r="P1950" i="93"/>
  <c r="D65" i="82"/>
  <c r="B34" i="74"/>
  <c r="B1049" i="94" s="1"/>
  <c r="J34" i="74"/>
  <c r="J1049" i="94" s="1"/>
  <c r="J1057" i="94"/>
  <c r="J1056" i="94"/>
  <c r="B67" i="74"/>
  <c r="B1082" i="94" s="1"/>
  <c r="K42" i="74"/>
  <c r="K41" i="74"/>
  <c r="K1056" i="94" s="1"/>
  <c r="K994" i="93"/>
  <c r="B72" i="74"/>
  <c r="B1087" i="94"/>
  <c r="O1950" i="93"/>
  <c r="E1594" i="93"/>
  <c r="D34" i="74"/>
  <c r="D1049" i="94" s="1"/>
  <c r="K34" i="74"/>
  <c r="K1049" i="94" s="1"/>
  <c r="B74" i="74"/>
  <c r="K1057" i="94"/>
  <c r="C67" i="74"/>
  <c r="C1082" i="94" s="1"/>
  <c r="K996" i="93"/>
  <c r="C74" i="74"/>
  <c r="C1089" i="94" s="1"/>
  <c r="K995" i="93"/>
  <c r="B73" i="74"/>
  <c r="B1088" i="94"/>
  <c r="B1024" i="93"/>
  <c r="C72" i="74"/>
  <c r="C1087" i="94"/>
  <c r="F31" i="86"/>
  <c r="F65" i="82"/>
  <c r="B66" i="74"/>
  <c r="B1081" i="94" s="1"/>
  <c r="D67" i="74"/>
  <c r="D1082" i="94" s="1"/>
  <c r="D74" i="74"/>
  <c r="D1089" i="94"/>
  <c r="B1025" i="93"/>
  <c r="C73" i="74"/>
  <c r="C1088" i="94"/>
  <c r="F32" i="86"/>
  <c r="C1024" i="93"/>
  <c r="D72" i="74"/>
  <c r="D1087" i="94"/>
  <c r="G31" i="86"/>
  <c r="C66" i="74"/>
  <c r="C1081" i="94" s="1"/>
  <c r="E67" i="74"/>
  <c r="E1082" i="94" s="1"/>
  <c r="D1026" i="93"/>
  <c r="E74" i="74"/>
  <c r="E1089" i="94" s="1"/>
  <c r="C1025" i="93"/>
  <c r="D73" i="74"/>
  <c r="D1088" i="94" s="1"/>
  <c r="G32" i="86"/>
  <c r="D1024" i="93"/>
  <c r="E72" i="74"/>
  <c r="E1087" i="94" s="1"/>
  <c r="H31" i="86"/>
  <c r="H65" i="82"/>
  <c r="D66" i="74"/>
  <c r="D1081" i="94" s="1"/>
  <c r="I31" i="86"/>
  <c r="F67" i="74"/>
  <c r="F1082" i="94" s="1"/>
  <c r="E1026" i="93"/>
  <c r="F74" i="74"/>
  <c r="F1089" i="94"/>
  <c r="D1025" i="93"/>
  <c r="E73" i="74"/>
  <c r="E1088" i="94"/>
  <c r="H32" i="86"/>
  <c r="E1024" i="93"/>
  <c r="F72" i="74"/>
  <c r="F1087" i="94"/>
  <c r="I65" i="82"/>
  <c r="E66" i="74"/>
  <c r="E1081" i="94" s="1"/>
  <c r="G67" i="74"/>
  <c r="G1082" i="94" s="1"/>
  <c r="F1026" i="93"/>
  <c r="G74" i="74"/>
  <c r="G1089" i="94" s="1"/>
  <c r="E1025" i="93"/>
  <c r="F73" i="74"/>
  <c r="F1088" i="94" s="1"/>
  <c r="I32" i="86"/>
  <c r="F1024" i="93"/>
  <c r="G72" i="74"/>
  <c r="G1087" i="94" s="1"/>
  <c r="C51" i="86"/>
  <c r="F66" i="74"/>
  <c r="F1081" i="94" s="1"/>
  <c r="H67" i="74"/>
  <c r="H1082" i="94" s="1"/>
  <c r="G1026" i="93"/>
  <c r="H74" i="74"/>
  <c r="H1089" i="94" s="1"/>
  <c r="F1025" i="93"/>
  <c r="G73" i="74"/>
  <c r="G1088" i="94" s="1"/>
  <c r="G1024" i="93"/>
  <c r="H72" i="74"/>
  <c r="H1087" i="94" s="1"/>
  <c r="K65" i="82"/>
  <c r="G66" i="74"/>
  <c r="G1081" i="94" s="1"/>
  <c r="I67" i="74"/>
  <c r="I1082" i="94" s="1"/>
  <c r="H1026" i="93"/>
  <c r="I74" i="74"/>
  <c r="I1089" i="94"/>
  <c r="H73" i="74"/>
  <c r="H1088" i="94"/>
  <c r="D52" i="86"/>
  <c r="I72" i="74"/>
  <c r="I1087" i="94"/>
  <c r="B59" i="82"/>
  <c r="H66" i="74"/>
  <c r="H1081" i="94" s="1"/>
  <c r="J67" i="74"/>
  <c r="J1082" i="94" s="1"/>
  <c r="I1026" i="93"/>
  <c r="J74" i="74"/>
  <c r="J1089" i="94"/>
  <c r="H1025" i="93"/>
  <c r="I73" i="74"/>
  <c r="I1088" i="94"/>
  <c r="E52" i="86"/>
  <c r="I1024" i="93"/>
  <c r="J72" i="74"/>
  <c r="J1087" i="94"/>
  <c r="F51" i="86"/>
  <c r="I66" i="74"/>
  <c r="I1081" i="94" s="1"/>
  <c r="K67" i="74"/>
  <c r="K1082" i="94" s="1"/>
  <c r="J1026" i="93"/>
  <c r="K74" i="74"/>
  <c r="K1089" i="94" s="1"/>
  <c r="I1025" i="93"/>
  <c r="J73" i="74"/>
  <c r="J1088" i="94"/>
  <c r="F52" i="86"/>
  <c r="J1024" i="93"/>
  <c r="K72" i="74"/>
  <c r="K1087" i="94" s="1"/>
  <c r="G51" i="86"/>
  <c r="J66" i="74"/>
  <c r="J1081" i="94" s="1"/>
  <c r="B98" i="74"/>
  <c r="B1113" i="94" s="1"/>
  <c r="K1026" i="93"/>
  <c r="B105" i="74"/>
  <c r="B1120" i="94"/>
  <c r="J1025" i="93"/>
  <c r="K73" i="74"/>
  <c r="K1088" i="94" s="1"/>
  <c r="G52" i="86"/>
  <c r="K1024" i="93"/>
  <c r="B103" i="74"/>
  <c r="B1118" i="94"/>
  <c r="F408" i="93"/>
  <c r="K66" i="74"/>
  <c r="K1081" i="94" s="1"/>
  <c r="C98" i="74"/>
  <c r="C1113" i="94" s="1"/>
  <c r="B1055" i="93"/>
  <c r="C105" i="74"/>
  <c r="C1120" i="94" s="1"/>
  <c r="B104" i="74"/>
  <c r="B1119" i="94"/>
  <c r="B1053" i="93"/>
  <c r="C103" i="74"/>
  <c r="C1118" i="94" s="1"/>
  <c r="B97" i="74"/>
  <c r="B1112" i="94" s="1"/>
  <c r="D98" i="74"/>
  <c r="D1113" i="94" s="1"/>
  <c r="D105" i="74"/>
  <c r="D1120" i="94"/>
  <c r="B1054" i="93"/>
  <c r="C104" i="74"/>
  <c r="C1119" i="94" s="1"/>
  <c r="C1053" i="93"/>
  <c r="D103" i="74"/>
  <c r="D1118" i="94"/>
  <c r="C97" i="74"/>
  <c r="C1112" i="94" s="1"/>
  <c r="E98" i="74"/>
  <c r="E1113" i="94" s="1"/>
  <c r="D1055" i="93"/>
  <c r="E105" i="74"/>
  <c r="E1120" i="94" s="1"/>
  <c r="C1054" i="93"/>
  <c r="D104" i="74"/>
  <c r="D1119" i="94"/>
  <c r="D1053" i="93"/>
  <c r="E103" i="74"/>
  <c r="E1118" i="94" s="1"/>
  <c r="D97" i="74"/>
  <c r="D1112" i="94" s="1"/>
  <c r="F98" i="74"/>
  <c r="F1113" i="94" s="1"/>
  <c r="E1055" i="93"/>
  <c r="F105" i="74"/>
  <c r="F1120" i="94"/>
  <c r="D1054" i="93"/>
  <c r="E104" i="74"/>
  <c r="E1119" i="94" s="1"/>
  <c r="E1053" i="93"/>
  <c r="F103" i="74"/>
  <c r="F1118" i="94"/>
  <c r="E97" i="74"/>
  <c r="E1112" i="94" s="1"/>
  <c r="G98" i="74"/>
  <c r="G1113" i="94" s="1"/>
  <c r="F1055" i="93"/>
  <c r="G105" i="74"/>
  <c r="G1120" i="94" s="1"/>
  <c r="E1054" i="93"/>
  <c r="F104" i="74"/>
  <c r="F1119" i="94"/>
  <c r="F1053" i="93"/>
  <c r="G103" i="74"/>
  <c r="G1118" i="94" s="1"/>
  <c r="F97" i="74"/>
  <c r="F1112" i="94" s="1"/>
  <c r="H98" i="74"/>
  <c r="H1113" i="94" s="1"/>
  <c r="G1055" i="93"/>
  <c r="H105" i="74"/>
  <c r="H1120" i="94"/>
  <c r="F1054" i="93"/>
  <c r="G104" i="74"/>
  <c r="G1119" i="94" s="1"/>
  <c r="G1053" i="93"/>
  <c r="H103" i="74"/>
  <c r="H1118" i="94"/>
  <c r="G97" i="74"/>
  <c r="G1112" i="94" s="1"/>
  <c r="I98" i="74"/>
  <c r="I1113" i="94" s="1"/>
  <c r="H1055" i="93"/>
  <c r="I105" i="74"/>
  <c r="I1120" i="94" s="1"/>
  <c r="G1054" i="93"/>
  <c r="H104" i="74"/>
  <c r="H1119" i="94"/>
  <c r="H1053" i="93"/>
  <c r="I103" i="74"/>
  <c r="I1118" i="94" s="1"/>
  <c r="H97" i="74"/>
  <c r="H1112" i="94" s="1"/>
  <c r="J98" i="74"/>
  <c r="J1113" i="94" s="1"/>
  <c r="I1055" i="93"/>
  <c r="J105" i="74"/>
  <c r="J1120" i="94"/>
  <c r="H1054" i="93"/>
  <c r="I104" i="74"/>
  <c r="I1119" i="94" s="1"/>
  <c r="I1053" i="93"/>
  <c r="J103" i="74"/>
  <c r="J1118" i="94"/>
  <c r="I97" i="74"/>
  <c r="I1112" i="94" s="1"/>
  <c r="K98" i="74"/>
  <c r="K1113" i="94" s="1"/>
  <c r="J1055" i="93"/>
  <c r="K105" i="74"/>
  <c r="K1120" i="94" s="1"/>
  <c r="I1054" i="93"/>
  <c r="J104" i="74"/>
  <c r="J1119" i="94"/>
  <c r="J1053" i="93"/>
  <c r="K103" i="74"/>
  <c r="K1118" i="94" s="1"/>
  <c r="J97" i="74"/>
  <c r="J1112" i="94" s="1"/>
  <c r="B128" i="74"/>
  <c r="B1143" i="94" s="1"/>
  <c r="K1055" i="93"/>
  <c r="B135" i="74"/>
  <c r="B1150" i="94"/>
  <c r="J1054" i="93"/>
  <c r="K104" i="74"/>
  <c r="K1119" i="94" s="1"/>
  <c r="K1053" i="93"/>
  <c r="B133" i="74"/>
  <c r="B1148" i="94"/>
  <c r="K97" i="74"/>
  <c r="K1112" i="94" s="1"/>
  <c r="C128" i="74"/>
  <c r="C1143" i="94" s="1"/>
  <c r="B1083" i="93"/>
  <c r="C135" i="74"/>
  <c r="C1150" i="94" s="1"/>
  <c r="K1054" i="93"/>
  <c r="B134" i="74"/>
  <c r="B1149" i="94"/>
  <c r="B1081" i="93"/>
  <c r="C133" i="74"/>
  <c r="C1148" i="94" s="1"/>
  <c r="B127" i="74"/>
  <c r="B1142" i="94" s="1"/>
  <c r="D128" i="74"/>
  <c r="D1143" i="94" s="1"/>
  <c r="C1083" i="93"/>
  <c r="D135" i="74"/>
  <c r="D1150" i="94"/>
  <c r="B1082" i="93"/>
  <c r="C134" i="74"/>
  <c r="C1149" i="94" s="1"/>
  <c r="C1081" i="93"/>
  <c r="D133" i="74"/>
  <c r="D1148" i="94"/>
  <c r="C127" i="74"/>
  <c r="C1142" i="94" s="1"/>
  <c r="E128" i="74"/>
  <c r="E1143" i="94" s="1"/>
  <c r="D1083" i="93"/>
  <c r="E135" i="74"/>
  <c r="E1150" i="94" s="1"/>
  <c r="C1082" i="93"/>
  <c r="D134" i="74"/>
  <c r="D1149" i="94"/>
  <c r="D1081" i="93"/>
  <c r="E133" i="74"/>
  <c r="E1148" i="94" s="1"/>
  <c r="D127" i="74"/>
  <c r="D1142" i="94" s="1"/>
  <c r="F128" i="74"/>
  <c r="F1143" i="94" s="1"/>
  <c r="F135" i="74"/>
  <c r="D1082" i="93"/>
  <c r="E134" i="74"/>
  <c r="E1149" i="94" s="1"/>
  <c r="E1081" i="93"/>
  <c r="F133" i="74"/>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7" i="74"/>
  <c r="E1142" i="94" s="1"/>
  <c r="F1081" i="93"/>
  <c r="F1148" i="94"/>
  <c r="F1083" i="93"/>
  <c r="F1150" i="94"/>
  <c r="E1082" i="93"/>
  <c r="F134" i="74"/>
  <c r="A58" i="26"/>
  <c r="G58" i="26"/>
  <c r="A1" i="25"/>
  <c r="A50" i="25"/>
  <c r="A1" i="26"/>
  <c r="F127" i="74"/>
  <c r="F1142" i="94" s="1"/>
  <c r="F1082" i="93"/>
  <c r="F1149" i="94"/>
  <c r="O306" i="72"/>
  <c r="O1954" i="94" s="1"/>
  <c r="Q307" i="72"/>
  <c r="E1591" i="93"/>
  <c r="O1848" i="93"/>
  <c r="H75" i="74"/>
  <c r="H1090" i="94" s="1"/>
  <c r="I75" i="74"/>
  <c r="I1090" i="94" s="1"/>
  <c r="J75" i="74"/>
  <c r="J1090" i="94" s="1"/>
  <c r="K75" i="74"/>
  <c r="K1027" i="93" s="1"/>
  <c r="K1090" i="94"/>
  <c r="C133" i="90"/>
  <c r="L59" i="85" s="1"/>
  <c r="B32" i="82"/>
  <c r="B35" i="82" s="1"/>
  <c r="B36" i="82" s="1"/>
  <c r="I405" i="93"/>
  <c r="I421" i="93" s="1"/>
  <c r="I420" i="94"/>
  <c r="I435" i="94" s="1"/>
  <c r="D43" i="68"/>
  <c r="D405" i="93" s="1"/>
  <c r="P43" i="68"/>
  <c r="B1078" i="94" s="1"/>
  <c r="I58" i="68"/>
  <c r="J164" i="78" s="1"/>
  <c r="E1046" i="94"/>
  <c r="F14" i="86"/>
  <c r="E985" i="93"/>
  <c r="C985" i="93"/>
  <c r="D14" i="86"/>
  <c r="C1046" i="94"/>
  <c r="D985" i="93"/>
  <c r="R977" i="93" s="1"/>
  <c r="D1046" i="94"/>
  <c r="E14" i="86"/>
  <c r="C14" i="86"/>
  <c r="R20" i="74"/>
  <c r="R22" i="74"/>
  <c r="B985" i="93"/>
  <c r="R24" i="74"/>
  <c r="R21" i="74"/>
  <c r="B1046" i="94"/>
  <c r="B43" i="74"/>
  <c r="B997" i="93" s="1"/>
  <c r="R976" i="93"/>
  <c r="R978" i="93"/>
  <c r="R975" i="93"/>
  <c r="R780" i="94" l="1"/>
  <c r="R798" i="93"/>
  <c r="K63" i="94"/>
  <c r="R797" i="93"/>
  <c r="R795" i="93"/>
  <c r="J381" i="73"/>
  <c r="F1470" i="93" s="1"/>
  <c r="P934" i="93"/>
  <c r="P990" i="94"/>
  <c r="R29" i="75"/>
  <c r="R770" i="93"/>
  <c r="R767" i="93"/>
  <c r="R773" i="93"/>
  <c r="R24" i="75"/>
  <c r="R28" i="75"/>
  <c r="R785" i="93" s="1"/>
  <c r="R34" i="75"/>
  <c r="R778" i="93"/>
  <c r="R794" i="94"/>
  <c r="R23" i="75"/>
  <c r="T177" i="72"/>
  <c r="T1731" i="93"/>
  <c r="T1825" i="94"/>
  <c r="R33" i="75"/>
  <c r="R788" i="93"/>
  <c r="H2" i="91"/>
  <c r="S483" i="94"/>
  <c r="L384" i="72"/>
  <c r="O2032" i="94"/>
  <c r="L2032" i="94" s="1"/>
  <c r="L2034" i="94"/>
  <c r="L1918" i="93"/>
  <c r="L370" i="94"/>
  <c r="B993" i="93"/>
  <c r="C39" i="74"/>
  <c r="C10" i="86"/>
  <c r="B1054" i="94"/>
  <c r="J65" i="82"/>
  <c r="G65" i="82"/>
  <c r="E65" i="82"/>
  <c r="E45" i="82"/>
  <c r="C75" i="84"/>
  <c r="E26" i="87"/>
  <c r="E21" i="87"/>
  <c r="B45" i="82"/>
  <c r="E8" i="87"/>
  <c r="E11" i="87"/>
  <c r="B1040" i="94"/>
  <c r="B979" i="93"/>
  <c r="K979" i="93"/>
  <c r="E16" i="87"/>
  <c r="E979" i="93"/>
  <c r="G470" i="93"/>
  <c r="J471" i="93"/>
  <c r="J474" i="93" s="1"/>
  <c r="J483" i="94"/>
  <c r="G480" i="94"/>
  <c r="G483" i="94" s="1"/>
  <c r="B489" i="94" s="1"/>
  <c r="F37" i="78"/>
  <c r="F35" i="78"/>
  <c r="G38" i="78"/>
  <c r="B44" i="78" s="1"/>
  <c r="H18" i="84" s="1"/>
  <c r="C58" i="84"/>
  <c r="G58" i="84" s="1"/>
  <c r="A786" i="93"/>
  <c r="BA810" i="94"/>
  <c r="J824" i="94" s="1"/>
  <c r="AV810" i="94"/>
  <c r="J823" i="94" s="1"/>
  <c r="CG810" i="94"/>
  <c r="L845" i="94" s="1"/>
  <c r="BN810" i="94"/>
  <c r="M849" i="94" s="1"/>
  <c r="DE810" i="94"/>
  <c r="K858" i="94" s="1"/>
  <c r="BY810" i="94"/>
  <c r="N847" i="94" s="1"/>
  <c r="AF810" i="94"/>
  <c r="N819" i="94" s="1"/>
  <c r="HU810" i="94"/>
  <c r="AU805" i="93"/>
  <c r="HZ810" i="94"/>
  <c r="EA48" i="75"/>
  <c r="M92" i="75" s="1"/>
  <c r="EH48" i="75"/>
  <c r="J145" i="75" s="1"/>
  <c r="EL48" i="75"/>
  <c r="N145" i="75" s="1"/>
  <c r="EO48" i="75"/>
  <c r="L146" i="75" s="1"/>
  <c r="CX48" i="75"/>
  <c r="N98" i="75" s="1"/>
  <c r="FO48" i="75"/>
  <c r="M151" i="75" s="1"/>
  <c r="J2052" i="94"/>
  <c r="J1046" i="94"/>
  <c r="I34" i="86"/>
  <c r="P420" i="94"/>
  <c r="D1078" i="94"/>
  <c r="E1078" i="94"/>
  <c r="E1015" i="93"/>
  <c r="C1078" i="94"/>
  <c r="C43" i="74"/>
  <c r="G985" i="93"/>
  <c r="F1078" i="94"/>
  <c r="K985" i="93"/>
  <c r="J985" i="93"/>
  <c r="B1058" i="94"/>
  <c r="D34" i="86"/>
  <c r="N405" i="93"/>
  <c r="J1027" i="93"/>
  <c r="F56" i="86"/>
  <c r="D1104" i="94"/>
  <c r="F1072" i="94"/>
  <c r="D1072" i="94"/>
  <c r="E1134" i="94"/>
  <c r="K1104" i="94"/>
  <c r="B1104" i="94"/>
  <c r="C36" i="84"/>
  <c r="K26" i="84"/>
  <c r="D16" i="83"/>
  <c r="H1072" i="94"/>
  <c r="C1134" i="94"/>
  <c r="H1104" i="94"/>
  <c r="J1072" i="94"/>
  <c r="C1072" i="94"/>
  <c r="F1104" i="94"/>
  <c r="J600" i="93"/>
  <c r="C1104" i="94"/>
  <c r="E1072" i="94"/>
  <c r="D1134" i="94"/>
  <c r="E1104" i="94"/>
  <c r="G1072" i="94"/>
  <c r="J1104" i="94"/>
  <c r="K29" i="84"/>
  <c r="P415" i="94"/>
  <c r="G1104" i="94"/>
  <c r="I1072" i="94"/>
  <c r="B1072" i="94"/>
  <c r="I1104" i="94"/>
  <c r="K1072" i="94"/>
  <c r="J609" i="94"/>
  <c r="D56" i="92"/>
  <c r="F84" i="92"/>
  <c r="L408" i="94"/>
  <c r="F1472" i="93"/>
  <c r="J1472" i="93" s="1"/>
  <c r="D420" i="94"/>
  <c r="D56" i="86"/>
  <c r="G56" i="86"/>
  <c r="E56" i="86"/>
  <c r="G536" i="94"/>
  <c r="H56" i="86"/>
  <c r="G509" i="94"/>
  <c r="E482" i="94"/>
  <c r="E481" i="94"/>
  <c r="E480" i="94"/>
  <c r="F925" i="93"/>
  <c r="K58" i="84"/>
  <c r="K998" i="94"/>
  <c r="K60" i="84"/>
  <c r="I60" i="84"/>
  <c r="G60" i="84"/>
  <c r="E60" i="84"/>
  <c r="JL791" i="93"/>
  <c r="MK796" i="94"/>
  <c r="ML796" i="94"/>
  <c r="JD791" i="93"/>
  <c r="EZ791" i="93"/>
  <c r="JG791" i="93"/>
  <c r="JI791" i="93"/>
  <c r="MN796" i="94"/>
  <c r="JP791" i="93"/>
  <c r="EG48" i="75"/>
  <c r="N66" i="75" s="1"/>
  <c r="JY810" i="94"/>
  <c r="L879" i="94" s="1"/>
  <c r="KP810" i="94"/>
  <c r="N882" i="94" s="1"/>
  <c r="N901" i="94" s="1"/>
  <c r="DV48" i="75"/>
  <c r="M93" i="75" s="1"/>
  <c r="BN48" i="75"/>
  <c r="M87" i="75" s="1"/>
  <c r="CR48" i="75"/>
  <c r="M81" i="75" s="1"/>
  <c r="CO48" i="75"/>
  <c r="J81" i="75" s="1"/>
  <c r="R782" i="93"/>
  <c r="A779" i="93"/>
  <c r="CJ805" i="93"/>
  <c r="AA48" i="75"/>
  <c r="N56" i="75" s="1"/>
  <c r="X48" i="75"/>
  <c r="K56" i="75" s="1"/>
  <c r="O56" i="75" s="1"/>
  <c r="AS48" i="75"/>
  <c r="L60" i="75" s="1"/>
  <c r="EN805" i="93"/>
  <c r="K836" i="93" s="1"/>
  <c r="ID48" i="75"/>
  <c r="J124" i="75" s="1"/>
  <c r="IH48" i="75"/>
  <c r="N124" i="75" s="1"/>
  <c r="N135" i="75" s="1"/>
  <c r="IP48" i="75"/>
  <c r="L130" i="75" s="1"/>
  <c r="IT48" i="75"/>
  <c r="K131" i="75" s="1"/>
  <c r="IX48" i="75"/>
  <c r="J128" i="75" s="1"/>
  <c r="JF48" i="75"/>
  <c r="M129" i="75" s="1"/>
  <c r="JJ48" i="75"/>
  <c r="L126" i="75" s="1"/>
  <c r="JN48" i="75"/>
  <c r="K127" i="75" s="1"/>
  <c r="JV48" i="75"/>
  <c r="N116" i="75" s="1"/>
  <c r="JZ48" i="75"/>
  <c r="M117" i="75" s="1"/>
  <c r="KD48" i="75"/>
  <c r="L118" i="75" s="1"/>
  <c r="L141" i="75" s="1"/>
  <c r="KL48" i="75"/>
  <c r="J120" i="75" s="1"/>
  <c r="KP48" i="75"/>
  <c r="N120" i="75" s="1"/>
  <c r="N139" i="75" s="1"/>
  <c r="KT48" i="75"/>
  <c r="M121" i="75" s="1"/>
  <c r="M140" i="75" s="1"/>
  <c r="LB48" i="75"/>
  <c r="K123" i="75" s="1"/>
  <c r="ME48" i="75"/>
  <c r="MI48" i="75"/>
  <c r="MM48" i="75"/>
  <c r="IL805" i="93"/>
  <c r="EI48" i="75"/>
  <c r="K145" i="75" s="1"/>
  <c r="EP48" i="75"/>
  <c r="M146" i="75" s="1"/>
  <c r="FC48" i="75"/>
  <c r="K149" i="75" s="1"/>
  <c r="O149" i="75" s="1"/>
  <c r="P66" i="66" s="1"/>
  <c r="LN48" i="75"/>
  <c r="GM48" i="75"/>
  <c r="L102" i="75" s="1"/>
  <c r="BI48" i="75"/>
  <c r="M64" i="75" s="1"/>
  <c r="EE48" i="75"/>
  <c r="L66" i="75" s="1"/>
  <c r="FS48" i="75"/>
  <c r="L153" i="75" s="1"/>
  <c r="FW48" i="75"/>
  <c r="GE48" i="75"/>
  <c r="N155" i="75" s="1"/>
  <c r="GN48" i="75"/>
  <c r="M102" i="75" s="1"/>
  <c r="M103" i="75" s="1"/>
  <c r="HE48" i="75"/>
  <c r="HI48" i="75"/>
  <c r="HR48" i="75"/>
  <c r="M108" i="75" s="1"/>
  <c r="HV48" i="75"/>
  <c r="AJ48" i="75"/>
  <c r="M58" i="75" s="1"/>
  <c r="O58" i="75" s="1"/>
  <c r="H64" i="66" s="1"/>
  <c r="AM48" i="75"/>
  <c r="K59" i="75" s="1"/>
  <c r="BD48" i="75"/>
  <c r="M62" i="75" s="1"/>
  <c r="FX48" i="75"/>
  <c r="GB48" i="75"/>
  <c r="K155" i="75" s="1"/>
  <c r="GF48" i="75"/>
  <c r="J101" i="75" s="1"/>
  <c r="GJ48" i="75"/>
  <c r="N101" i="75" s="1"/>
  <c r="GX48" i="75"/>
  <c r="M104" i="75" s="1"/>
  <c r="HL48" i="75"/>
  <c r="L107" i="75" s="1"/>
  <c r="CC48" i="75"/>
  <c r="M84" i="75" s="1"/>
  <c r="DK48" i="75"/>
  <c r="L95" i="75" s="1"/>
  <c r="CH48" i="75"/>
  <c r="M83" i="75" s="1"/>
  <c r="M88" i="75" s="1"/>
  <c r="DP48" i="75"/>
  <c r="L94" i="75" s="1"/>
  <c r="AT48" i="75"/>
  <c r="M60" i="75" s="1"/>
  <c r="AX48" i="75"/>
  <c r="L61" i="75" s="1"/>
  <c r="CY48" i="75"/>
  <c r="J97" i="75" s="1"/>
  <c r="DC48" i="75"/>
  <c r="N97" i="75" s="1"/>
  <c r="EJ48" i="75"/>
  <c r="L145" i="75" s="1"/>
  <c r="EQ48" i="75"/>
  <c r="N146" i="75" s="1"/>
  <c r="FP48" i="75"/>
  <c r="N151" i="75" s="1"/>
  <c r="LK48" i="75"/>
  <c r="FZ48" i="75"/>
  <c r="GA48" i="75"/>
  <c r="J155" i="75" s="1"/>
  <c r="BJ48" i="75"/>
  <c r="N64" i="75" s="1"/>
  <c r="O64" i="75" s="1"/>
  <c r="EF48" i="75"/>
  <c r="M66" i="75" s="1"/>
  <c r="FT48" i="75"/>
  <c r="M153" i="75" s="1"/>
  <c r="CA48" i="75"/>
  <c r="K84" i="75" s="1"/>
  <c r="DI48" i="75"/>
  <c r="J95" i="75" s="1"/>
  <c r="O95" i="75" s="1"/>
  <c r="DN48" i="75"/>
  <c r="J94" i="75" s="1"/>
  <c r="DR48" i="75"/>
  <c r="N94" i="75" s="1"/>
  <c r="AW48" i="75"/>
  <c r="K61" i="75" s="1"/>
  <c r="BP48" i="75"/>
  <c r="J86" i="75" s="1"/>
  <c r="O86" i="75" s="1"/>
  <c r="I67" i="66" s="1"/>
  <c r="DB48" i="75"/>
  <c r="M97" i="75" s="1"/>
  <c r="AE48" i="75"/>
  <c r="M57" i="75" s="1"/>
  <c r="AO48" i="75"/>
  <c r="M59" i="75" s="1"/>
  <c r="BB48" i="75"/>
  <c r="K62" i="75" s="1"/>
  <c r="O62" i="75" s="1"/>
  <c r="IA48" i="75"/>
  <c r="GZ48" i="75"/>
  <c r="J105" i="75" s="1"/>
  <c r="HH48" i="75"/>
  <c r="HQ48" i="75"/>
  <c r="L108" i="75" s="1"/>
  <c r="L109" i="75" s="1"/>
  <c r="HU48" i="75"/>
  <c r="ML48" i="75"/>
  <c r="GK48" i="75"/>
  <c r="J102" i="75" s="1"/>
  <c r="GO48" i="75"/>
  <c r="N102" i="75" s="1"/>
  <c r="HB48" i="75"/>
  <c r="L105" i="75" s="1"/>
  <c r="L106" i="75" s="1"/>
  <c r="HF48" i="75"/>
  <c r="HO48" i="75"/>
  <c r="J108" i="75" s="1"/>
  <c r="J109" i="75" s="1"/>
  <c r="HW48" i="75"/>
  <c r="MJ48" i="75"/>
  <c r="MN48" i="75"/>
  <c r="GW48" i="75"/>
  <c r="L104" i="75" s="1"/>
  <c r="HK48" i="75"/>
  <c r="K107" i="75" s="1"/>
  <c r="O107" i="75" s="1"/>
  <c r="HC810" i="94"/>
  <c r="M867" i="94" s="1"/>
  <c r="IE48" i="75"/>
  <c r="K124"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J138" i="75" s="1"/>
  <c r="KA48" i="75"/>
  <c r="N117" i="75" s="1"/>
  <c r="KE48" i="75"/>
  <c r="M118" i="75" s="1"/>
  <c r="KI48" i="75"/>
  <c r="L119" i="75" s="1"/>
  <c r="KM48" i="75"/>
  <c r="K120" i="75" s="1"/>
  <c r="K139" i="75" s="1"/>
  <c r="F1214" i="94" s="1"/>
  <c r="KQ48" i="75"/>
  <c r="J121" i="75" s="1"/>
  <c r="J140" i="75" s="1"/>
  <c r="K1213" i="94" s="1"/>
  <c r="N1213" i="94" s="1"/>
  <c r="KY48" i="75"/>
  <c r="M122" i="75" s="1"/>
  <c r="LC48" i="75"/>
  <c r="L123" i="75" s="1"/>
  <c r="MF48" i="75"/>
  <c r="K1214" i="94"/>
  <c r="N1214" i="94" s="1"/>
  <c r="K1150" i="93"/>
  <c r="M1150" i="93" s="1"/>
  <c r="EJ805" i="93"/>
  <c r="L835" i="93" s="1"/>
  <c r="AS805" i="93"/>
  <c r="EB805" i="93"/>
  <c r="N833" i="93" s="1"/>
  <c r="IZ805" i="93"/>
  <c r="K56" i="73"/>
  <c r="CQ48" i="75"/>
  <c r="L81" i="75" s="1"/>
  <c r="DU48" i="75"/>
  <c r="L93" i="75" s="1"/>
  <c r="LG48" i="75"/>
  <c r="LO48" i="75"/>
  <c r="LS48" i="75"/>
  <c r="LW48" i="75"/>
  <c r="AT805" i="93"/>
  <c r="DY805" i="93"/>
  <c r="K833" i="93" s="1"/>
  <c r="BO805" i="93"/>
  <c r="N826" i="93" s="1"/>
  <c r="DH805" i="93"/>
  <c r="N829" i="93" s="1"/>
  <c r="M142" i="75"/>
  <c r="K1223" i="94" s="1"/>
  <c r="M1223" i="94" s="1"/>
  <c r="K137" i="75"/>
  <c r="BQ810" i="94"/>
  <c r="K848" i="94" s="1"/>
  <c r="FJ810" i="94"/>
  <c r="M912" i="94" s="1"/>
  <c r="KT810" i="94"/>
  <c r="M883" i="94" s="1"/>
  <c r="M902" i="94" s="1"/>
  <c r="JL810" i="94"/>
  <c r="N888" i="94" s="1"/>
  <c r="EF810" i="94"/>
  <c r="M828" i="94" s="1"/>
  <c r="HE810" i="94"/>
  <c r="DZ810" i="94"/>
  <c r="L854" i="94" s="1"/>
  <c r="FJ48" i="75"/>
  <c r="M150" i="75" s="1"/>
  <c r="EW48" i="75"/>
  <c r="J148" i="75" s="1"/>
  <c r="O148" i="75" s="1"/>
  <c r="P65" i="66" s="1"/>
  <c r="FI48" i="75"/>
  <c r="L150" i="75" s="1"/>
  <c r="EZ48" i="75"/>
  <c r="M148" i="75" s="1"/>
  <c r="EM48" i="75"/>
  <c r="J146" i="75" s="1"/>
  <c r="FL48" i="75"/>
  <c r="J151" i="75" s="1"/>
  <c r="O151" i="75" s="1"/>
  <c r="P68" i="66" s="1"/>
  <c r="H1215" i="94"/>
  <c r="P237" i="75"/>
  <c r="L142" i="75"/>
  <c r="K103" i="75"/>
  <c r="J103" i="75"/>
  <c r="K138" i="75"/>
  <c r="L103" i="75"/>
  <c r="BM48" i="75"/>
  <c r="L87" i="75" s="1"/>
  <c r="BV48" i="75"/>
  <c r="K85" i="75" s="1"/>
  <c r="BU48" i="75"/>
  <c r="J85" i="75" s="1"/>
  <c r="BY48" i="75"/>
  <c r="N85" i="75" s="1"/>
  <c r="CK48" i="75"/>
  <c r="K82" i="75" s="1"/>
  <c r="CW48" i="75"/>
  <c r="M98" i="75" s="1"/>
  <c r="CV48" i="75"/>
  <c r="L98" i="75" s="1"/>
  <c r="DE48" i="75"/>
  <c r="K96" i="75" s="1"/>
  <c r="DD48" i="75"/>
  <c r="J96" i="75" s="1"/>
  <c r="DH48" i="75"/>
  <c r="N96" i="75" s="1"/>
  <c r="M1213" i="94"/>
  <c r="O237" i="75"/>
  <c r="IF48" i="75"/>
  <c r="L124" i="75" s="1"/>
  <c r="IV48" i="75"/>
  <c r="M131" i="75" s="1"/>
  <c r="IZ48" i="75"/>
  <c r="L128" i="75" s="1"/>
  <c r="JH48" i="75"/>
  <c r="J126" i="75" s="1"/>
  <c r="JP48" i="75"/>
  <c r="M127" i="75" s="1"/>
  <c r="JT48" i="75"/>
  <c r="L116" i="75" s="1"/>
  <c r="BC805" i="93"/>
  <c r="L821" i="93" s="1"/>
  <c r="DO805" i="93"/>
  <c r="A805" i="93"/>
  <c r="A762" i="93" s="1"/>
  <c r="CN48" i="75"/>
  <c r="N82" i="75" s="1"/>
  <c r="DT48" i="75"/>
  <c r="K93" i="75" s="1"/>
  <c r="O93" i="75" s="1"/>
  <c r="A48" i="75"/>
  <c r="A5" i="75" s="1"/>
  <c r="IG48" i="75"/>
  <c r="M124" i="75" s="1"/>
  <c r="IO48" i="75"/>
  <c r="K130" i="75" s="1"/>
  <c r="K135" i="75" s="1"/>
  <c r="IS48" i="75"/>
  <c r="J131" i="75" s="1"/>
  <c r="J136" i="75" s="1"/>
  <c r="IW48" i="75"/>
  <c r="N131" i="75" s="1"/>
  <c r="JA48" i="75"/>
  <c r="M128" i="75" s="1"/>
  <c r="JE48" i="75"/>
  <c r="L129" i="75" s="1"/>
  <c r="JQ48" i="75"/>
  <c r="N127" i="75" s="1"/>
  <c r="JU48" i="75"/>
  <c r="M116" i="75" s="1"/>
  <c r="JY48" i="75"/>
  <c r="L117" i="75" s="1"/>
  <c r="KC48" i="75"/>
  <c r="K118" i="75" s="1"/>
  <c r="KG48" i="75"/>
  <c r="J119" i="75" s="1"/>
  <c r="O119" i="75" s="1"/>
  <c r="KO48" i="75"/>
  <c r="M120" i="75" s="1"/>
  <c r="M139" i="75" s="1"/>
  <c r="F1216" i="94" s="1"/>
  <c r="KS48" i="75"/>
  <c r="L121" i="75" s="1"/>
  <c r="L140" i="75" s="1"/>
  <c r="K1151" i="93" s="1"/>
  <c r="KW48" i="75"/>
  <c r="K122" i="75" s="1"/>
  <c r="O122" i="75" s="1"/>
  <c r="LE48" i="75"/>
  <c r="N123" i="75" s="1"/>
  <c r="N142" i="75" s="1"/>
  <c r="MH48" i="75"/>
  <c r="DX48" i="75"/>
  <c r="J92" i="75" s="1"/>
  <c r="O92" i="75" s="1"/>
  <c r="EB48" i="75"/>
  <c r="N92" i="75" s="1"/>
  <c r="ET48" i="75"/>
  <c r="L147" i="75" s="1"/>
  <c r="L152" i="75" s="1"/>
  <c r="ER48" i="75"/>
  <c r="J147" i="75" s="1"/>
  <c r="BJ810" i="94"/>
  <c r="N826" i="94" s="1"/>
  <c r="BI810" i="94"/>
  <c r="M826" i="94" s="1"/>
  <c r="IJ810" i="94"/>
  <c r="K887" i="94" s="1"/>
  <c r="KI810" i="94"/>
  <c r="L881" i="94" s="1"/>
  <c r="JC810" i="94"/>
  <c r="J891" i="94" s="1"/>
  <c r="KV810" i="94"/>
  <c r="J884" i="94" s="1"/>
  <c r="IG810" i="94"/>
  <c r="M886" i="94" s="1"/>
  <c r="IY810" i="94"/>
  <c r="K890" i="94" s="1"/>
  <c r="BX810" i="94"/>
  <c r="M847" i="94" s="1"/>
  <c r="CB810" i="94"/>
  <c r="L846" i="94" s="1"/>
  <c r="JS789" i="94"/>
  <c r="K1217" i="94"/>
  <c r="K59" i="73"/>
  <c r="K1153" i="93"/>
  <c r="K1222" i="94"/>
  <c r="K64" i="73"/>
  <c r="K1158" i="93"/>
  <c r="F1151" i="93"/>
  <c r="F1156" i="93"/>
  <c r="N137" i="75"/>
  <c r="F1210" i="94" s="1"/>
  <c r="N1150" i="93"/>
  <c r="F56" i="73"/>
  <c r="H1220" i="94"/>
  <c r="F57" i="73"/>
  <c r="F62" i="73"/>
  <c r="HH794" i="94"/>
  <c r="Q794" i="94"/>
  <c r="K1207" i="94"/>
  <c r="K1143" i="93"/>
  <c r="K49" i="73"/>
  <c r="F1152" i="93"/>
  <c r="F1207" i="94"/>
  <c r="F1143" i="93"/>
  <c r="F49" i="73"/>
  <c r="F1217" i="94"/>
  <c r="F59" i="73"/>
  <c r="F1153" i="93"/>
  <c r="J139" i="75"/>
  <c r="O120" i="75"/>
  <c r="L137" i="75"/>
  <c r="K142" i="75"/>
  <c r="O125" i="75"/>
  <c r="L115" i="75"/>
  <c r="K136" i="75"/>
  <c r="IB797" i="94"/>
  <c r="IB810" i="94" s="1"/>
  <c r="M141" i="75"/>
  <c r="J135" i="75"/>
  <c r="EO794" i="94"/>
  <c r="FE794" i="94"/>
  <c r="FE810" i="94" s="1"/>
  <c r="M911" i="94" s="1"/>
  <c r="FU794" i="94"/>
  <c r="MC794" i="94"/>
  <c r="EK794" i="94"/>
  <c r="ES794" i="94"/>
  <c r="FI794" i="94"/>
  <c r="LJ794" i="94"/>
  <c r="BK48" i="75"/>
  <c r="J87" i="75" s="1"/>
  <c r="O87" i="75" s="1"/>
  <c r="I68" i="66" s="1"/>
  <c r="O84" i="75"/>
  <c r="GN810" i="94"/>
  <c r="M864" i="94" s="1"/>
  <c r="O61" i="75"/>
  <c r="H67" i="66" s="1"/>
  <c r="N106" i="75"/>
  <c r="K106" i="75"/>
  <c r="N109" i="75"/>
  <c r="K88" i="75"/>
  <c r="CJ48" i="75"/>
  <c r="J82" i="75" s="1"/>
  <c r="M109" i="75"/>
  <c r="O146" i="75"/>
  <c r="P63" i="66" s="1"/>
  <c r="N63" i="75"/>
  <c r="N71" i="75" s="1"/>
  <c r="H1027" i="93"/>
  <c r="E1083" i="93"/>
  <c r="H51" i="86"/>
  <c r="B1026" i="93"/>
  <c r="B1089" i="94"/>
  <c r="I1027" i="93"/>
  <c r="E16" i="72"/>
  <c r="C1055" i="93"/>
  <c r="K1025" i="93"/>
  <c r="H1024" i="93"/>
  <c r="D51" i="86"/>
  <c r="C52" i="86"/>
  <c r="C1026" i="93"/>
  <c r="M63" i="75"/>
  <c r="O57" i="75"/>
  <c r="H52" i="86"/>
  <c r="E51" i="86"/>
  <c r="G1025" i="93"/>
  <c r="J63" i="75"/>
  <c r="O59" i="75"/>
  <c r="E32" i="86"/>
  <c r="E31" i="86"/>
  <c r="D45" i="74"/>
  <c r="I995" i="93"/>
  <c r="I11" i="86"/>
  <c r="H12" i="86"/>
  <c r="H30" i="74"/>
  <c r="G53" i="82"/>
  <c r="E1055" i="94"/>
  <c r="D1056" i="94"/>
  <c r="R787" i="93"/>
  <c r="R792" i="94"/>
  <c r="O94" i="75"/>
  <c r="K25" i="75"/>
  <c r="L25" i="75" s="1"/>
  <c r="L48" i="75" s="1"/>
  <c r="L49" i="75" s="1"/>
  <c r="I782" i="93"/>
  <c r="K782" i="93" s="1"/>
  <c r="L782" i="93" s="1"/>
  <c r="I787" i="94"/>
  <c r="K787" i="94" s="1"/>
  <c r="L787" i="94" s="1"/>
  <c r="L810" i="94" s="1"/>
  <c r="L811" i="94" s="1"/>
  <c r="R781" i="93"/>
  <c r="R786" i="94"/>
  <c r="R790" i="94"/>
  <c r="R791" i="93"/>
  <c r="R796" i="94"/>
  <c r="O150" i="75"/>
  <c r="I59" i="84"/>
  <c r="K59" i="84"/>
  <c r="E59" i="84"/>
  <c r="G59" i="84"/>
  <c r="C62" i="84"/>
  <c r="D32" i="86"/>
  <c r="D31" i="86"/>
  <c r="C32" i="86"/>
  <c r="N141" i="75"/>
  <c r="O101" i="75"/>
  <c r="L88" i="75"/>
  <c r="K61" i="84"/>
  <c r="E61" i="84"/>
  <c r="G61" i="84"/>
  <c r="I61" i="84"/>
  <c r="D982" i="93"/>
  <c r="F117" i="78"/>
  <c r="I781" i="93"/>
  <c r="K781" i="93" s="1"/>
  <c r="L781" i="93" s="1"/>
  <c r="L805" i="93" s="1"/>
  <c r="L806" i="93" s="1"/>
  <c r="P1611" i="93"/>
  <c r="O171" i="72"/>
  <c r="J1734" i="93"/>
  <c r="P587" i="93"/>
  <c r="P589" i="93" s="1"/>
  <c r="D992" i="93"/>
  <c r="D978" i="93"/>
  <c r="I1830" i="94"/>
  <c r="O1709" i="94"/>
  <c r="L1934" i="94" s="1"/>
  <c r="R27" i="75"/>
  <c r="L286" i="72"/>
  <c r="L1833" i="93" s="1"/>
  <c r="O1611" i="93"/>
  <c r="I969" i="93"/>
  <c r="F976" i="93"/>
  <c r="F992" i="93" s="1"/>
  <c r="E976" i="93"/>
  <c r="EW789" i="93"/>
  <c r="EZ789" i="93"/>
  <c r="HK789" i="93"/>
  <c r="DW789" i="93"/>
  <c r="AK789" i="93"/>
  <c r="DC789" i="93"/>
  <c r="DA789" i="93"/>
  <c r="JP789" i="93"/>
  <c r="CU789" i="93"/>
  <c r="HR789" i="93"/>
  <c r="GL789" i="93"/>
  <c r="HQ789" i="93"/>
  <c r="GK789" i="93"/>
  <c r="FE789" i="93"/>
  <c r="GZ789" i="93"/>
  <c r="FT789" i="93"/>
  <c r="HO789" i="93"/>
  <c r="GI789" i="93"/>
  <c r="FC789" i="93"/>
  <c r="GX789" i="93"/>
  <c r="FR789" i="93"/>
  <c r="HE789" i="93"/>
  <c r="HD789" i="93"/>
  <c r="GW789" i="93"/>
  <c r="GU789" i="93"/>
  <c r="FH789" i="93"/>
  <c r="HM789" i="93"/>
  <c r="FY789" i="93"/>
  <c r="GV789" i="93"/>
  <c r="HC789" i="93"/>
  <c r="FA789" i="93"/>
  <c r="EY789" i="93"/>
  <c r="IU789" i="93"/>
  <c r="CH789" i="93"/>
  <c r="BW789" i="93"/>
  <c r="BY789" i="93"/>
  <c r="CY789" i="93"/>
  <c r="CW789" i="93"/>
  <c r="BR789" i="93"/>
  <c r="HB789" i="93"/>
  <c r="FV789" i="93"/>
  <c r="HA789" i="93"/>
  <c r="FU789" i="93"/>
  <c r="HP789" i="93"/>
  <c r="GJ789" i="93"/>
  <c r="FD789" i="93"/>
  <c r="GY789" i="93"/>
  <c r="FS789" i="93"/>
  <c r="HN789" i="93"/>
  <c r="GH789" i="93"/>
  <c r="FB789" i="93"/>
  <c r="FP789" i="93"/>
  <c r="FO789" i="93"/>
  <c r="FI789" i="93"/>
  <c r="HU789" i="93"/>
  <c r="GN789" i="93"/>
  <c r="FF789" i="93"/>
  <c r="FW789" i="93"/>
  <c r="DZ789" i="93"/>
  <c r="AL789" i="93"/>
  <c r="BV789" i="93"/>
  <c r="DB789" i="93"/>
  <c r="CV789" i="93"/>
  <c r="BQ789" i="93"/>
  <c r="HZ789" i="93"/>
  <c r="GT789" i="93"/>
  <c r="HY789" i="93"/>
  <c r="GS789" i="93"/>
  <c r="FM789" i="93"/>
  <c r="HH789" i="93"/>
  <c r="GB789" i="93"/>
  <c r="HW789" i="93"/>
  <c r="GQ789" i="93"/>
  <c r="FK789" i="93"/>
  <c r="HF789" i="93"/>
  <c r="FZ789" i="93"/>
  <c r="IB789" i="93"/>
  <c r="IA789" i="93"/>
  <c r="HT789" i="93"/>
  <c r="IC789" i="93"/>
  <c r="GO789" i="93"/>
  <c r="FG789" i="93"/>
  <c r="HL789" i="93"/>
  <c r="FQ789" i="93"/>
  <c r="HF793" i="93"/>
  <c r="EP793" i="93"/>
  <c r="AO793" i="93"/>
  <c r="HE793" i="93"/>
  <c r="EL793" i="93"/>
  <c r="AN793" i="93"/>
  <c r="GN793" i="93"/>
  <c r="CX793" i="93"/>
  <c r="IK793" i="93"/>
  <c r="FW793" i="93"/>
  <c r="CB793" i="93"/>
  <c r="HN793" i="93"/>
  <c r="FB793" i="93"/>
  <c r="AZ793" i="93"/>
  <c r="DL793" i="93"/>
  <c r="CO793" i="93"/>
  <c r="FA793" i="93"/>
  <c r="DP793" i="93"/>
  <c r="DP805" i="93" s="1"/>
  <c r="GF793" i="93"/>
  <c r="BR793" i="93"/>
  <c r="IA793" i="93"/>
  <c r="EZ793" i="93"/>
  <c r="AX793" i="93"/>
  <c r="AF793" i="93"/>
  <c r="BV793" i="93"/>
  <c r="DV793" i="93"/>
  <c r="IR793" i="93"/>
  <c r="FZ793" i="93"/>
  <c r="CF793" i="93"/>
  <c r="CF805" i="93" s="1"/>
  <c r="K871" i="93" s="1"/>
  <c r="IN793" i="93"/>
  <c r="IN805" i="93" s="1"/>
  <c r="FY793" i="93"/>
  <c r="CD793" i="93"/>
  <c r="HT793" i="93"/>
  <c r="FH793" i="93"/>
  <c r="BH793" i="93"/>
  <c r="HC793" i="93"/>
  <c r="EG793" i="93"/>
  <c r="AK793" i="93"/>
  <c r="GH793" i="93"/>
  <c r="CP793" i="93"/>
  <c r="HL793" i="93"/>
  <c r="HK793" i="93"/>
  <c r="JC793" i="93"/>
  <c r="AC793" i="93"/>
  <c r="CN793" i="93"/>
  <c r="IC793" i="93"/>
  <c r="FO793" i="93"/>
  <c r="HM793" i="93"/>
  <c r="AD793" i="93"/>
  <c r="BA793" i="93"/>
  <c r="CR793" i="93"/>
  <c r="FC793" i="93"/>
  <c r="GI793" i="93"/>
  <c r="HO793" i="93"/>
  <c r="Y793" i="93"/>
  <c r="BM793" i="93"/>
  <c r="BM805" i="93" s="1"/>
  <c r="L826" i="93" s="1"/>
  <c r="DE793" i="93"/>
  <c r="FL793" i="93"/>
  <c r="GR793" i="93"/>
  <c r="HX793" i="93"/>
  <c r="Z793" i="93"/>
  <c r="BN793" i="93"/>
  <c r="BN805" i="93" s="1"/>
  <c r="M826" i="93" s="1"/>
  <c r="DF793" i="93"/>
  <c r="FM793" i="93"/>
  <c r="GS793" i="93"/>
  <c r="HY793" i="93"/>
  <c r="AJ793" i="93"/>
  <c r="BZ793" i="93"/>
  <c r="EF793" i="93"/>
  <c r="EF805" i="93" s="1"/>
  <c r="FV793" i="93"/>
  <c r="HB793" i="93"/>
  <c r="IJ793" i="93"/>
  <c r="DQ793" i="93"/>
  <c r="HV793" i="93"/>
  <c r="FJ793" i="93"/>
  <c r="BJ793" i="93"/>
  <c r="HU793" i="93"/>
  <c r="FI793" i="93"/>
  <c r="BI793" i="93"/>
  <c r="HD793" i="93"/>
  <c r="EK793" i="93"/>
  <c r="AL793" i="93"/>
  <c r="GM793" i="93"/>
  <c r="CW793" i="93"/>
  <c r="ID793" i="93"/>
  <c r="FR793" i="93"/>
  <c r="BU793" i="93"/>
  <c r="FQ793" i="93"/>
  <c r="FP793" i="93"/>
  <c r="GV793" i="93"/>
  <c r="GU793" i="93"/>
  <c r="JO793" i="93"/>
  <c r="GE793" i="93"/>
  <c r="BQ793" i="93"/>
  <c r="GW793" i="93"/>
  <c r="X793" i="93"/>
  <c r="BL793" i="93"/>
  <c r="BL805" i="93" s="1"/>
  <c r="K826" i="93" s="1"/>
  <c r="DB793" i="93"/>
  <c r="FK793" i="93"/>
  <c r="GQ793" i="93"/>
  <c r="HW793" i="93"/>
  <c r="AG793" i="93"/>
  <c r="BX793" i="93"/>
  <c r="DZ793" i="93"/>
  <c r="FT793" i="93"/>
  <c r="GZ793" i="93"/>
  <c r="IG793" i="93"/>
  <c r="H971" i="93"/>
  <c r="GX775" i="93"/>
  <c r="CS775" i="93"/>
  <c r="FD775" i="93"/>
  <c r="AD775" i="93"/>
  <c r="JL775" i="93"/>
  <c r="AX775" i="93"/>
  <c r="HK775" i="93"/>
  <c r="BJ775" i="93"/>
  <c r="HN775" i="93"/>
  <c r="IC775" i="93"/>
  <c r="GW775" i="93"/>
  <c r="FQ775" i="93"/>
  <c r="DQ775" i="93"/>
  <c r="AI775" i="93"/>
  <c r="IB775" i="93"/>
  <c r="GV775" i="93"/>
  <c r="FP775" i="93"/>
  <c r="DM775" i="93"/>
  <c r="AH775" i="93"/>
  <c r="HZ775" i="93"/>
  <c r="GT775" i="93"/>
  <c r="FN775" i="93"/>
  <c r="DG775" i="93"/>
  <c r="AC775" i="93"/>
  <c r="HY775" i="93"/>
  <c r="GS775" i="93"/>
  <c r="FM775" i="93"/>
  <c r="DF775" i="93"/>
  <c r="Y775" i="93"/>
  <c r="GR775" i="93"/>
  <c r="DC775" i="93"/>
  <c r="HW775" i="93"/>
  <c r="FK775" i="93"/>
  <c r="IY775" i="93"/>
  <c r="FZ775" i="93"/>
  <c r="BV775" i="93"/>
  <c r="FC775" i="93"/>
  <c r="DW775" i="93"/>
  <c r="JG775" i="93"/>
  <c r="GU775" i="93"/>
  <c r="CO775" i="93"/>
  <c r="FT775" i="93"/>
  <c r="HS775" i="93"/>
  <c r="AO775" i="93"/>
  <c r="HC775" i="93"/>
  <c r="HC805" i="93" s="1"/>
  <c r="M846" i="93" s="1"/>
  <c r="FW775" i="93"/>
  <c r="CX775" i="93"/>
  <c r="FG775" i="93"/>
  <c r="FO775" i="93"/>
  <c r="JI775" i="93"/>
  <c r="HM775" i="93"/>
  <c r="GG775" i="93"/>
  <c r="FA775" i="93"/>
  <c r="CI775" i="93"/>
  <c r="JH775" i="93"/>
  <c r="HL775" i="93"/>
  <c r="GF775" i="93"/>
  <c r="EZ775" i="93"/>
  <c r="CH775" i="93"/>
  <c r="JF775" i="93"/>
  <c r="HJ775" i="93"/>
  <c r="GD775" i="93"/>
  <c r="EX775" i="93"/>
  <c r="CC775" i="93"/>
  <c r="JE775" i="93"/>
  <c r="HI775" i="93"/>
  <c r="GC775" i="93"/>
  <c r="EW775" i="93"/>
  <c r="BY775" i="93"/>
  <c r="HX775" i="93"/>
  <c r="FL775" i="93"/>
  <c r="W775" i="93"/>
  <c r="GQ775" i="93"/>
  <c r="DB775" i="93"/>
  <c r="HF775" i="93"/>
  <c r="EM775" i="93"/>
  <c r="GZ775" i="93"/>
  <c r="GM775" i="93"/>
  <c r="EG775" i="93"/>
  <c r="JJ775" i="93"/>
  <c r="IS775" i="93"/>
  <c r="EY775" i="93"/>
  <c r="DK775" i="93"/>
  <c r="IH775" i="93"/>
  <c r="GY775" i="93"/>
  <c r="GI775" i="93"/>
  <c r="GJ775" i="93"/>
  <c r="IX775" i="93"/>
  <c r="HE775" i="93"/>
  <c r="FY775" i="93"/>
  <c r="EL775" i="93"/>
  <c r="BU775" i="93"/>
  <c r="IT775" i="93"/>
  <c r="HD775" i="93"/>
  <c r="FX775" i="93"/>
  <c r="EH775" i="93"/>
  <c r="BS775" i="93"/>
  <c r="IO775" i="93"/>
  <c r="IO805" i="93" s="1"/>
  <c r="HB775" i="93"/>
  <c r="FV775" i="93"/>
  <c r="EC775" i="93"/>
  <c r="BI775" i="93"/>
  <c r="IM775" i="93"/>
  <c r="HA775" i="93"/>
  <c r="FU775" i="93"/>
  <c r="EA775" i="93"/>
  <c r="AY775" i="93"/>
  <c r="AY805" i="93" s="1"/>
  <c r="M822" i="93" s="1"/>
  <c r="HH775" i="93"/>
  <c r="ES775" i="93"/>
  <c r="JC775" i="93"/>
  <c r="GA775" i="93"/>
  <c r="BW775" i="93"/>
  <c r="GP775" i="93"/>
  <c r="DA775" i="93"/>
  <c r="AM775" i="93"/>
  <c r="JO775" i="93"/>
  <c r="CD775" i="93"/>
  <c r="HO775" i="93"/>
  <c r="FS775" i="93"/>
  <c r="BW779" i="93"/>
  <c r="DB779" i="93"/>
  <c r="BU779" i="93"/>
  <c r="BV779" i="93"/>
  <c r="BX779" i="93"/>
  <c r="CH779" i="93"/>
  <c r="II779" i="93"/>
  <c r="II805" i="93" s="1"/>
  <c r="AO779" i="93"/>
  <c r="CZ779" i="93"/>
  <c r="W779" i="93"/>
  <c r="CM779" i="93"/>
  <c r="CS779" i="93"/>
  <c r="AH779" i="93"/>
  <c r="CC779" i="93"/>
  <c r="EH779" i="93"/>
  <c r="CT779" i="93"/>
  <c r="CX779" i="93"/>
  <c r="HY779" i="93"/>
  <c r="GS779" i="93"/>
  <c r="FM779" i="93"/>
  <c r="HH779" i="93"/>
  <c r="GB779" i="93"/>
  <c r="HW779" i="93"/>
  <c r="GQ779" i="93"/>
  <c r="FK779" i="93"/>
  <c r="HF779" i="93"/>
  <c r="FZ779" i="93"/>
  <c r="IC779" i="93"/>
  <c r="GW779" i="93"/>
  <c r="FQ779" i="93"/>
  <c r="GD779" i="93"/>
  <c r="FX779" i="93"/>
  <c r="FV779" i="93"/>
  <c r="FP779" i="93"/>
  <c r="FH779" i="93"/>
  <c r="JG779" i="93"/>
  <c r="ES779" i="93"/>
  <c r="EM779" i="93"/>
  <c r="DQ779" i="93"/>
  <c r="DK779" i="93"/>
  <c r="IT779" i="93"/>
  <c r="IH779" i="93"/>
  <c r="DA779" i="93"/>
  <c r="EX779" i="93"/>
  <c r="ID779" i="93"/>
  <c r="DC779" i="93"/>
  <c r="IS779" i="93"/>
  <c r="CY779" i="93"/>
  <c r="DV779" i="93"/>
  <c r="DV805" i="93" s="1"/>
  <c r="M832" i="93" s="1"/>
  <c r="AX779" i="93"/>
  <c r="CW779" i="93"/>
  <c r="HT779" i="93"/>
  <c r="HI779" i="93"/>
  <c r="GC779" i="93"/>
  <c r="HX779" i="93"/>
  <c r="GR779" i="93"/>
  <c r="FL779" i="93"/>
  <c r="HG779" i="93"/>
  <c r="GA779" i="93"/>
  <c r="HV779" i="93"/>
  <c r="GP779" i="93"/>
  <c r="FJ779" i="93"/>
  <c r="HM779" i="93"/>
  <c r="GG779" i="93"/>
  <c r="HS779" i="93"/>
  <c r="HR779" i="93"/>
  <c r="HK779" i="93"/>
  <c r="HJ779" i="93"/>
  <c r="FN779" i="93"/>
  <c r="HZ779" i="93"/>
  <c r="GE779" i="93"/>
  <c r="EA779" i="93"/>
  <c r="EQ779" i="93"/>
  <c r="IX779" i="93"/>
  <c r="EC779" i="93"/>
  <c r="JN779" i="93"/>
  <c r="CO779" i="93"/>
  <c r="AM779" i="93"/>
  <c r="CD779" i="93"/>
  <c r="IM779" i="93"/>
  <c r="Y779" i="93"/>
  <c r="AD779" i="93"/>
  <c r="FA779" i="93"/>
  <c r="AI779" i="93"/>
  <c r="HD779" i="93"/>
  <c r="BS779" i="93"/>
  <c r="BJ779" i="93"/>
  <c r="HA779" i="93"/>
  <c r="FU779" i="93"/>
  <c r="HP779" i="93"/>
  <c r="GJ779" i="93"/>
  <c r="FD779" i="93"/>
  <c r="GY779" i="93"/>
  <c r="FS779" i="93"/>
  <c r="HN779" i="93"/>
  <c r="GH779" i="93"/>
  <c r="FB779" i="93"/>
  <c r="HE779" i="93"/>
  <c r="FY779" i="93"/>
  <c r="GV779" i="93"/>
  <c r="GU779" i="93"/>
  <c r="GN779" i="93"/>
  <c r="GM779" i="93"/>
  <c r="HB779" i="93"/>
  <c r="GF779" i="93"/>
  <c r="FO779" i="93"/>
  <c r="JO779" i="93"/>
  <c r="GL779" i="93"/>
  <c r="DF779" i="93"/>
  <c r="IY779" i="93"/>
  <c r="EL779" i="93"/>
  <c r="DM779" i="93"/>
  <c r="JP783" i="93"/>
  <c r="JP805" i="93" s="1"/>
  <c r="HP783" i="93"/>
  <c r="GJ783" i="93"/>
  <c r="JD783" i="93"/>
  <c r="HB783" i="93"/>
  <c r="FQ783" i="93"/>
  <c r="DT783" i="93"/>
  <c r="DT805" i="93" s="1"/>
  <c r="K832" i="93" s="1"/>
  <c r="AW783" i="93"/>
  <c r="AW805" i="93" s="1"/>
  <c r="K822" i="93" s="1"/>
  <c r="HJ783" i="93"/>
  <c r="FY783" i="93"/>
  <c r="EK783" i="93"/>
  <c r="BV783" i="93"/>
  <c r="HS783" i="93"/>
  <c r="GG783" i="93"/>
  <c r="EY783" i="93"/>
  <c r="CH783" i="93"/>
  <c r="HQ783" i="93"/>
  <c r="GF783" i="93"/>
  <c r="EX783" i="93"/>
  <c r="CG783" i="93"/>
  <c r="IW783" i="93"/>
  <c r="IW805" i="93" s="1"/>
  <c r="GW783" i="93"/>
  <c r="FM783" i="93"/>
  <c r="DI783" i="93"/>
  <c r="DI805" i="93" s="1"/>
  <c r="J830" i="93" s="1"/>
  <c r="AG783" i="93"/>
  <c r="FS783" i="93"/>
  <c r="JF783" i="93"/>
  <c r="ET783" i="93"/>
  <c r="ET805" i="93" s="1"/>
  <c r="HL783" i="93"/>
  <c r="CS783" i="93"/>
  <c r="GK783" i="93"/>
  <c r="AL783" i="93"/>
  <c r="AL805" i="93" s="1"/>
  <c r="J816" i="93" s="1"/>
  <c r="FJ783" i="93"/>
  <c r="GV783" i="93"/>
  <c r="GC783" i="93"/>
  <c r="BY783" i="93"/>
  <c r="FD783" i="93"/>
  <c r="BU783" i="93"/>
  <c r="IF783" i="93"/>
  <c r="IF805" i="93" s="1"/>
  <c r="IR783" i="93"/>
  <c r="IR805" i="93" s="1"/>
  <c r="GZ783" i="93"/>
  <c r="FT783" i="93"/>
  <c r="HU783" i="93"/>
  <c r="GI783" i="93"/>
  <c r="FA783" i="93"/>
  <c r="CN783" i="93"/>
  <c r="CN805" i="93" s="1"/>
  <c r="JC783" i="93"/>
  <c r="GQ783" i="93"/>
  <c r="FH783" i="93"/>
  <c r="DA783" i="93"/>
  <c r="JL783" i="93"/>
  <c r="GY783" i="93"/>
  <c r="FO783" i="93"/>
  <c r="DN783" i="93"/>
  <c r="DN805" i="93" s="1"/>
  <c r="JA783" i="93"/>
  <c r="JA805" i="93" s="1"/>
  <c r="GX783" i="93"/>
  <c r="FN783" i="93"/>
  <c r="DJ783" i="93"/>
  <c r="DJ805" i="93" s="1"/>
  <c r="K830" i="93" s="1"/>
  <c r="AH783" i="93"/>
  <c r="HO783" i="93"/>
  <c r="GE783" i="93"/>
  <c r="EW783" i="93"/>
  <c r="CC783" i="93"/>
  <c r="HN783" i="93"/>
  <c r="DC783" i="93"/>
  <c r="GM783" i="93"/>
  <c r="BH783" i="93"/>
  <c r="FL783" i="93"/>
  <c r="IP783" i="93"/>
  <c r="IP805" i="93" s="1"/>
  <c r="DZ783" i="93"/>
  <c r="HD783" i="93"/>
  <c r="CB783" i="93"/>
  <c r="GU783" i="93"/>
  <c r="JI783" i="93"/>
  <c r="FU783" i="93"/>
  <c r="FB783" i="93"/>
  <c r="HX783" i="93"/>
  <c r="IA783" i="93"/>
  <c r="GR783" i="93"/>
  <c r="JO783" i="93"/>
  <c r="HK783" i="93"/>
  <c r="FZ783" i="93"/>
  <c r="EO783" i="93"/>
  <c r="EO805" i="93" s="1"/>
  <c r="L836" i="93" s="1"/>
  <c r="BW783" i="93"/>
  <c r="HT783" i="93"/>
  <c r="GH783" i="93"/>
  <c r="EZ783" i="93"/>
  <c r="CL783" i="93"/>
  <c r="JB783" i="93"/>
  <c r="GP783" i="93"/>
  <c r="FG783" i="93"/>
  <c r="CZ783" i="93"/>
  <c r="IC783" i="93"/>
  <c r="GO783" i="93"/>
  <c r="FF783" i="93"/>
  <c r="CY783" i="93"/>
  <c r="JJ783" i="93"/>
  <c r="HF783" i="93"/>
  <c r="FV783" i="93"/>
  <c r="ED783" i="93"/>
  <c r="ED805" i="93" s="1"/>
  <c r="BR783" i="93"/>
  <c r="BR805" i="93" s="1"/>
  <c r="L825" i="93" s="1"/>
  <c r="L827" i="93" s="1"/>
  <c r="GT783" i="93"/>
  <c r="BI783" i="93"/>
  <c r="FR783" i="93"/>
  <c r="IV783" i="93"/>
  <c r="IV805" i="93" s="1"/>
  <c r="EP783" i="93"/>
  <c r="EP805" i="93" s="1"/>
  <c r="M836" i="93" s="1"/>
  <c r="HE783" i="93"/>
  <c r="CR783" i="93"/>
  <c r="GD783" i="93"/>
  <c r="AC783" i="93"/>
  <c r="DE783" i="93"/>
  <c r="DE805" i="93" s="1"/>
  <c r="K829" i="93" s="1"/>
  <c r="GA783" i="93"/>
  <c r="BX783" i="93"/>
  <c r="AB783" i="93"/>
  <c r="IG783" i="93"/>
  <c r="IG805" i="93" s="1"/>
  <c r="G972" i="93"/>
  <c r="G976" i="93" s="1"/>
  <c r="G992" i="93" s="1"/>
  <c r="C976" i="93"/>
  <c r="C992" i="93" s="1"/>
  <c r="EX772" i="93"/>
  <c r="BY772" i="93"/>
  <c r="EZ772" i="93"/>
  <c r="BV772" i="93"/>
  <c r="JE772" i="93"/>
  <c r="BW772" i="93"/>
  <c r="BX772" i="93"/>
  <c r="GO772" i="93"/>
  <c r="HH772" i="93"/>
  <c r="JG772" i="93"/>
  <c r="CW772" i="93"/>
  <c r="BP772" i="93"/>
  <c r="HZ772" i="93"/>
  <c r="GT772" i="93"/>
  <c r="FN772" i="93"/>
  <c r="HI772" i="93"/>
  <c r="HI805" i="93" s="1"/>
  <c r="N847" i="93" s="1"/>
  <c r="GC772" i="93"/>
  <c r="HW772" i="93"/>
  <c r="HW805" i="93" s="1"/>
  <c r="M850" i="93" s="1"/>
  <c r="GQ772" i="93"/>
  <c r="FK772" i="93"/>
  <c r="HF772" i="93"/>
  <c r="FZ772" i="93"/>
  <c r="HP772" i="93"/>
  <c r="FD772" i="93"/>
  <c r="FD805" i="93" s="1"/>
  <c r="L852" i="93" s="1"/>
  <c r="GG772" i="93"/>
  <c r="GV772" i="93"/>
  <c r="GR772" i="93"/>
  <c r="GU772" i="93"/>
  <c r="IA772" i="93"/>
  <c r="FH772" i="93"/>
  <c r="FH805" i="93" s="1"/>
  <c r="K853" i="93" s="1"/>
  <c r="EY772" i="93"/>
  <c r="FA772" i="93"/>
  <c r="DB772" i="93"/>
  <c r="IJ772" i="93"/>
  <c r="IJ805" i="93" s="1"/>
  <c r="JK772" i="93"/>
  <c r="AZ772" i="93"/>
  <c r="AZ805" i="93" s="1"/>
  <c r="N822" i="93" s="1"/>
  <c r="N823" i="93" s="1"/>
  <c r="HJ772" i="93"/>
  <c r="HJ805" i="93" s="1"/>
  <c r="J848" i="93" s="1"/>
  <c r="GD772" i="93"/>
  <c r="HY772" i="93"/>
  <c r="GS772" i="93"/>
  <c r="FM772" i="93"/>
  <c r="HG772" i="93"/>
  <c r="GA772" i="93"/>
  <c r="HV772" i="93"/>
  <c r="GP772" i="93"/>
  <c r="FJ772" i="93"/>
  <c r="GJ772" i="93"/>
  <c r="HM772" i="93"/>
  <c r="IB772" i="93"/>
  <c r="FP772" i="93"/>
  <c r="CV772" i="93"/>
  <c r="HX772" i="93"/>
  <c r="GB772" i="93"/>
  <c r="HE772" i="93"/>
  <c r="DC772" i="93"/>
  <c r="FO772" i="93"/>
  <c r="JM772" i="93"/>
  <c r="FL772" i="93"/>
  <c r="HK772" i="93"/>
  <c r="JL772" i="93"/>
  <c r="CX772" i="93"/>
  <c r="CT772" i="93"/>
  <c r="HB772" i="93"/>
  <c r="FV772" i="93"/>
  <c r="HQ772" i="93"/>
  <c r="GK772" i="93"/>
  <c r="FE772" i="93"/>
  <c r="GY772" i="93"/>
  <c r="FS772" i="93"/>
  <c r="FS805" i="93" s="1"/>
  <c r="L859" i="93" s="1"/>
  <c r="HN772" i="93"/>
  <c r="GH772" i="93"/>
  <c r="FB772" i="93"/>
  <c r="FT772" i="93"/>
  <c r="GW772" i="93"/>
  <c r="GW805" i="93" s="1"/>
  <c r="L845" i="93" s="1"/>
  <c r="HL772" i="93"/>
  <c r="FW772" i="93"/>
  <c r="FX772" i="93"/>
  <c r="FY772" i="93"/>
  <c r="HD772" i="93"/>
  <c r="GH799" i="93"/>
  <c r="EQ799" i="93"/>
  <c r="EH799" i="93"/>
  <c r="HF799" i="93"/>
  <c r="HA799" i="93"/>
  <c r="FZ799" i="93"/>
  <c r="EI799" i="93"/>
  <c r="EI805" i="93" s="1"/>
  <c r="K835" i="93" s="1"/>
  <c r="BT799" i="93"/>
  <c r="BT805" i="93" s="1"/>
  <c r="N825" i="93" s="1"/>
  <c r="N827" i="93" s="1"/>
  <c r="BD799" i="93"/>
  <c r="BD805" i="93" s="1"/>
  <c r="M821" i="93" s="1"/>
  <c r="DG799" i="93"/>
  <c r="AA799" i="93"/>
  <c r="AA805" i="93" s="1"/>
  <c r="N813" i="93" s="1"/>
  <c r="EY799" i="93"/>
  <c r="DP799" i="93"/>
  <c r="AJ799" i="93"/>
  <c r="FU799" i="93"/>
  <c r="DA799" i="93"/>
  <c r="IH799" i="93"/>
  <c r="DB799" i="93"/>
  <c r="CP799" i="93"/>
  <c r="BU799" i="93"/>
  <c r="IY799" i="93"/>
  <c r="X799" i="93"/>
  <c r="ER799" i="93"/>
  <c r="ER805" i="93" s="1"/>
  <c r="BW799" i="93"/>
  <c r="BV768" i="93"/>
  <c r="BG768" i="93"/>
  <c r="BG805" i="93" s="1"/>
  <c r="CV768" i="93"/>
  <c r="DC768" i="93"/>
  <c r="DB768" i="93"/>
  <c r="BX768" i="93"/>
  <c r="CW768" i="93"/>
  <c r="CU768" i="93"/>
  <c r="BY768" i="93"/>
  <c r="BW768" i="93"/>
  <c r="IE768" i="93"/>
  <c r="CX768" i="93"/>
  <c r="CY768" i="93"/>
  <c r="BY776" i="93"/>
  <c r="CS776" i="93"/>
  <c r="BU780" i="93"/>
  <c r="CX780" i="93"/>
  <c r="BW780" i="93"/>
  <c r="CT780" i="93"/>
  <c r="CW780" i="93"/>
  <c r="DA780" i="93"/>
  <c r="BY780" i="93"/>
  <c r="BI780" i="93"/>
  <c r="BV780" i="93"/>
  <c r="DC780" i="93"/>
  <c r="CU780" i="93"/>
  <c r="BU784" i="93"/>
  <c r="BA784" i="93"/>
  <c r="BA805" i="93" s="1"/>
  <c r="J821" i="93" s="1"/>
  <c r="DA784" i="93"/>
  <c r="DC784" i="93"/>
  <c r="BY784" i="93"/>
  <c r="BX784" i="93"/>
  <c r="BW784" i="93"/>
  <c r="BV784" i="93"/>
  <c r="CW784" i="93"/>
  <c r="CV784" i="93"/>
  <c r="AF784" i="93"/>
  <c r="AF805" i="93" s="1"/>
  <c r="N814" i="93" s="1"/>
  <c r="ID784" i="93"/>
  <c r="CP784" i="93"/>
  <c r="CT784" i="93"/>
  <c r="CU784" i="93"/>
  <c r="BY788" i="93"/>
  <c r="CY788" i="93"/>
  <c r="CX788" i="93"/>
  <c r="CO788" i="93"/>
  <c r="BV788" i="93"/>
  <c r="BX788" i="93"/>
  <c r="CZ788" i="93"/>
  <c r="CU788" i="93"/>
  <c r="BW788" i="93"/>
  <c r="DB788" i="93"/>
  <c r="BP788" i="93"/>
  <c r="DB792" i="93"/>
  <c r="BX792" i="93"/>
  <c r="CW792" i="93"/>
  <c r="AB792" i="93"/>
  <c r="BW792" i="93"/>
  <c r="ID792" i="93"/>
  <c r="CZ792" i="93"/>
  <c r="BV792" i="93"/>
  <c r="CT792" i="93"/>
  <c r="CA792" i="93"/>
  <c r="CY792" i="93"/>
  <c r="CV792" i="93"/>
  <c r="IE800" i="93"/>
  <c r="CU800" i="93"/>
  <c r="BX800" i="93"/>
  <c r="CX800" i="93"/>
  <c r="CV800" i="93"/>
  <c r="BW804" i="93"/>
  <c r="DB804" i="93"/>
  <c r="FZ770" i="93"/>
  <c r="FO770" i="93"/>
  <c r="GK770" i="93"/>
  <c r="IA770" i="93"/>
  <c r="HL774" i="93"/>
  <c r="HR774" i="93"/>
  <c r="IB774" i="93"/>
  <c r="HG774" i="93"/>
  <c r="GA774" i="93"/>
  <c r="GB778" i="93"/>
  <c r="HH778" i="93"/>
  <c r="GR778" i="93"/>
  <c r="GZ778" i="93"/>
  <c r="GJ782" i="93"/>
  <c r="IA782" i="93"/>
  <c r="HP782" i="93"/>
  <c r="HS790" i="93"/>
  <c r="FW790" i="93"/>
  <c r="DG768" i="93"/>
  <c r="DG805" i="93" s="1"/>
  <c r="M829" i="93" s="1"/>
  <c r="JJ768" i="93"/>
  <c r="DW768" i="93"/>
  <c r="DW805" i="93" s="1"/>
  <c r="N832" i="93" s="1"/>
  <c r="JH768" i="93"/>
  <c r="JI768" i="93"/>
  <c r="IU768" i="93"/>
  <c r="JE768" i="93"/>
  <c r="JC768" i="93"/>
  <c r="JD768" i="93"/>
  <c r="EL780" i="93"/>
  <c r="JF780" i="93"/>
  <c r="JJ780" i="93"/>
  <c r="JC780" i="93"/>
  <c r="JK780" i="93"/>
  <c r="JL780" i="93"/>
  <c r="JH784" i="93"/>
  <c r="JE784" i="93"/>
  <c r="JD784" i="93"/>
  <c r="JC784" i="93"/>
  <c r="JK784" i="93"/>
  <c r="JG784" i="93"/>
  <c r="DM784" i="93"/>
  <c r="EH784" i="93"/>
  <c r="JJ784" i="93"/>
  <c r="JL784" i="93"/>
  <c r="JC788" i="93"/>
  <c r="JI788" i="93"/>
  <c r="JD788" i="93"/>
  <c r="JL788" i="93"/>
  <c r="JG788" i="93"/>
  <c r="DL788" i="93"/>
  <c r="DL805" i="93" s="1"/>
  <c r="M830" i="93" s="1"/>
  <c r="EG788" i="93"/>
  <c r="JK788" i="93"/>
  <c r="JJ788" i="93"/>
  <c r="JE788" i="93"/>
  <c r="JH792" i="93"/>
  <c r="JE792" i="93"/>
  <c r="JJ792" i="93"/>
  <c r="JL792" i="93"/>
  <c r="EE792" i="93"/>
  <c r="EE805" i="93" s="1"/>
  <c r="JC792" i="93"/>
  <c r="JI792" i="93"/>
  <c r="JD792" i="93"/>
  <c r="DZ800" i="93"/>
  <c r="JF800" i="93"/>
  <c r="JG800" i="93"/>
  <c r="JI800" i="93"/>
  <c r="K912" i="93"/>
  <c r="AX783" i="93"/>
  <c r="EV783" i="93"/>
  <c r="EV805" i="93" s="1"/>
  <c r="GN783" i="93"/>
  <c r="FW783" i="93"/>
  <c r="FX783" i="93"/>
  <c r="FP783" i="93"/>
  <c r="FI783" i="93"/>
  <c r="HH783" i="93"/>
  <c r="JK775" i="93"/>
  <c r="GN772" i="93"/>
  <c r="GN805" i="93" s="1"/>
  <c r="M855" i="93" s="1"/>
  <c r="DA772" i="93"/>
  <c r="DB780" i="93"/>
  <c r="EW779" i="93"/>
  <c r="GU770" i="93"/>
  <c r="FV774" i="93"/>
  <c r="FP774" i="93"/>
  <c r="FO782" i="93"/>
  <c r="HF770" i="93"/>
  <c r="EW796" i="93"/>
  <c r="EZ796" i="93"/>
  <c r="CY796" i="93"/>
  <c r="DB796" i="93"/>
  <c r="BW796" i="93"/>
  <c r="BV796" i="93"/>
  <c r="BX796" i="93"/>
  <c r="FK796" i="93"/>
  <c r="HZ796" i="93"/>
  <c r="HP796" i="93"/>
  <c r="JF796" i="93"/>
  <c r="HX796" i="93"/>
  <c r="GC796" i="93"/>
  <c r="HV796" i="93"/>
  <c r="GB796" i="93"/>
  <c r="HH796" i="93"/>
  <c r="FQ796" i="93"/>
  <c r="GT796" i="93"/>
  <c r="FG796" i="93"/>
  <c r="GI796" i="93"/>
  <c r="FU796" i="93"/>
  <c r="JM796" i="93"/>
  <c r="JN796" i="93"/>
  <c r="DA796" i="93"/>
  <c r="EU796" i="93"/>
  <c r="EU805" i="93" s="1"/>
  <c r="BY796" i="93"/>
  <c r="CZ796" i="93"/>
  <c r="CV796" i="93"/>
  <c r="FL796" i="93"/>
  <c r="FC796" i="93"/>
  <c r="FM796" i="93"/>
  <c r="FV796" i="93"/>
  <c r="JJ796" i="93"/>
  <c r="JQ796" i="93"/>
  <c r="JQ805" i="93" s="1"/>
  <c r="CX796" i="93"/>
  <c r="GY796" i="93"/>
  <c r="FJ796" i="93"/>
  <c r="GX796" i="93"/>
  <c r="FI796" i="93"/>
  <c r="GK796" i="93"/>
  <c r="HR796" i="93"/>
  <c r="FZ796" i="93"/>
  <c r="HE796" i="93"/>
  <c r="FN796" i="93"/>
  <c r="IC796" i="93"/>
  <c r="JL796" i="93"/>
  <c r="GD796" i="93"/>
  <c r="GG796" i="93"/>
  <c r="EY796" i="93"/>
  <c r="FA796" i="93"/>
  <c r="CT796" i="93"/>
  <c r="GR796" i="93"/>
  <c r="GP796" i="93"/>
  <c r="HY796" i="93"/>
  <c r="FT796" i="93"/>
  <c r="JI796" i="93"/>
  <c r="JD796" i="93"/>
  <c r="CW796" i="93"/>
  <c r="GO796" i="93"/>
  <c r="FB796" i="93"/>
  <c r="GL796" i="93"/>
  <c r="HU796" i="93"/>
  <c r="GA796" i="93"/>
  <c r="HF796" i="93"/>
  <c r="FO796" i="93"/>
  <c r="GS796" i="93"/>
  <c r="FF796" i="93"/>
  <c r="HB796" i="93"/>
  <c r="HM796" i="93"/>
  <c r="DB771" i="93"/>
  <c r="IH771" i="93"/>
  <c r="IH805" i="93" s="1"/>
  <c r="ID775" i="93"/>
  <c r="BU773" i="93"/>
  <c r="FY773" i="93"/>
  <c r="HV773" i="93"/>
  <c r="EZ788" i="93"/>
  <c r="DC788" i="93"/>
  <c r="DC804" i="93"/>
  <c r="HU804" i="93"/>
  <c r="Q1766" i="93"/>
  <c r="O81" i="75"/>
  <c r="O82" i="75"/>
  <c r="EM768" i="93"/>
  <c r="EM805" i="93" s="1"/>
  <c r="J836" i="93" s="1"/>
  <c r="IA768" i="93"/>
  <c r="IA805" i="93" s="1"/>
  <c r="L851" i="93" s="1"/>
  <c r="CK771" i="93"/>
  <c r="CK805" i="93" s="1"/>
  <c r="BZ771" i="93"/>
  <c r="CP771" i="93"/>
  <c r="CP805" i="93" s="1"/>
  <c r="K873" i="93" s="1"/>
  <c r="EZ771" i="93"/>
  <c r="EG771" i="93"/>
  <c r="EG805" i="93" s="1"/>
  <c r="DC771" i="93"/>
  <c r="DQ771" i="93"/>
  <c r="DQ805" i="93" s="1"/>
  <c r="CO771" i="93"/>
  <c r="CO805" i="93" s="1"/>
  <c r="J873" i="93" s="1"/>
  <c r="EW771" i="93"/>
  <c r="EZ774" i="93"/>
  <c r="GL774" i="93"/>
  <c r="GL805" i="93" s="1"/>
  <c r="K855" i="93" s="1"/>
  <c r="CM774" i="93"/>
  <c r="CM805" i="93" s="1"/>
  <c r="FF774" i="93"/>
  <c r="FF805" i="93" s="1"/>
  <c r="N852" i="93" s="1"/>
  <c r="HX778" i="93"/>
  <c r="FT778" i="93"/>
  <c r="HF782" i="93"/>
  <c r="GS786" i="93"/>
  <c r="CY795" i="93"/>
  <c r="W795" i="93"/>
  <c r="AB795" i="93"/>
  <c r="AC795" i="93"/>
  <c r="CI795" i="93"/>
  <c r="L1673" i="93"/>
  <c r="T1767" i="93"/>
  <c r="B811" i="94"/>
  <c r="K52" i="72"/>
  <c r="R1968" i="93"/>
  <c r="Q1972" i="93"/>
  <c r="EK771" i="93"/>
  <c r="EK805" i="93" s="1"/>
  <c r="M835" i="93" s="1"/>
  <c r="JB771" i="93"/>
  <c r="JB805" i="93" s="1"/>
  <c r="ES770" i="93"/>
  <c r="ES805" i="93" s="1"/>
  <c r="IT771" i="93"/>
  <c r="IT805" i="93" s="1"/>
  <c r="CQ795" i="93"/>
  <c r="CG771" i="93"/>
  <c r="CG805" i="93" s="1"/>
  <c r="L871" i="93" s="1"/>
  <c r="BU795" i="93"/>
  <c r="AP787" i="93"/>
  <c r="AP805" i="93" s="1"/>
  <c r="N816" i="93" s="1"/>
  <c r="CD771" i="93"/>
  <c r="CD805" i="93" s="1"/>
  <c r="N870" i="93" s="1"/>
  <c r="IK771" i="93"/>
  <c r="CQ787" i="93"/>
  <c r="CQ805" i="93" s="1"/>
  <c r="L873" i="93" s="1"/>
  <c r="BY771" i="93"/>
  <c r="CZ795" i="93"/>
  <c r="BX771" i="93"/>
  <c r="GV774" i="93"/>
  <c r="GQ774" i="93"/>
  <c r="HY771" i="93"/>
  <c r="HY805" i="93" s="1"/>
  <c r="J851" i="93" s="1"/>
  <c r="JK771" i="93"/>
  <c r="JK805" i="93" s="1"/>
  <c r="FA788" i="93"/>
  <c r="EX788" i="93"/>
  <c r="FZ782" i="93"/>
  <c r="CR795" i="93"/>
  <c r="CL787" i="93"/>
  <c r="Z787" i="93"/>
  <c r="Z805" i="93" s="1"/>
  <c r="M813" i="93" s="1"/>
  <c r="BZ787" i="93"/>
  <c r="BW795" i="93"/>
  <c r="BV771" i="93"/>
  <c r="FA773" i="93"/>
  <c r="DA788" i="93"/>
  <c r="CZ804" i="93"/>
  <c r="HK770" i="93"/>
  <c r="HK805" i="93" s="1"/>
  <c r="K848" i="93" s="1"/>
  <c r="K865" i="93" s="1"/>
  <c r="FE770" i="93"/>
  <c r="FE805" i="93" s="1"/>
  <c r="M852" i="93" s="1"/>
  <c r="HQ770" i="93"/>
  <c r="HQ805" i="93" s="1"/>
  <c r="L849" i="93" s="1"/>
  <c r="L866" i="93" s="1"/>
  <c r="CI770" i="93"/>
  <c r="CI805" i="93" s="1"/>
  <c r="N871" i="93" s="1"/>
  <c r="GP770" i="93"/>
  <c r="GP805" i="93" s="1"/>
  <c r="J844" i="93" s="1"/>
  <c r="EZ773" i="93"/>
  <c r="CZ780" i="93"/>
  <c r="IK787" i="93"/>
  <c r="DC787" i="93"/>
  <c r="DB787" i="93"/>
  <c r="AE787" i="93"/>
  <c r="AE805" i="93" s="1"/>
  <c r="M814" i="93" s="1"/>
  <c r="AG787" i="93"/>
  <c r="CA787" i="93"/>
  <c r="CA805" i="93" s="1"/>
  <c r="K870" i="93" s="1"/>
  <c r="EW794" i="93"/>
  <c r="EY797" i="93"/>
  <c r="CB769" i="93"/>
  <c r="CB805" i="93" s="1"/>
  <c r="L870" i="93" s="1"/>
  <c r="L872" i="93" s="1"/>
  <c r="Y769" i="93"/>
  <c r="Y805" i="93" s="1"/>
  <c r="L813" i="93" s="1"/>
  <c r="AN769" i="93"/>
  <c r="AN805" i="93" s="1"/>
  <c r="L816" i="93" s="1"/>
  <c r="IE777" i="93"/>
  <c r="AQ777" i="93"/>
  <c r="AQ805" i="93" s="1"/>
  <c r="BH777" i="93"/>
  <c r="BH805" i="93" s="1"/>
  <c r="ID777" i="93"/>
  <c r="DX777" i="93"/>
  <c r="DX805" i="93" s="1"/>
  <c r="J833" i="93" s="1"/>
  <c r="J912" i="93"/>
  <c r="M1718" i="93"/>
  <c r="O1718" i="93" s="1"/>
  <c r="M1722" i="93"/>
  <c r="P1722" i="93" s="1"/>
  <c r="K1862" i="93"/>
  <c r="O1984" i="94"/>
  <c r="Q1984" i="94" s="1"/>
  <c r="Q336" i="72"/>
  <c r="D1105" i="94"/>
  <c r="K1105" i="94"/>
  <c r="G1073" i="94"/>
  <c r="F1105" i="94"/>
  <c r="B1073" i="94"/>
  <c r="E1105" i="94"/>
  <c r="H1073" i="94"/>
  <c r="C1105" i="94"/>
  <c r="J1105" i="94"/>
  <c r="F1135" i="94"/>
  <c r="E1073" i="94"/>
  <c r="E1135" i="94"/>
  <c r="D1135" i="94"/>
  <c r="C1073" i="94"/>
  <c r="J1073" i="94"/>
  <c r="I1105" i="94"/>
  <c r="H1105" i="94"/>
  <c r="G1105" i="94"/>
  <c r="C1135" i="94"/>
  <c r="F1073" i="94"/>
  <c r="I1073" i="94"/>
  <c r="C1060" i="94"/>
  <c r="B1070" i="94"/>
  <c r="DL810" i="94"/>
  <c r="M857" i="94" s="1"/>
  <c r="EP810" i="94"/>
  <c r="M908" i="94" s="1"/>
  <c r="EO810" i="94"/>
  <c r="L908" i="94" s="1"/>
  <c r="AO810" i="94"/>
  <c r="M821" i="94" s="1"/>
  <c r="A810" i="94"/>
  <c r="A767" i="94" s="1"/>
  <c r="IS810" i="94"/>
  <c r="J893" i="94" s="1"/>
  <c r="LE810" i="94"/>
  <c r="N885" i="94" s="1"/>
  <c r="KW810" i="94"/>
  <c r="K884" i="94" s="1"/>
  <c r="JQ810" i="94"/>
  <c r="N889" i="94" s="1"/>
  <c r="KC810" i="94"/>
  <c r="K880" i="94" s="1"/>
  <c r="KE810" i="94"/>
  <c r="M880" i="94" s="1"/>
  <c r="IO810" i="94"/>
  <c r="K892" i="94" s="1"/>
  <c r="JP810" i="94"/>
  <c r="M889" i="94" s="1"/>
  <c r="LC810" i="94"/>
  <c r="L885" i="94" s="1"/>
  <c r="L904" i="94" s="1"/>
  <c r="JW810" i="94"/>
  <c r="J879" i="94" s="1"/>
  <c r="IQ810" i="94"/>
  <c r="M892" i="94" s="1"/>
  <c r="JH810" i="94"/>
  <c r="J888" i="94" s="1"/>
  <c r="JR810" i="94"/>
  <c r="J878" i="94" s="1"/>
  <c r="LB810" i="94"/>
  <c r="K885" i="94" s="1"/>
  <c r="IL810" i="94"/>
  <c r="M887" i="94" s="1"/>
  <c r="KK810" i="94"/>
  <c r="N881" i="94" s="1"/>
  <c r="CN810" i="94"/>
  <c r="N844" i="94" s="1"/>
  <c r="KN810" i="94"/>
  <c r="L882" i="94" s="1"/>
  <c r="L901" i="94" s="1"/>
  <c r="DI810" i="94"/>
  <c r="J857" i="94" s="1"/>
  <c r="GK810" i="94"/>
  <c r="J864" i="94" s="1"/>
  <c r="EH810" i="94"/>
  <c r="J907" i="94" s="1"/>
  <c r="FN810" i="94"/>
  <c r="L913" i="94" s="1"/>
  <c r="CO810" i="94"/>
  <c r="J843" i="94" s="1"/>
  <c r="GO810" i="94"/>
  <c r="N864" i="94" s="1"/>
  <c r="AS810" i="94"/>
  <c r="L822" i="94" s="1"/>
  <c r="GG810" i="94"/>
  <c r="K863" i="94" s="1"/>
  <c r="LF810" i="94"/>
  <c r="HG810" i="94"/>
  <c r="AK810" i="94"/>
  <c r="N820" i="94" s="1"/>
  <c r="GW810" i="94"/>
  <c r="L866" i="94" s="1"/>
  <c r="EN810" i="94"/>
  <c r="K908" i="94" s="1"/>
  <c r="LH810" i="94"/>
  <c r="HT810" i="94"/>
  <c r="ES810" i="94"/>
  <c r="K909" i="94" s="1"/>
  <c r="MC810" i="94"/>
  <c r="EJ810" i="94"/>
  <c r="L907" i="94" s="1"/>
  <c r="AB810" i="94"/>
  <c r="J819" i="94" s="1"/>
  <c r="LT810" i="94"/>
  <c r="AW810" i="94"/>
  <c r="K823" i="94" s="1"/>
  <c r="FP810" i="94"/>
  <c r="N913" i="94" s="1"/>
  <c r="HS810" i="94"/>
  <c r="N870" i="94" s="1"/>
  <c r="LZ810" i="94"/>
  <c r="LY810" i="94"/>
  <c r="FB810" i="94"/>
  <c r="J911" i="94" s="1"/>
  <c r="GY810" i="94"/>
  <c r="N866" i="94" s="1"/>
  <c r="CS810" i="94"/>
  <c r="N843" i="94" s="1"/>
  <c r="IW810" i="94"/>
  <c r="N893" i="94" s="1"/>
  <c r="CF810" i="94"/>
  <c r="K845" i="94" s="1"/>
  <c r="GV810" i="94"/>
  <c r="K866" i="94" s="1"/>
  <c r="GF810" i="94"/>
  <c r="J863" i="94" s="1"/>
  <c r="Z810" i="94"/>
  <c r="M818" i="94" s="1"/>
  <c r="P416" i="94"/>
  <c r="D1073" i="94"/>
  <c r="D1136" i="94"/>
  <c r="I1074" i="94"/>
  <c r="E1106" i="94"/>
  <c r="B1136" i="94"/>
  <c r="G1074" i="94"/>
  <c r="G1106" i="94"/>
  <c r="B1074" i="94"/>
  <c r="EV48" i="75"/>
  <c r="N147" i="75" s="1"/>
  <c r="FA810" i="94"/>
  <c r="N910" i="94" s="1"/>
  <c r="LX810" i="94"/>
  <c r="A378" i="94"/>
  <c r="T1823" i="94"/>
  <c r="D1107" i="94"/>
  <c r="F1137" i="94"/>
  <c r="C1107" i="94"/>
  <c r="J1107" i="94"/>
  <c r="D1075" i="94"/>
  <c r="K1075" i="94"/>
  <c r="ES48" i="75"/>
  <c r="K147" i="75" s="1"/>
  <c r="HX810" i="94"/>
  <c r="MN810" i="94"/>
  <c r="BF810" i="94"/>
  <c r="J826" i="94" s="1"/>
  <c r="DJ810" i="94"/>
  <c r="K857" i="94" s="1"/>
  <c r="EX810" i="94"/>
  <c r="K910" i="94" s="1"/>
  <c r="MP810" i="94"/>
  <c r="AL810" i="94"/>
  <c r="J821" i="94" s="1"/>
  <c r="CX810" i="94"/>
  <c r="N860" i="94" s="1"/>
  <c r="JJ810" i="94"/>
  <c r="L888" i="94" s="1"/>
  <c r="KX810" i="94"/>
  <c r="L884" i="94" s="1"/>
  <c r="JK810" i="94"/>
  <c r="M888" i="94" s="1"/>
  <c r="KQ810" i="94"/>
  <c r="J883" i="94" s="1"/>
  <c r="CJ810" i="94"/>
  <c r="J844" i="94" s="1"/>
  <c r="DP810" i="94"/>
  <c r="L856" i="94" s="1"/>
  <c r="GB810" i="94"/>
  <c r="K917" i="94" s="1"/>
  <c r="IN810" i="94"/>
  <c r="J892" i="94" s="1"/>
  <c r="JT810" i="94"/>
  <c r="L878" i="94" s="1"/>
  <c r="KZ810" i="94"/>
  <c r="N884" i="94" s="1"/>
  <c r="AG810" i="94"/>
  <c r="J820" i="94" s="1"/>
  <c r="BM810" i="94"/>
  <c r="L849" i="94" s="1"/>
  <c r="MO810" i="94"/>
  <c r="FX810" i="94"/>
  <c r="DU810" i="94"/>
  <c r="L855" i="94" s="1"/>
  <c r="LV810" i="94"/>
  <c r="GM810" i="94"/>
  <c r="L864" i="94" s="1"/>
  <c r="HD810" i="94"/>
  <c r="N867" i="94" s="1"/>
  <c r="AZ810" i="94"/>
  <c r="N823" i="94" s="1"/>
  <c r="DD810" i="94"/>
  <c r="J858" i="94" s="1"/>
  <c r="LR810" i="94"/>
  <c r="EK810" i="94"/>
  <c r="M907" i="94" s="1"/>
  <c r="FH810" i="94"/>
  <c r="K912" i="94" s="1"/>
  <c r="AR810" i="94"/>
  <c r="K822" i="94" s="1"/>
  <c r="GJ810" i="94"/>
  <c r="N863" i="94" s="1"/>
  <c r="LQ810" i="94"/>
  <c r="BL810" i="94"/>
  <c r="K849" i="94" s="1"/>
  <c r="CR810" i="94"/>
  <c r="M843" i="94" s="1"/>
  <c r="DX810" i="94"/>
  <c r="J854" i="94" s="1"/>
  <c r="FZ810" i="94"/>
  <c r="KR810" i="94"/>
  <c r="K883" i="94" s="1"/>
  <c r="K902" i="94" s="1"/>
  <c r="LA810" i="94"/>
  <c r="J885" i="94" s="1"/>
  <c r="KS810" i="94"/>
  <c r="L883" i="94" s="1"/>
  <c r="L902" i="94" s="1"/>
  <c r="CH810" i="94"/>
  <c r="M845" i="94" s="1"/>
  <c r="BH810" i="94"/>
  <c r="L826" i="94" s="1"/>
  <c r="EZ810" i="94"/>
  <c r="M910" i="94" s="1"/>
  <c r="AC810" i="94"/>
  <c r="K819" i="94" s="1"/>
  <c r="BR810" i="94"/>
  <c r="L848" i="94" s="1"/>
  <c r="IF810" i="94"/>
  <c r="L886" i="94" s="1"/>
  <c r="LM810" i="94"/>
  <c r="A628" i="94"/>
  <c r="AJ810" i="94"/>
  <c r="M820" i="94" s="1"/>
  <c r="GU810" i="94"/>
  <c r="J866" i="94" s="1"/>
  <c r="BB810" i="94"/>
  <c r="K824" i="94" s="1"/>
  <c r="LN810" i="94"/>
  <c r="DM810" i="94"/>
  <c r="N857" i="94" s="1"/>
  <c r="DT810" i="94"/>
  <c r="K855" i="94" s="1"/>
  <c r="EB810" i="94"/>
  <c r="N854" i="94" s="1"/>
  <c r="HK810" i="94"/>
  <c r="K869" i="94" s="1"/>
  <c r="ER810" i="94"/>
  <c r="J909" i="94" s="1"/>
  <c r="MK810" i="94"/>
  <c r="FD810" i="94"/>
  <c r="L911" i="94" s="1"/>
  <c r="P1734" i="94"/>
  <c r="P1719" i="94"/>
  <c r="ID810" i="94"/>
  <c r="J886" i="94" s="1"/>
  <c r="MR810" i="94"/>
  <c r="IE810" i="94"/>
  <c r="K886" i="94" s="1"/>
  <c r="K897" i="94" s="1"/>
  <c r="IK810" i="94"/>
  <c r="L887" i="94" s="1"/>
  <c r="FY810" i="94"/>
  <c r="U461" i="94"/>
  <c r="A461" i="94"/>
  <c r="J509" i="94"/>
  <c r="S536" i="94"/>
  <c r="S575" i="94"/>
  <c r="J591" i="94"/>
  <c r="J595" i="94" s="1"/>
  <c r="V591" i="94"/>
  <c r="AX798" i="94"/>
  <c r="LJ798" i="94"/>
  <c r="LJ810" i="94" s="1"/>
  <c r="LG798" i="94"/>
  <c r="HW798" i="94"/>
  <c r="HW810" i="94" s="1"/>
  <c r="GQ798" i="94"/>
  <c r="GQ810" i="94" s="1"/>
  <c r="FK798" i="94"/>
  <c r="CY798" i="94"/>
  <c r="BS798" i="94"/>
  <c r="AM798" i="94"/>
  <c r="LS798" i="94"/>
  <c r="HF798" i="94"/>
  <c r="ET798" i="94"/>
  <c r="DN798" i="94"/>
  <c r="DN810" i="94" s="1"/>
  <c r="J856" i="94" s="1"/>
  <c r="LI798" i="94"/>
  <c r="LI810" i="94" s="1"/>
  <c r="MB798" i="94"/>
  <c r="MB810" i="94" s="1"/>
  <c r="HO798" i="94"/>
  <c r="HO810" i="94" s="1"/>
  <c r="J870" i="94" s="1"/>
  <c r="GI798" i="94"/>
  <c r="GI810" i="94" s="1"/>
  <c r="M863" i="94" s="1"/>
  <c r="FC798" i="94"/>
  <c r="DW798" i="94"/>
  <c r="CQ798" i="94"/>
  <c r="BK798" i="94"/>
  <c r="AE798" i="94"/>
  <c r="LK798" i="94"/>
  <c r="GX798" i="94"/>
  <c r="FR798" i="94"/>
  <c r="FR810" i="94" s="1"/>
  <c r="K915" i="94" s="1"/>
  <c r="EL798" i="94"/>
  <c r="EL810" i="94" s="1"/>
  <c r="N907" i="94" s="1"/>
  <c r="DF798" i="94"/>
  <c r="DF810" i="94" s="1"/>
  <c r="L858" i="94" s="1"/>
  <c r="BZ798" i="94"/>
  <c r="BZ810" i="94" s="1"/>
  <c r="J846" i="94" s="1"/>
  <c r="AT798" i="94"/>
  <c r="AT810" i="94" s="1"/>
  <c r="M822" i="94" s="1"/>
  <c r="AH792" i="94"/>
  <c r="FQ792" i="94"/>
  <c r="ET792" i="94"/>
  <c r="ET810" i="94" s="1"/>
  <c r="L909" i="94" s="1"/>
  <c r="MD792" i="94"/>
  <c r="MD810" i="94" s="1"/>
  <c r="HM792" i="94"/>
  <c r="HM810" i="94" s="1"/>
  <c r="M869" i="94" s="1"/>
  <c r="CP792" i="94"/>
  <c r="CP810" i="94" s="1"/>
  <c r="K843" i="94" s="1"/>
  <c r="LP784" i="94"/>
  <c r="LP810" i="94" s="1"/>
  <c r="HI784" i="94"/>
  <c r="HI810" i="94" s="1"/>
  <c r="BV784" i="94"/>
  <c r="BV810" i="94" s="1"/>
  <c r="K847" i="94" s="1"/>
  <c r="HH784" i="94"/>
  <c r="HH810" i="94" s="1"/>
  <c r="BU784" i="94"/>
  <c r="BU810" i="94" s="1"/>
  <c r="J847" i="94" s="1"/>
  <c r="HA784" i="94"/>
  <c r="HA810" i="94" s="1"/>
  <c r="K867" i="94" s="1"/>
  <c r="CL784" i="94"/>
  <c r="CL810" i="94" s="1"/>
  <c r="L844" i="94" s="1"/>
  <c r="GZ784" i="94"/>
  <c r="GZ810" i="94" s="1"/>
  <c r="J867" i="94" s="1"/>
  <c r="DH784" i="94"/>
  <c r="DH810" i="94" s="1"/>
  <c r="N858" i="94" s="1"/>
  <c r="Y784" i="94"/>
  <c r="Y810" i="94" s="1"/>
  <c r="L818" i="94" s="1"/>
  <c r="DY784" i="94"/>
  <c r="DY810" i="94" s="1"/>
  <c r="K854" i="94" s="1"/>
  <c r="AP784" i="94"/>
  <c r="AP810" i="94" s="1"/>
  <c r="N821" i="94" s="1"/>
  <c r="GR784" i="94"/>
  <c r="GR810" i="94" s="1"/>
  <c r="DA784" i="94"/>
  <c r="DA810" i="94" s="1"/>
  <c r="L859" i="94" s="1"/>
  <c r="LW784" i="94"/>
  <c r="DR784" i="94"/>
  <c r="DR810" i="94" s="1"/>
  <c r="N856" i="94" s="1"/>
  <c r="AN784" i="94"/>
  <c r="AN810" i="94" s="1"/>
  <c r="L821" i="94" s="1"/>
  <c r="AH784" i="94"/>
  <c r="AH810" i="94" s="1"/>
  <c r="K820" i="94" s="1"/>
  <c r="BE784" i="94"/>
  <c r="BE810" i="94" s="1"/>
  <c r="N824" i="94" s="1"/>
  <c r="HP784" i="94"/>
  <c r="HP810" i="94" s="1"/>
  <c r="K870" i="94" s="1"/>
  <c r="EW784" i="94"/>
  <c r="EW810" i="94" s="1"/>
  <c r="J910" i="94" s="1"/>
  <c r="BD784" i="94"/>
  <c r="BD810" i="94" s="1"/>
  <c r="M824" i="94" s="1"/>
  <c r="EV784" i="94"/>
  <c r="EV810" i="94" s="1"/>
  <c r="N909" i="94" s="1"/>
  <c r="AX784" i="94"/>
  <c r="AX810" i="94" s="1"/>
  <c r="L823" i="94" s="1"/>
  <c r="FU784" i="94"/>
  <c r="BT784" i="94"/>
  <c r="BT810" i="94" s="1"/>
  <c r="N848" i="94" s="1"/>
  <c r="FT784" i="94"/>
  <c r="FT810" i="94" s="1"/>
  <c r="M915" i="94" s="1"/>
  <c r="CK784" i="94"/>
  <c r="CK810" i="94" s="1"/>
  <c r="K844" i="94" s="1"/>
  <c r="GS784" i="94"/>
  <c r="GS810" i="94" s="1"/>
  <c r="DB784" i="94"/>
  <c r="DB810" i="94" s="1"/>
  <c r="M859" i="94" s="1"/>
  <c r="X784" i="94"/>
  <c r="X810" i="94" s="1"/>
  <c r="K818" i="94" s="1"/>
  <c r="FL784" i="94"/>
  <c r="FL810" i="94" s="1"/>
  <c r="J913" i="94" s="1"/>
  <c r="CD784" i="94"/>
  <c r="CD810" i="94" s="1"/>
  <c r="N846" i="94" s="1"/>
  <c r="HQ784" i="94"/>
  <c r="HQ810" i="94" s="1"/>
  <c r="L870" i="94" s="1"/>
  <c r="CZ784" i="94"/>
  <c r="CZ810" i="94" s="1"/>
  <c r="K859" i="94" s="1"/>
  <c r="CT784" i="94"/>
  <c r="CT810" i="94" s="1"/>
  <c r="J860" i="94" s="1"/>
  <c r="DQ784" i="94"/>
  <c r="DQ810" i="94" s="1"/>
  <c r="M856" i="94" s="1"/>
  <c r="ML772" i="94"/>
  <c r="ML810" i="94" s="1"/>
  <c r="IA772" i="94"/>
  <c r="HY772" i="94"/>
  <c r="HY810" i="94" s="1"/>
  <c r="MI772" i="94"/>
  <c r="MI810" i="94" s="1"/>
  <c r="JG772" i="94"/>
  <c r="JG810" i="94" s="1"/>
  <c r="N891" i="94" s="1"/>
  <c r="KM772" i="94"/>
  <c r="KM810" i="94" s="1"/>
  <c r="K882" i="94" s="1"/>
  <c r="K901" i="94" s="1"/>
  <c r="JF772" i="94"/>
  <c r="JF810" i="94" s="1"/>
  <c r="M891" i="94" s="1"/>
  <c r="IR772" i="94"/>
  <c r="IR810" i="94" s="1"/>
  <c r="N892" i="94" s="1"/>
  <c r="JX772" i="94"/>
  <c r="JX810" i="94" s="1"/>
  <c r="K879" i="94" s="1"/>
  <c r="LD772" i="94"/>
  <c r="LD810" i="94" s="1"/>
  <c r="M885" i="94" s="1"/>
  <c r="IX772" i="94"/>
  <c r="IX810" i="94" s="1"/>
  <c r="J890" i="94" s="1"/>
  <c r="JA772" i="94"/>
  <c r="JA810" i="94" s="1"/>
  <c r="M890" i="94" s="1"/>
  <c r="KG772" i="94"/>
  <c r="KG810" i="94" s="1"/>
  <c r="J881" i="94" s="1"/>
  <c r="MH772" i="94"/>
  <c r="MH810" i="94" s="1"/>
  <c r="IT772" i="94"/>
  <c r="IT810" i="94" s="1"/>
  <c r="K893" i="94" s="1"/>
  <c r="JZ772" i="94"/>
  <c r="JZ810" i="94" s="1"/>
  <c r="M879" i="94" s="1"/>
  <c r="ME772" i="94"/>
  <c r="ME810" i="94" s="1"/>
  <c r="JN772" i="94"/>
  <c r="JN810" i="94" s="1"/>
  <c r="K889" i="94" s="1"/>
  <c r="IM772" i="94"/>
  <c r="IM810" i="94" s="1"/>
  <c r="N887" i="94" s="1"/>
  <c r="JS772" i="94"/>
  <c r="JS810" i="94" s="1"/>
  <c r="K878" i="94" s="1"/>
  <c r="KY772" i="94"/>
  <c r="KY810" i="94" s="1"/>
  <c r="M884" i="94" s="1"/>
  <c r="JE772" i="94"/>
  <c r="JE810" i="94" s="1"/>
  <c r="L891" i="94" s="1"/>
  <c r="IP772" i="94"/>
  <c r="IP810" i="94" s="1"/>
  <c r="L892" i="94" s="1"/>
  <c r="IV772" i="94"/>
  <c r="IV810" i="94" s="1"/>
  <c r="M893" i="94" s="1"/>
  <c r="KB772" i="94"/>
  <c r="KB810" i="94" s="1"/>
  <c r="J880" i="94" s="1"/>
  <c r="MG772" i="94"/>
  <c r="MG810" i="94" s="1"/>
  <c r="LK772" i="94"/>
  <c r="IC772" i="94"/>
  <c r="IC810" i="94" s="1"/>
  <c r="MJ772" i="94"/>
  <c r="MJ810" i="94" s="1"/>
  <c r="MM772" i="94"/>
  <c r="MM810" i="94" s="1"/>
  <c r="II772" i="94"/>
  <c r="II810" i="94" s="1"/>
  <c r="J887" i="94" s="1"/>
  <c r="JO772" i="94"/>
  <c r="JO810" i="94" s="1"/>
  <c r="L889" i="94" s="1"/>
  <c r="L900" i="94" s="1"/>
  <c r="KU772" i="94"/>
  <c r="KU810" i="94" s="1"/>
  <c r="N883" i="94" s="1"/>
  <c r="N902" i="94" s="1"/>
  <c r="JV772" i="94"/>
  <c r="JV810" i="94" s="1"/>
  <c r="N878" i="94" s="1"/>
  <c r="IZ772" i="94"/>
  <c r="IZ810" i="94" s="1"/>
  <c r="L890" i="94" s="1"/>
  <c r="KF772" i="94"/>
  <c r="KF810" i="94" s="1"/>
  <c r="N880" i="94" s="1"/>
  <c r="N903" i="94" s="1"/>
  <c r="MS772" i="94"/>
  <c r="MS810" i="94" s="1"/>
  <c r="KL772" i="94"/>
  <c r="KL810" i="94" s="1"/>
  <c r="J882" i="94" s="1"/>
  <c r="JI772" i="94"/>
  <c r="JI810" i="94" s="1"/>
  <c r="K888" i="94" s="1"/>
  <c r="KO772" i="94"/>
  <c r="KO810" i="94" s="1"/>
  <c r="M882" i="94" s="1"/>
  <c r="M901" i="94" s="1"/>
  <c r="IH772" i="94"/>
  <c r="IH810" i="94" s="1"/>
  <c r="N886" i="94" s="1"/>
  <c r="JB772" i="94"/>
  <c r="JB810" i="94" s="1"/>
  <c r="N890" i="94" s="1"/>
  <c r="KH772" i="94"/>
  <c r="KH810" i="94" s="1"/>
  <c r="K881" i="94" s="1"/>
  <c r="JM772" i="94"/>
  <c r="JM810" i="94" s="1"/>
  <c r="J889" i="94" s="1"/>
  <c r="KD772" i="94"/>
  <c r="KD810" i="94" s="1"/>
  <c r="L880" i="94" s="1"/>
  <c r="IU772" i="94"/>
  <c r="IU810" i="94" s="1"/>
  <c r="L893" i="94" s="1"/>
  <c r="KA772" i="94"/>
  <c r="KA810" i="94" s="1"/>
  <c r="N879" i="94" s="1"/>
  <c r="MF772" i="94"/>
  <c r="MF810" i="94" s="1"/>
  <c r="JU772" i="94"/>
  <c r="JU810" i="94" s="1"/>
  <c r="M878" i="94" s="1"/>
  <c r="MQ772" i="94"/>
  <c r="MQ810" i="94" s="1"/>
  <c r="JD772" i="94"/>
  <c r="JD810" i="94" s="1"/>
  <c r="K891" i="94" s="1"/>
  <c r="KJ772" i="94"/>
  <c r="KJ810" i="94" s="1"/>
  <c r="M881" i="94" s="1"/>
  <c r="HL772" i="94"/>
  <c r="HL810" i="94" s="1"/>
  <c r="L869" i="94" s="1"/>
  <c r="U570" i="94"/>
  <c r="A570" i="94"/>
  <c r="L732" i="94"/>
  <c r="J732" i="94"/>
  <c r="P575" i="94"/>
  <c r="P577" i="94" s="1"/>
  <c r="P594" i="94" s="1"/>
  <c r="P596" i="94" s="1"/>
  <c r="P598" i="94" s="1"/>
  <c r="Q1785" i="94"/>
  <c r="L1785" i="94"/>
  <c r="K1969" i="94"/>
  <c r="Q1971" i="94"/>
  <c r="MA786" i="94"/>
  <c r="MA810" i="94" s="1"/>
  <c r="LW786" i="94"/>
  <c r="LS786" i="94"/>
  <c r="LS810" i="94" s="1"/>
  <c r="LO786" i="94"/>
  <c r="LK786" i="94"/>
  <c r="LG786" i="94"/>
  <c r="HV786" i="94"/>
  <c r="HV810" i="94" s="1"/>
  <c r="HR786" i="94"/>
  <c r="HR810" i="94" s="1"/>
  <c r="M870" i="94" s="1"/>
  <c r="HN786" i="94"/>
  <c r="HN810" i="94" s="1"/>
  <c r="N869" i="94" s="1"/>
  <c r="HJ786" i="94"/>
  <c r="HJ810" i="94" s="1"/>
  <c r="J869" i="94" s="1"/>
  <c r="HF786" i="94"/>
  <c r="HF810" i="94" s="1"/>
  <c r="K868" i="94" s="1"/>
  <c r="HB786" i="94"/>
  <c r="HB810" i="94" s="1"/>
  <c r="L867" i="94" s="1"/>
  <c r="GX786" i="94"/>
  <c r="GX810" i="94" s="1"/>
  <c r="M866" i="94" s="1"/>
  <c r="GT786" i="94"/>
  <c r="GT810" i="94" s="1"/>
  <c r="GP786" i="94"/>
  <c r="GP810" i="94" s="1"/>
  <c r="GL786" i="94"/>
  <c r="GL810" i="94" s="1"/>
  <c r="K864" i="94" s="1"/>
  <c r="GH786" i="94"/>
  <c r="GH810" i="94" s="1"/>
  <c r="L863" i="94" s="1"/>
  <c r="GD786" i="94"/>
  <c r="GD810" i="94" s="1"/>
  <c r="M917" i="94" s="1"/>
  <c r="FU786" i="94"/>
  <c r="FQ786" i="94"/>
  <c r="FQ810" i="94" s="1"/>
  <c r="J915" i="94" s="1"/>
  <c r="FM786" i="94"/>
  <c r="FM810" i="94" s="1"/>
  <c r="K913" i="94" s="1"/>
  <c r="FI786" i="94"/>
  <c r="FI810" i="94" s="1"/>
  <c r="L912" i="94" s="1"/>
  <c r="F1746" i="94"/>
  <c r="Q1745" i="94"/>
  <c r="T1859" i="94"/>
  <c r="Q1858" i="94"/>
  <c r="L1858" i="94"/>
  <c r="FV793" i="94"/>
  <c r="FV810" i="94" s="1"/>
  <c r="CQ793" i="94"/>
  <c r="LO787" i="94"/>
  <c r="LK787" i="94"/>
  <c r="LG787" i="94"/>
  <c r="GE787" i="94"/>
  <c r="GE810" i="94" s="1"/>
  <c r="N917" i="94" s="1"/>
  <c r="GA787" i="94"/>
  <c r="GA810" i="94" s="1"/>
  <c r="J917" i="94" s="1"/>
  <c r="FW787" i="94"/>
  <c r="FW810" i="94" s="1"/>
  <c r="FS787" i="94"/>
  <c r="FS810" i="94" s="1"/>
  <c r="L915" i="94" s="1"/>
  <c r="FO787" i="94"/>
  <c r="FO810" i="94" s="1"/>
  <c r="M913" i="94" s="1"/>
  <c r="FK787" i="94"/>
  <c r="FK810" i="94" s="1"/>
  <c r="N912" i="94" s="1"/>
  <c r="FG787" i="94"/>
  <c r="FG810" i="94" s="1"/>
  <c r="J912" i="94" s="1"/>
  <c r="FC787" i="94"/>
  <c r="FC810" i="94" s="1"/>
  <c r="K911" i="94" s="1"/>
  <c r="EY787" i="94"/>
  <c r="EY810" i="94" s="1"/>
  <c r="L910" i="94" s="1"/>
  <c r="EU787" i="94"/>
  <c r="EU810" i="94" s="1"/>
  <c r="M909" i="94" s="1"/>
  <c r="EQ787" i="94"/>
  <c r="EQ810" i="94" s="1"/>
  <c r="N908" i="94" s="1"/>
  <c r="EM787" i="94"/>
  <c r="EM810" i="94" s="1"/>
  <c r="J908" i="94" s="1"/>
  <c r="EI787" i="94"/>
  <c r="EI810" i="94" s="1"/>
  <c r="K907" i="94" s="1"/>
  <c r="EE787" i="94"/>
  <c r="EE810" i="94" s="1"/>
  <c r="L828" i="94" s="1"/>
  <c r="EA787" i="94"/>
  <c r="EA810" i="94" s="1"/>
  <c r="M854" i="94" s="1"/>
  <c r="DW787" i="94"/>
  <c r="DW810" i="94" s="1"/>
  <c r="N855" i="94" s="1"/>
  <c r="DS787" i="94"/>
  <c r="DS810" i="94" s="1"/>
  <c r="J855" i="94" s="1"/>
  <c r="DO787" i="94"/>
  <c r="DO810" i="94" s="1"/>
  <c r="K856" i="94" s="1"/>
  <c r="DK787" i="94"/>
  <c r="DK810" i="94" s="1"/>
  <c r="L857" i="94" s="1"/>
  <c r="DG787" i="94"/>
  <c r="DG810" i="94" s="1"/>
  <c r="M858" i="94" s="1"/>
  <c r="DC787" i="94"/>
  <c r="DC810" i="94" s="1"/>
  <c r="N859" i="94" s="1"/>
  <c r="CY787" i="94"/>
  <c r="CY810" i="94" s="1"/>
  <c r="J859" i="94" s="1"/>
  <c r="CU787" i="94"/>
  <c r="CU810" i="94" s="1"/>
  <c r="K860" i="94" s="1"/>
  <c r="CQ787" i="94"/>
  <c r="CQ810" i="94" s="1"/>
  <c r="L843" i="94" s="1"/>
  <c r="CM787" i="94"/>
  <c r="CM810" i="94" s="1"/>
  <c r="M844" i="94" s="1"/>
  <c r="CI787" i="94"/>
  <c r="CI810" i="94" s="1"/>
  <c r="N845" i="94" s="1"/>
  <c r="CE787" i="94"/>
  <c r="CE810" i="94" s="1"/>
  <c r="J845" i="94" s="1"/>
  <c r="CA787" i="94"/>
  <c r="CA810" i="94" s="1"/>
  <c r="K846" i="94" s="1"/>
  <c r="BW787" i="94"/>
  <c r="BW810" i="94" s="1"/>
  <c r="L847" i="94" s="1"/>
  <c r="BS787" i="94"/>
  <c r="BS810" i="94" s="1"/>
  <c r="M848" i="94" s="1"/>
  <c r="BO787" i="94"/>
  <c r="BO810" i="94" s="1"/>
  <c r="N849" i="94" s="1"/>
  <c r="BK787" i="94"/>
  <c r="BK810" i="94" s="1"/>
  <c r="J849" i="94" s="1"/>
  <c r="BG787" i="94"/>
  <c r="BG810" i="94" s="1"/>
  <c r="K826" i="94" s="1"/>
  <c r="BC787" i="94"/>
  <c r="BC810" i="94" s="1"/>
  <c r="L824" i="94" s="1"/>
  <c r="AY787" i="94"/>
  <c r="AY810" i="94" s="1"/>
  <c r="M823" i="94" s="1"/>
  <c r="AU787" i="94"/>
  <c r="AU810" i="94" s="1"/>
  <c r="N822" i="94" s="1"/>
  <c r="AQ787" i="94"/>
  <c r="AQ810" i="94" s="1"/>
  <c r="J822" i="94" s="1"/>
  <c r="AM787" i="94"/>
  <c r="AM810" i="94" s="1"/>
  <c r="K821" i="94" s="1"/>
  <c r="AI787" i="94"/>
  <c r="AI810" i="94" s="1"/>
  <c r="L820" i="94" s="1"/>
  <c r="AE787" i="94"/>
  <c r="AE810" i="94" s="1"/>
  <c r="M819" i="94" s="1"/>
  <c r="AA787" i="94"/>
  <c r="AA810" i="94" s="1"/>
  <c r="N818" i="94" s="1"/>
  <c r="W787" i="94"/>
  <c r="W810" i="94" s="1"/>
  <c r="J818" i="94" s="1"/>
  <c r="IA787" i="94"/>
  <c r="Q1701" i="94"/>
  <c r="L1700" i="94"/>
  <c r="R795" i="94" l="1"/>
  <c r="R790" i="93"/>
  <c r="R780" i="93"/>
  <c r="R785" i="94"/>
  <c r="R791" i="94"/>
  <c r="R786" i="93"/>
  <c r="C77" i="84"/>
  <c r="I75" i="84"/>
  <c r="I77" i="84" s="1"/>
  <c r="G75" i="84"/>
  <c r="G77" i="84" s="1"/>
  <c r="E75" i="84"/>
  <c r="E77" i="84" s="1"/>
  <c r="K75" i="84"/>
  <c r="K77" i="84" s="1"/>
  <c r="C1054" i="94"/>
  <c r="D39" i="74"/>
  <c r="C993" i="93"/>
  <c r="D10" i="86"/>
  <c r="G34" i="78"/>
  <c r="F34" i="78"/>
  <c r="I58" i="84"/>
  <c r="E58" i="84"/>
  <c r="E62" i="84"/>
  <c r="M106" i="75"/>
  <c r="M138" i="75"/>
  <c r="M136" i="75"/>
  <c r="O145" i="75"/>
  <c r="P62" i="66" s="1"/>
  <c r="O127" i="75"/>
  <c r="O128" i="75"/>
  <c r="O98" i="75"/>
  <c r="F1139" i="93"/>
  <c r="F45" i="73"/>
  <c r="N152" i="75"/>
  <c r="N154" i="75" s="1"/>
  <c r="N156" i="75" s="1"/>
  <c r="K63" i="75"/>
  <c r="K76" i="75" s="1"/>
  <c r="O104" i="75"/>
  <c r="L99" i="75"/>
  <c r="K57" i="73"/>
  <c r="J142" i="75"/>
  <c r="K1156" i="93" s="1"/>
  <c r="L113" i="75"/>
  <c r="O124" i="75"/>
  <c r="M152" i="75"/>
  <c r="M154" i="75" s="1"/>
  <c r="M156" i="75" s="1"/>
  <c r="J865" i="94"/>
  <c r="L903" i="94"/>
  <c r="N115" i="75"/>
  <c r="O235" i="75"/>
  <c r="O85" i="75"/>
  <c r="I66" i="66" s="1"/>
  <c r="O102" i="75"/>
  <c r="N138" i="75"/>
  <c r="M137" i="75"/>
  <c r="P236" i="75"/>
  <c r="O97" i="75"/>
  <c r="O66" i="75"/>
  <c r="O155" i="75"/>
  <c r="J106" i="75"/>
  <c r="O106" i="75" s="1"/>
  <c r="H79" i="94" s="1"/>
  <c r="O153" i="75"/>
  <c r="P92" i="94" s="1"/>
  <c r="O123" i="75"/>
  <c r="O130" i="75"/>
  <c r="L63" i="75"/>
  <c r="L71" i="75" s="1"/>
  <c r="O60" i="75"/>
  <c r="M99" i="75"/>
  <c r="J99" i="75"/>
  <c r="O105" i="75"/>
  <c r="F52" i="73"/>
  <c r="O117" i="75"/>
  <c r="K1215" i="94"/>
  <c r="J152" i="75"/>
  <c r="J154" i="75" s="1"/>
  <c r="J156" i="75" s="1"/>
  <c r="O116" i="75"/>
  <c r="K55" i="73"/>
  <c r="J113" i="75"/>
  <c r="N136" i="75"/>
  <c r="K1139" i="93" s="1"/>
  <c r="O108" i="75"/>
  <c r="O236" i="75"/>
  <c r="O121" i="75"/>
  <c r="M113" i="75"/>
  <c r="O828" i="94"/>
  <c r="P917" i="94" s="1"/>
  <c r="M865" i="94"/>
  <c r="K113" i="75"/>
  <c r="L138" i="75"/>
  <c r="K50" i="73" s="1"/>
  <c r="L154" i="75"/>
  <c r="L156" i="75" s="1"/>
  <c r="J115" i="75"/>
  <c r="N834" i="93"/>
  <c r="M823" i="93"/>
  <c r="N88" i="75"/>
  <c r="N99" i="75"/>
  <c r="L136" i="75"/>
  <c r="K1149" i="93"/>
  <c r="M1149" i="93" s="1"/>
  <c r="O126" i="75"/>
  <c r="H68" i="66"/>
  <c r="P151" i="75"/>
  <c r="H74" i="93"/>
  <c r="K872" i="93"/>
  <c r="K874" i="93" s="1"/>
  <c r="K837" i="93"/>
  <c r="N865" i="94"/>
  <c r="M897" i="94"/>
  <c r="N65" i="75"/>
  <c r="N67" i="75" s="1"/>
  <c r="O83" i="75"/>
  <c r="I75" i="93" s="1"/>
  <c r="O131" i="75"/>
  <c r="F1146" i="93"/>
  <c r="I1146" i="93" s="1"/>
  <c r="F58" i="73"/>
  <c r="K65" i="73"/>
  <c r="K1159" i="93"/>
  <c r="M1159" i="93" s="1"/>
  <c r="K99" i="75"/>
  <c r="O99" i="75" s="1"/>
  <c r="G1046" i="94"/>
  <c r="H14" i="86"/>
  <c r="B1015" i="93"/>
  <c r="F34" i="86"/>
  <c r="K1046" i="94"/>
  <c r="E34" i="86"/>
  <c r="C1015" i="93"/>
  <c r="G34" i="86"/>
  <c r="H34" i="86"/>
  <c r="D1015" i="93"/>
  <c r="C1058" i="94"/>
  <c r="C997" i="93"/>
  <c r="D43" i="74"/>
  <c r="G14" i="86"/>
  <c r="R33" i="74"/>
  <c r="R40" i="74"/>
  <c r="R39" i="74"/>
  <c r="R36" i="74"/>
  <c r="R32" i="74"/>
  <c r="R34" i="74"/>
  <c r="R37" i="74"/>
  <c r="F985" i="93"/>
  <c r="R25" i="74"/>
  <c r="R35" i="74"/>
  <c r="I45" i="68" s="1"/>
  <c r="R30" i="74"/>
  <c r="R28" i="74"/>
  <c r="R26" i="74"/>
  <c r="R38" i="74"/>
  <c r="F1046" i="94"/>
  <c r="R27" i="74"/>
  <c r="R31" i="74"/>
  <c r="R29" i="74"/>
  <c r="I985" i="93"/>
  <c r="C34" i="86"/>
  <c r="I1046" i="94"/>
  <c r="C54" i="86"/>
  <c r="F1015" i="93"/>
  <c r="H985" i="93"/>
  <c r="H1046" i="94"/>
  <c r="I14" i="86"/>
  <c r="K37" i="84"/>
  <c r="K35" i="84"/>
  <c r="C40" i="84"/>
  <c r="J18" i="84"/>
  <c r="E483" i="94"/>
  <c r="G479" i="94" s="1"/>
  <c r="F978" i="93"/>
  <c r="F987" i="93" s="1"/>
  <c r="G62" i="84"/>
  <c r="LW810" i="94"/>
  <c r="FU810" i="94"/>
  <c r="N915" i="94" s="1"/>
  <c r="K109" i="75"/>
  <c r="M115" i="75"/>
  <c r="L135" i="75"/>
  <c r="F1137" i="93" s="1"/>
  <c r="K141" i="75"/>
  <c r="N103" i="75"/>
  <c r="O103" i="75" s="1"/>
  <c r="H66" i="93" s="1"/>
  <c r="P235" i="75"/>
  <c r="F43" i="73"/>
  <c r="I43" i="73" s="1"/>
  <c r="J137" i="75"/>
  <c r="O118" i="75"/>
  <c r="O129" i="75"/>
  <c r="K115" i="75"/>
  <c r="HD805" i="93"/>
  <c r="N846" i="93" s="1"/>
  <c r="F1203" i="94"/>
  <c r="H1203" i="94" s="1"/>
  <c r="N1223" i="94"/>
  <c r="F1150" i="93"/>
  <c r="H1214" i="94"/>
  <c r="I1214" i="94"/>
  <c r="N113" i="75"/>
  <c r="M1214" i="94"/>
  <c r="N56" i="73"/>
  <c r="M56" i="73"/>
  <c r="L874" i="93"/>
  <c r="K1224" i="94"/>
  <c r="K66" i="73"/>
  <c r="M66" i="73" s="1"/>
  <c r="K1160" i="93"/>
  <c r="K1135" i="93"/>
  <c r="K1199" i="94"/>
  <c r="K41" i="73"/>
  <c r="K1201" i="94"/>
  <c r="K43" i="73"/>
  <c r="N43" i="73" s="1"/>
  <c r="K1137" i="93"/>
  <c r="N1137" i="93" s="1"/>
  <c r="O96" i="75"/>
  <c r="P94" i="94"/>
  <c r="P71" i="66"/>
  <c r="P76" i="93"/>
  <c r="M135" i="75"/>
  <c r="H66" i="66"/>
  <c r="P149" i="75"/>
  <c r="N65" i="73"/>
  <c r="M65" i="73"/>
  <c r="N1159" i="93"/>
  <c r="N1151" i="93"/>
  <c r="M1151" i="93"/>
  <c r="N1158" i="93"/>
  <c r="M1158" i="93"/>
  <c r="N1153" i="93"/>
  <c r="M1153" i="93"/>
  <c r="M904" i="94"/>
  <c r="O889" i="94"/>
  <c r="N904" i="94"/>
  <c r="FR805" i="93"/>
  <c r="K859" i="93" s="1"/>
  <c r="I62" i="73"/>
  <c r="H62" i="73"/>
  <c r="H1156" i="93"/>
  <c r="I1156" i="93"/>
  <c r="I1161" i="93" s="1"/>
  <c r="N57" i="73"/>
  <c r="M57" i="73"/>
  <c r="N64" i="73"/>
  <c r="M64" i="73"/>
  <c r="M1135" i="93"/>
  <c r="N1135" i="93"/>
  <c r="N1140" i="93" s="1"/>
  <c r="N59" i="73"/>
  <c r="M59" i="73"/>
  <c r="O891" i="94"/>
  <c r="K904" i="94"/>
  <c r="GU805" i="93"/>
  <c r="J845" i="93" s="1"/>
  <c r="HN805" i="93"/>
  <c r="N848" i="93" s="1"/>
  <c r="N865" i="93" s="1"/>
  <c r="I57" i="73"/>
  <c r="H57" i="73"/>
  <c r="H56" i="73"/>
  <c r="I56" i="73"/>
  <c r="H1151" i="93"/>
  <c r="I1151" i="93"/>
  <c r="N1215" i="94"/>
  <c r="M1215" i="94"/>
  <c r="M1222" i="94"/>
  <c r="N1222" i="94"/>
  <c r="M1160" i="93"/>
  <c r="N1160" i="93"/>
  <c r="N41" i="73"/>
  <c r="M41" i="73"/>
  <c r="N1217" i="94"/>
  <c r="M1217" i="94"/>
  <c r="M831" i="93"/>
  <c r="IU805" i="93"/>
  <c r="P74" i="93"/>
  <c r="P69" i="66"/>
  <c r="N897" i="94"/>
  <c r="N49" i="73"/>
  <c r="M49" i="73"/>
  <c r="N1143" i="93"/>
  <c r="M1143" i="93"/>
  <c r="N1207" i="94"/>
  <c r="M1207" i="94"/>
  <c r="N868" i="94"/>
  <c r="I49" i="73"/>
  <c r="H49" i="73"/>
  <c r="H1152" i="93"/>
  <c r="I1152" i="93"/>
  <c r="H1143" i="93"/>
  <c r="I1143" i="93"/>
  <c r="H1216" i="94"/>
  <c r="I1216" i="94"/>
  <c r="H1207" i="94"/>
  <c r="I1207" i="94"/>
  <c r="K834" i="93"/>
  <c r="F1200" i="94"/>
  <c r="F1136" i="93"/>
  <c r="F42" i="73"/>
  <c r="F1223" i="94"/>
  <c r="F65" i="73"/>
  <c r="F1159" i="93"/>
  <c r="K1221" i="94"/>
  <c r="K1157" i="93"/>
  <c r="K63" i="73"/>
  <c r="H1210" i="94"/>
  <c r="I1210" i="94"/>
  <c r="K1220" i="94"/>
  <c r="K1200" i="94"/>
  <c r="K42" i="73"/>
  <c r="K1136" i="93"/>
  <c r="K1216" i="94"/>
  <c r="O140" i="75"/>
  <c r="K1152" i="93"/>
  <c r="K58" i="73"/>
  <c r="F1208" i="94"/>
  <c r="F50" i="73"/>
  <c r="F1144" i="93"/>
  <c r="F1221" i="94"/>
  <c r="F63" i="73"/>
  <c r="F1157" i="93"/>
  <c r="H1153" i="93"/>
  <c r="I1153" i="93"/>
  <c r="N898" i="94"/>
  <c r="O884" i="94"/>
  <c r="F1199" i="94"/>
  <c r="F1135" i="93"/>
  <c r="F41" i="73"/>
  <c r="F51" i="73"/>
  <c r="F1209" i="94"/>
  <c r="F1145" i="93"/>
  <c r="O115" i="75"/>
  <c r="H1139" i="93"/>
  <c r="I1139" i="93"/>
  <c r="I59" i="73"/>
  <c r="H59" i="73"/>
  <c r="H94" i="94"/>
  <c r="F56" i="89"/>
  <c r="D37" i="90" s="1"/>
  <c r="P155" i="75"/>
  <c r="H78" i="93"/>
  <c r="H71" i="66"/>
  <c r="F1222" i="94"/>
  <c r="F1158" i="93"/>
  <c r="F64" i="73"/>
  <c r="K1202" i="94"/>
  <c r="K44" i="73"/>
  <c r="K1138" i="93"/>
  <c r="F1206" i="94"/>
  <c r="O137" i="75"/>
  <c r="F48" i="73"/>
  <c r="F1142" i="93"/>
  <c r="I52" i="73"/>
  <c r="H52" i="73"/>
  <c r="F1213" i="94"/>
  <c r="O139" i="75"/>
  <c r="F1149" i="93"/>
  <c r="F55" i="73"/>
  <c r="I45" i="73"/>
  <c r="H45" i="73"/>
  <c r="K1209" i="94"/>
  <c r="K51" i="73"/>
  <c r="K1145" i="93"/>
  <c r="I1217" i="94"/>
  <c r="H1217" i="94"/>
  <c r="I64" i="66"/>
  <c r="D11" i="88"/>
  <c r="E11" i="88" s="1"/>
  <c r="N75" i="75"/>
  <c r="N73" i="75"/>
  <c r="N74" i="75"/>
  <c r="N76" i="75"/>
  <c r="N77" i="75"/>
  <c r="J88" i="75"/>
  <c r="O88" i="75" s="1"/>
  <c r="N815" i="93"/>
  <c r="N817" i="93" s="1"/>
  <c r="I74" i="93"/>
  <c r="I73" i="93" s="1"/>
  <c r="D8" i="88"/>
  <c r="E8" i="88" s="1"/>
  <c r="I65" i="66"/>
  <c r="LO810" i="94"/>
  <c r="J831" i="93"/>
  <c r="N72" i="75"/>
  <c r="K74" i="75"/>
  <c r="K871" i="94"/>
  <c r="O832" i="93"/>
  <c r="O849" i="94"/>
  <c r="L850" i="94"/>
  <c r="O908" i="94"/>
  <c r="O826" i="93"/>
  <c r="O109" i="75"/>
  <c r="O845" i="94"/>
  <c r="H69" i="66"/>
  <c r="H1836" i="93"/>
  <c r="P153" i="75"/>
  <c r="H76" i="93"/>
  <c r="H92" i="94"/>
  <c r="P145" i="75"/>
  <c r="H75" i="93"/>
  <c r="H62" i="66"/>
  <c r="O915" i="94"/>
  <c r="K861" i="94"/>
  <c r="M861" i="94"/>
  <c r="L825" i="94"/>
  <c r="L827" i="94" s="1"/>
  <c r="L829" i="94" s="1"/>
  <c r="O856" i="94"/>
  <c r="K865" i="94"/>
  <c r="L861" i="94"/>
  <c r="N914" i="94"/>
  <c r="N916" i="94" s="1"/>
  <c r="N918" i="94" s="1"/>
  <c r="O818" i="94"/>
  <c r="J825" i="94"/>
  <c r="O859" i="94"/>
  <c r="O869" i="94"/>
  <c r="L865" i="94"/>
  <c r="O847" i="94"/>
  <c r="O846" i="94"/>
  <c r="O870" i="94"/>
  <c r="M871" i="94"/>
  <c r="O848" i="94"/>
  <c r="K825" i="94"/>
  <c r="K827" i="94" s="1"/>
  <c r="K829" i="94" s="1"/>
  <c r="N825" i="94"/>
  <c r="N827" i="94" s="1"/>
  <c r="N829" i="94" s="1"/>
  <c r="O822" i="94"/>
  <c r="O855" i="94"/>
  <c r="K914" i="94"/>
  <c r="K916" i="94" s="1"/>
  <c r="K918" i="94" s="1"/>
  <c r="O860" i="94"/>
  <c r="O867" i="94"/>
  <c r="M868" i="94"/>
  <c r="K850" i="94"/>
  <c r="J901" i="94"/>
  <c r="O901" i="94" s="1"/>
  <c r="O882" i="94"/>
  <c r="N877" i="94"/>
  <c r="N899" i="94"/>
  <c r="IA810" i="94"/>
  <c r="O866" i="94"/>
  <c r="M914" i="94"/>
  <c r="M916" i="94" s="1"/>
  <c r="M918" i="94" s="1"/>
  <c r="O823" i="94"/>
  <c r="J850" i="94"/>
  <c r="O843" i="94"/>
  <c r="O907" i="94"/>
  <c r="J914" i="94"/>
  <c r="O864" i="94"/>
  <c r="J877" i="94"/>
  <c r="O878" i="94"/>
  <c r="J899" i="94"/>
  <c r="K903" i="94"/>
  <c r="BZ805" i="93"/>
  <c r="J870" i="93" s="1"/>
  <c r="ID805" i="93"/>
  <c r="HF805" i="93"/>
  <c r="K847" i="93" s="1"/>
  <c r="JJ805" i="93"/>
  <c r="IE805" i="93"/>
  <c r="CW805" i="93"/>
  <c r="CV805" i="93"/>
  <c r="FY805" i="93"/>
  <c r="M856" i="93" s="1"/>
  <c r="CT805" i="93"/>
  <c r="FL805" i="93"/>
  <c r="J858" i="93" s="1"/>
  <c r="HE805" i="93"/>
  <c r="J847" i="93" s="1"/>
  <c r="FP805" i="93"/>
  <c r="N858" i="93" s="1"/>
  <c r="FJ805" i="93"/>
  <c r="M853" i="93" s="1"/>
  <c r="HG805" i="93"/>
  <c r="L847" i="93" s="1"/>
  <c r="L868" i="93" s="1"/>
  <c r="GD805" i="93"/>
  <c r="M857" i="93" s="1"/>
  <c r="GV805" i="93"/>
  <c r="K845" i="93" s="1"/>
  <c r="GT805" i="93"/>
  <c r="N844" i="93" s="1"/>
  <c r="JG805" i="93"/>
  <c r="HU805" i="93"/>
  <c r="K850" i="93" s="1"/>
  <c r="GE805" i="93"/>
  <c r="N857" i="93" s="1"/>
  <c r="HO805" i="93"/>
  <c r="J849" i="93" s="1"/>
  <c r="EA805" i="93"/>
  <c r="M833" i="93" s="1"/>
  <c r="M834" i="93" s="1"/>
  <c r="BI805" i="93"/>
  <c r="GI805" i="93"/>
  <c r="M854" i="93" s="1"/>
  <c r="GM805" i="93"/>
  <c r="L855" i="93" s="1"/>
  <c r="L864" i="93" s="1"/>
  <c r="IY805" i="93"/>
  <c r="DM805" i="93"/>
  <c r="N830" i="93" s="1"/>
  <c r="N831" i="93" s="1"/>
  <c r="AI805" i="93"/>
  <c r="IC805" i="93"/>
  <c r="N851" i="93" s="1"/>
  <c r="AX805" i="93"/>
  <c r="L822" i="93" s="1"/>
  <c r="L823" i="93" s="1"/>
  <c r="CS805" i="93"/>
  <c r="N873" i="93" s="1"/>
  <c r="H972" i="93"/>
  <c r="R789" i="94"/>
  <c r="R784" i="93"/>
  <c r="K831" i="93"/>
  <c r="K823" i="93"/>
  <c r="K1210" i="94"/>
  <c r="K52" i="73"/>
  <c r="K1146" i="93"/>
  <c r="E536" i="93"/>
  <c r="E545" i="94"/>
  <c r="E100" i="78"/>
  <c r="B970" i="93"/>
  <c r="B14" i="74"/>
  <c r="H173" i="75"/>
  <c r="H1045" i="94"/>
  <c r="H984" i="93"/>
  <c r="I30" i="74"/>
  <c r="H53" i="82"/>
  <c r="D55" i="74"/>
  <c r="E45" i="74"/>
  <c r="O912" i="94"/>
  <c r="L871" i="94"/>
  <c r="M899" i="94"/>
  <c r="M877" i="94"/>
  <c r="O998" i="94"/>
  <c r="P998" i="94"/>
  <c r="J903" i="94"/>
  <c r="O880" i="94"/>
  <c r="P997" i="94"/>
  <c r="O997" i="94"/>
  <c r="J904" i="94"/>
  <c r="O881" i="94"/>
  <c r="K875" i="94"/>
  <c r="K900" i="94"/>
  <c r="O886" i="94"/>
  <c r="J897" i="94"/>
  <c r="N861" i="94"/>
  <c r="O885" i="94"/>
  <c r="O854" i="94"/>
  <c r="J861" i="94"/>
  <c r="L877" i="94"/>
  <c r="L899" i="94"/>
  <c r="N871" i="94"/>
  <c r="N850" i="94"/>
  <c r="O824" i="94"/>
  <c r="O857" i="94"/>
  <c r="O888" i="94"/>
  <c r="O893" i="94"/>
  <c r="K898" i="94"/>
  <c r="IK805" i="93"/>
  <c r="J868" i="94"/>
  <c r="EW805" i="93"/>
  <c r="I63" i="66"/>
  <c r="JD805" i="93"/>
  <c r="JI805" i="93"/>
  <c r="GK805" i="93"/>
  <c r="J855" i="93" s="1"/>
  <c r="J864" i="93" s="1"/>
  <c r="BW805" i="93"/>
  <c r="L818" i="93" s="1"/>
  <c r="BX805" i="93"/>
  <c r="M818" i="93" s="1"/>
  <c r="FX805" i="93"/>
  <c r="L856" i="93" s="1"/>
  <c r="FT805" i="93"/>
  <c r="M859" i="93" s="1"/>
  <c r="JM805" i="93"/>
  <c r="GB805" i="93"/>
  <c r="K857" i="93" s="1"/>
  <c r="IB805" i="93"/>
  <c r="M851" i="93" s="1"/>
  <c r="FM805" i="93"/>
  <c r="K858" i="93" s="1"/>
  <c r="J865" i="93"/>
  <c r="GG805" i="93"/>
  <c r="K854" i="93" s="1"/>
  <c r="GC805" i="93"/>
  <c r="L857" i="93" s="1"/>
  <c r="HZ805" i="93"/>
  <c r="K851" i="93" s="1"/>
  <c r="HH805" i="93"/>
  <c r="M847" i="93" s="1"/>
  <c r="EX805" i="93"/>
  <c r="AB805" i="93"/>
  <c r="J814" i="93" s="1"/>
  <c r="DZ805" i="93"/>
  <c r="L833" i="93" s="1"/>
  <c r="L834" i="93" s="1"/>
  <c r="FU805" i="93"/>
  <c r="N859" i="93" s="1"/>
  <c r="EC805" i="93"/>
  <c r="J834" i="93" s="1"/>
  <c r="BS805" i="93"/>
  <c r="M825" i="93" s="1"/>
  <c r="M827" i="93" s="1"/>
  <c r="IS805" i="93"/>
  <c r="GZ805" i="93"/>
  <c r="J846" i="93" s="1"/>
  <c r="GF805" i="93"/>
  <c r="J854" i="93" s="1"/>
  <c r="M867" i="93"/>
  <c r="FC805" i="93"/>
  <c r="K852" i="93" s="1"/>
  <c r="GX805" i="93"/>
  <c r="M845" i="93" s="1"/>
  <c r="AK805" i="93"/>
  <c r="I977" i="93"/>
  <c r="J969" i="93"/>
  <c r="I975" i="93"/>
  <c r="I971" i="93"/>
  <c r="I970" i="93"/>
  <c r="H976" i="93"/>
  <c r="H992" i="93" s="1"/>
  <c r="D987" i="93"/>
  <c r="D986" i="93"/>
  <c r="K62" i="84"/>
  <c r="P67" i="66"/>
  <c r="P150" i="75"/>
  <c r="H65" i="66"/>
  <c r="P148" i="75"/>
  <c r="O917" i="94"/>
  <c r="LG810" i="94"/>
  <c r="K877" i="94"/>
  <c r="K899" i="94"/>
  <c r="M875" i="94"/>
  <c r="M900" i="94"/>
  <c r="O910" i="94"/>
  <c r="L898" i="94"/>
  <c r="M850" i="94"/>
  <c r="O892" i="94"/>
  <c r="O821" i="94"/>
  <c r="O826" i="94"/>
  <c r="P915" i="94" s="1"/>
  <c r="O147" i="75"/>
  <c r="K152" i="75"/>
  <c r="O819" i="94"/>
  <c r="J871" i="94"/>
  <c r="M898" i="94"/>
  <c r="N872" i="93"/>
  <c r="L875" i="94"/>
  <c r="EZ805" i="93"/>
  <c r="I62" i="66"/>
  <c r="JC805" i="93"/>
  <c r="JH805" i="93"/>
  <c r="HR805" i="93"/>
  <c r="M849" i="93" s="1"/>
  <c r="M866" i="93" s="1"/>
  <c r="FO805" i="93"/>
  <c r="M858" i="93" s="1"/>
  <c r="M861" i="93" s="1"/>
  <c r="CY805" i="93"/>
  <c r="J875" i="93" s="1"/>
  <c r="BY805" i="93"/>
  <c r="N818" i="93" s="1"/>
  <c r="DB805" i="93"/>
  <c r="M875" i="93" s="1"/>
  <c r="BV805" i="93"/>
  <c r="K818" i="93" s="1"/>
  <c r="FW805" i="93"/>
  <c r="K856" i="93" s="1"/>
  <c r="FB805" i="93"/>
  <c r="J852" i="93" s="1"/>
  <c r="GY805" i="93"/>
  <c r="N845" i="93" s="1"/>
  <c r="FV805" i="93"/>
  <c r="J856" i="93" s="1"/>
  <c r="JL805" i="93"/>
  <c r="HX805" i="93"/>
  <c r="N850" i="93" s="1"/>
  <c r="N867" i="93" s="1"/>
  <c r="HM805" i="93"/>
  <c r="M848" i="93" s="1"/>
  <c r="M865" i="93" s="1"/>
  <c r="HV805" i="93"/>
  <c r="L850" i="93" s="1"/>
  <c r="GS805" i="93"/>
  <c r="M844" i="93" s="1"/>
  <c r="FA805" i="93"/>
  <c r="FK805" i="93"/>
  <c r="N853" i="93" s="1"/>
  <c r="BP805" i="93"/>
  <c r="J825" i="93" s="1"/>
  <c r="GO805" i="93"/>
  <c r="N855" i="93" s="1"/>
  <c r="AG805" i="93"/>
  <c r="EQ805" i="93"/>
  <c r="N836" i="93" s="1"/>
  <c r="O836" i="93" s="1"/>
  <c r="CZ805" i="93"/>
  <c r="K875" i="93" s="1"/>
  <c r="K876" i="93" s="1"/>
  <c r="JO805" i="93"/>
  <c r="HA805" i="93"/>
  <c r="K846" i="93" s="1"/>
  <c r="K867" i="93" s="1"/>
  <c r="EH805" i="93"/>
  <c r="J835" i="93" s="1"/>
  <c r="J837" i="93" s="1"/>
  <c r="IX805" i="93"/>
  <c r="W805" i="93"/>
  <c r="J813" i="93" s="1"/>
  <c r="CC805" i="93"/>
  <c r="M870" i="93" s="1"/>
  <c r="JF805" i="93"/>
  <c r="FG805" i="93"/>
  <c r="J853" i="93" s="1"/>
  <c r="AO805" i="93"/>
  <c r="M816" i="93" s="1"/>
  <c r="DF805" i="93"/>
  <c r="L829" i="93" s="1"/>
  <c r="AC805" i="93"/>
  <c r="K814" i="93" s="1"/>
  <c r="FQ805" i="93"/>
  <c r="J859" i="93" s="1"/>
  <c r="BJ805" i="93"/>
  <c r="AD805" i="93"/>
  <c r="L814" i="93" s="1"/>
  <c r="L815" i="93" s="1"/>
  <c r="L817" i="93" s="1"/>
  <c r="L819" i="93" s="1"/>
  <c r="X805" i="93"/>
  <c r="K813" i="93" s="1"/>
  <c r="K815" i="93" s="1"/>
  <c r="BQ805" i="93"/>
  <c r="K825" i="93" s="1"/>
  <c r="K827" i="93" s="1"/>
  <c r="E992" i="93"/>
  <c r="E978" i="93"/>
  <c r="K48" i="73"/>
  <c r="K1142" i="93"/>
  <c r="K1206" i="94"/>
  <c r="F66" i="73"/>
  <c r="O141" i="75"/>
  <c r="F1224" i="94"/>
  <c r="F1160" i="93"/>
  <c r="I62" i="84"/>
  <c r="J73" i="75"/>
  <c r="J72" i="75"/>
  <c r="J71" i="75"/>
  <c r="D7" i="88"/>
  <c r="J75" i="75"/>
  <c r="J74" i="75"/>
  <c r="O63" i="75"/>
  <c r="J76" i="75"/>
  <c r="J77" i="75"/>
  <c r="J65" i="75"/>
  <c r="H63" i="66"/>
  <c r="P146" i="75"/>
  <c r="N875" i="94"/>
  <c r="N900" i="94"/>
  <c r="O887" i="94"/>
  <c r="J898" i="94"/>
  <c r="O898" i="94" s="1"/>
  <c r="LK810" i="94"/>
  <c r="O890" i="94"/>
  <c r="O913" i="94"/>
  <c r="O909" i="94"/>
  <c r="L897" i="94"/>
  <c r="O858" i="94"/>
  <c r="P999" i="94"/>
  <c r="O999" i="94"/>
  <c r="O820" i="94"/>
  <c r="O844" i="94"/>
  <c r="O883" i="94"/>
  <c r="J902" i="94"/>
  <c r="O902" i="94" s="1"/>
  <c r="M825" i="94"/>
  <c r="M827" i="94" s="1"/>
  <c r="M829" i="94" s="1"/>
  <c r="O863" i="94"/>
  <c r="O911" i="94"/>
  <c r="L914" i="94"/>
  <c r="L916" i="94" s="1"/>
  <c r="L918" i="94" s="1"/>
  <c r="L868" i="94"/>
  <c r="J875" i="94"/>
  <c r="J900" i="94"/>
  <c r="O879" i="94"/>
  <c r="M903" i="94"/>
  <c r="C1070" i="94"/>
  <c r="D1060" i="94"/>
  <c r="M815" i="93"/>
  <c r="M817" i="93" s="1"/>
  <c r="BU805" i="93"/>
  <c r="J818" i="93" s="1"/>
  <c r="M837" i="93"/>
  <c r="DA805" i="93"/>
  <c r="L875" i="93" s="1"/>
  <c r="L876" i="93" s="1"/>
  <c r="FI805" i="93"/>
  <c r="L853" i="93" s="1"/>
  <c r="JE805" i="93"/>
  <c r="FZ805" i="93"/>
  <c r="N856" i="93" s="1"/>
  <c r="N861" i="93" s="1"/>
  <c r="J823" i="93"/>
  <c r="O821" i="93"/>
  <c r="CX805" i="93"/>
  <c r="CU805" i="93"/>
  <c r="DC805" i="93"/>
  <c r="N875" i="93" s="1"/>
  <c r="HL805" i="93"/>
  <c r="L848" i="93" s="1"/>
  <c r="L865" i="93" s="1"/>
  <c r="GH805" i="93"/>
  <c r="L854" i="93" s="1"/>
  <c r="HB805" i="93"/>
  <c r="L846" i="93" s="1"/>
  <c r="GJ805" i="93"/>
  <c r="N854" i="93" s="1"/>
  <c r="GA805" i="93"/>
  <c r="J857" i="93" s="1"/>
  <c r="EY805" i="93"/>
  <c r="GR805" i="93"/>
  <c r="L844" i="93" s="1"/>
  <c r="HP805" i="93"/>
  <c r="K849" i="93" s="1"/>
  <c r="K866" i="93" s="1"/>
  <c r="GQ805" i="93"/>
  <c r="K844" i="93" s="1"/>
  <c r="FN805" i="93"/>
  <c r="L858" i="93" s="1"/>
  <c r="G978" i="93"/>
  <c r="CR805" i="93"/>
  <c r="M873" i="93" s="1"/>
  <c r="CL805" i="93"/>
  <c r="L837" i="93"/>
  <c r="JN805" i="93"/>
  <c r="HT805" i="93"/>
  <c r="J850" i="93" s="1"/>
  <c r="AM805" i="93"/>
  <c r="K816" i="93" s="1"/>
  <c r="IM805" i="93"/>
  <c r="EL805" i="93"/>
  <c r="N835" i="93" s="1"/>
  <c r="DK805" i="93"/>
  <c r="L830" i="93" s="1"/>
  <c r="CH805" i="93"/>
  <c r="M871" i="93" s="1"/>
  <c r="O871" i="93" s="1"/>
  <c r="HS805" i="93"/>
  <c r="N849" i="93" s="1"/>
  <c r="N866" i="93" s="1"/>
  <c r="AH805" i="93"/>
  <c r="AJ805" i="93"/>
  <c r="C978" i="93"/>
  <c r="O1725" i="93"/>
  <c r="O1819" i="94"/>
  <c r="D990" i="93"/>
  <c r="D991" i="93"/>
  <c r="K1203" i="94"/>
  <c r="H11" i="88"/>
  <c r="I11" i="88" s="1"/>
  <c r="N159" i="75"/>
  <c r="M77" i="75"/>
  <c r="M75" i="75"/>
  <c r="M71" i="75"/>
  <c r="M65" i="75"/>
  <c r="M67" i="75" s="1"/>
  <c r="M76" i="75"/>
  <c r="M73" i="75"/>
  <c r="M74" i="75"/>
  <c r="M72" i="75"/>
  <c r="D10" i="88"/>
  <c r="E10" i="88" s="1"/>
  <c r="D1054" i="94" l="1"/>
  <c r="D993" i="93"/>
  <c r="E39" i="74"/>
  <c r="E10" i="86"/>
  <c r="C80" i="84"/>
  <c r="C81" i="84"/>
  <c r="F986" i="93"/>
  <c r="F991" i="93"/>
  <c r="K65" i="75"/>
  <c r="K67" i="75" s="1"/>
  <c r="H8" i="88" s="1"/>
  <c r="I8" i="88" s="1"/>
  <c r="L72" i="75"/>
  <c r="L1954" i="93"/>
  <c r="K71" i="75"/>
  <c r="L76" i="75"/>
  <c r="O142" i="75"/>
  <c r="O136" i="75"/>
  <c r="L65" i="75"/>
  <c r="L67" i="75" s="1"/>
  <c r="L159" i="75" s="1"/>
  <c r="L77" i="75"/>
  <c r="L73" i="75"/>
  <c r="K73" i="75"/>
  <c r="K77" i="75"/>
  <c r="O135" i="75"/>
  <c r="K62" i="73"/>
  <c r="K1208" i="94"/>
  <c r="K45" i="73"/>
  <c r="O816" i="93"/>
  <c r="O138" i="75"/>
  <c r="N862" i="93"/>
  <c r="H73" i="93"/>
  <c r="D9" i="88"/>
  <c r="E9" i="88" s="1"/>
  <c r="L74" i="75"/>
  <c r="L75" i="75"/>
  <c r="K75" i="75"/>
  <c r="K72" i="75"/>
  <c r="L861" i="93"/>
  <c r="M1137" i="93"/>
  <c r="N1149" i="93"/>
  <c r="N1154" i="93" s="1"/>
  <c r="O113" i="75"/>
  <c r="O432" i="72" s="1"/>
  <c r="N874" i="93"/>
  <c r="H9" i="88"/>
  <c r="I9" i="88" s="1"/>
  <c r="K1144" i="93"/>
  <c r="N55" i="73"/>
  <c r="M55" i="73"/>
  <c r="O830" i="93"/>
  <c r="O850" i="93"/>
  <c r="L862" i="93"/>
  <c r="H1146" i="93"/>
  <c r="O823" i="93"/>
  <c r="H61" i="66"/>
  <c r="H70" i="66" s="1"/>
  <c r="H72" i="66" s="1"/>
  <c r="H43" i="73"/>
  <c r="H58" i="73"/>
  <c r="I58" i="73"/>
  <c r="D1058" i="94"/>
  <c r="E43" i="74"/>
  <c r="D997" i="93"/>
  <c r="I407" i="93"/>
  <c r="I422" i="94"/>
  <c r="R984" i="93"/>
  <c r="R990" i="93"/>
  <c r="R991" i="93"/>
  <c r="R987" i="93"/>
  <c r="R980" i="93"/>
  <c r="R993" i="93"/>
  <c r="R982" i="93"/>
  <c r="R981" i="93"/>
  <c r="R992" i="93"/>
  <c r="R979" i="93"/>
  <c r="R986" i="93"/>
  <c r="R983" i="93"/>
  <c r="R988" i="93"/>
  <c r="R989" i="93"/>
  <c r="R994" i="93"/>
  <c r="R985" i="93"/>
  <c r="H978" i="93"/>
  <c r="I1137" i="93"/>
  <c r="H1137" i="93"/>
  <c r="F1201" i="94"/>
  <c r="H1150" i="93"/>
  <c r="I1150" i="93"/>
  <c r="I1203" i="94"/>
  <c r="H54" i="66"/>
  <c r="N837" i="93"/>
  <c r="K469" i="73"/>
  <c r="K1627" i="94"/>
  <c r="H77" i="94"/>
  <c r="N66" i="73"/>
  <c r="M43" i="73"/>
  <c r="O873" i="93"/>
  <c r="M1201" i="94"/>
  <c r="N1201" i="94"/>
  <c r="F1138" i="93"/>
  <c r="F1140" i="93" s="1"/>
  <c r="F1202" i="94"/>
  <c r="F44" i="73"/>
  <c r="M1199" i="94"/>
  <c r="N1199" i="94"/>
  <c r="M1224" i="94"/>
  <c r="N1224" i="94"/>
  <c r="N1208" i="94"/>
  <c r="M1208" i="94"/>
  <c r="K862" i="93"/>
  <c r="O904" i="94"/>
  <c r="M1144" i="93"/>
  <c r="N1144" i="93"/>
  <c r="O859" i="93"/>
  <c r="N50" i="73"/>
  <c r="M50" i="73"/>
  <c r="O900" i="94"/>
  <c r="O833" i="93"/>
  <c r="O875" i="94"/>
  <c r="M868" i="93"/>
  <c r="H1200" i="94"/>
  <c r="I1200" i="94"/>
  <c r="I42" i="73"/>
  <c r="H42" i="73"/>
  <c r="H1136" i="93"/>
  <c r="I1136" i="93"/>
  <c r="J843" i="93"/>
  <c r="O848" i="93"/>
  <c r="M51" i="73"/>
  <c r="N51" i="73"/>
  <c r="I55" i="73"/>
  <c r="I60" i="73" s="1"/>
  <c r="H55" i="73"/>
  <c r="F60" i="73"/>
  <c r="I48" i="73"/>
  <c r="H48" i="73"/>
  <c r="F53" i="73"/>
  <c r="N44" i="73"/>
  <c r="M44" i="73"/>
  <c r="H1222" i="94"/>
  <c r="I1222" i="94"/>
  <c r="I1209" i="94"/>
  <c r="H1209" i="94"/>
  <c r="H1135" i="93"/>
  <c r="I1135" i="93"/>
  <c r="I1140" i="93" s="1"/>
  <c r="I1157" i="93"/>
  <c r="H1157" i="93"/>
  <c r="N58" i="73"/>
  <c r="K60" i="73"/>
  <c r="M58" i="73"/>
  <c r="N1136" i="93"/>
  <c r="M1136" i="93"/>
  <c r="N1220" i="94"/>
  <c r="M1220" i="94"/>
  <c r="K1225" i="94"/>
  <c r="H1159" i="93"/>
  <c r="I1159" i="93"/>
  <c r="K861" i="93"/>
  <c r="N1209" i="94"/>
  <c r="M1209" i="94"/>
  <c r="H1149" i="93"/>
  <c r="I1149" i="93"/>
  <c r="I1154" i="93" s="1"/>
  <c r="F1154" i="93"/>
  <c r="N1202" i="94"/>
  <c r="M1202" i="94"/>
  <c r="I51" i="73"/>
  <c r="H51" i="73"/>
  <c r="I1199" i="94"/>
  <c r="H1199" i="94"/>
  <c r="F1204" i="94"/>
  <c r="H63" i="73"/>
  <c r="I63" i="73"/>
  <c r="I1144" i="93"/>
  <c r="H1144" i="93"/>
  <c r="M1152" i="93"/>
  <c r="N1152" i="93"/>
  <c r="K1154" i="93"/>
  <c r="M42" i="73"/>
  <c r="N42" i="73"/>
  <c r="N63" i="73"/>
  <c r="M63" i="73"/>
  <c r="I65" i="73"/>
  <c r="H65" i="73"/>
  <c r="O239" i="75"/>
  <c r="P55" i="66"/>
  <c r="P238" i="75"/>
  <c r="P239" i="75" s="1"/>
  <c r="P230" i="75" s="1"/>
  <c r="P78" i="94"/>
  <c r="I1206" i="94"/>
  <c r="F1211" i="94"/>
  <c r="H1206" i="94"/>
  <c r="H64" i="73"/>
  <c r="I64" i="73"/>
  <c r="I41" i="73"/>
  <c r="H41" i="73"/>
  <c r="F46" i="73"/>
  <c r="I1221" i="94"/>
  <c r="H1221" i="94"/>
  <c r="H50" i="73"/>
  <c r="I50" i="73"/>
  <c r="M1200" i="94"/>
  <c r="N1200" i="94"/>
  <c r="N62" i="73"/>
  <c r="M62" i="73"/>
  <c r="K67" i="73"/>
  <c r="N1157" i="93"/>
  <c r="M1157" i="93"/>
  <c r="I1223" i="94"/>
  <c r="H1223" i="94"/>
  <c r="O851" i="93"/>
  <c r="N819" i="93"/>
  <c r="M1145" i="93"/>
  <c r="N1145" i="93"/>
  <c r="F1218" i="94"/>
  <c r="I1213" i="94"/>
  <c r="I1218" i="94" s="1"/>
  <c r="H1213" i="94"/>
  <c r="H1142" i="93"/>
  <c r="F1147" i="93"/>
  <c r="I1142" i="93"/>
  <c r="I1147" i="93" s="1"/>
  <c r="N1138" i="93"/>
  <c r="M1138" i="93"/>
  <c r="H1158" i="93"/>
  <c r="I1158" i="93"/>
  <c r="H1145" i="93"/>
  <c r="I1145" i="93"/>
  <c r="H1208" i="94"/>
  <c r="I1208" i="94"/>
  <c r="K1218" i="94"/>
  <c r="M1216" i="94"/>
  <c r="N1216" i="94"/>
  <c r="N1218" i="94" s="1"/>
  <c r="N1156" i="93"/>
  <c r="N1161" i="93" s="1"/>
  <c r="K1161" i="93"/>
  <c r="M1156" i="93"/>
  <c r="M1221" i="94"/>
  <c r="N1221" i="94"/>
  <c r="H56" i="66"/>
  <c r="H68" i="93"/>
  <c r="K1625" i="94"/>
  <c r="K467" i="73"/>
  <c r="O871" i="94"/>
  <c r="O865" i="94"/>
  <c r="H77" i="93"/>
  <c r="H79" i="93" s="1"/>
  <c r="H78" i="94"/>
  <c r="H55" i="66"/>
  <c r="H67" i="93"/>
  <c r="L831" i="93"/>
  <c r="O831" i="93" s="1"/>
  <c r="M872" i="93"/>
  <c r="M874" i="93" s="1"/>
  <c r="M876" i="93" s="1"/>
  <c r="H987" i="93"/>
  <c r="H991" i="93"/>
  <c r="H986" i="93"/>
  <c r="O837" i="93"/>
  <c r="P913" i="94"/>
  <c r="N1146" i="93"/>
  <c r="M1146" i="93"/>
  <c r="J872" i="93"/>
  <c r="O870" i="93"/>
  <c r="N45" i="73"/>
  <c r="M45" i="73"/>
  <c r="K46" i="73"/>
  <c r="K863" i="93"/>
  <c r="K843" i="93"/>
  <c r="O857" i="93"/>
  <c r="O818" i="93"/>
  <c r="M819" i="93"/>
  <c r="J67" i="75"/>
  <c r="O65" i="75"/>
  <c r="H1160" i="93"/>
  <c r="I1160" i="93"/>
  <c r="F1161" i="93"/>
  <c r="M1206" i="94"/>
  <c r="K1211" i="94"/>
  <c r="N1206" i="94"/>
  <c r="J815" i="93"/>
  <c r="O813" i="93"/>
  <c r="N864" i="93"/>
  <c r="N841" i="93"/>
  <c r="H84" i="94"/>
  <c r="H93" i="94" s="1"/>
  <c r="H95" i="94" s="1"/>
  <c r="K154" i="75"/>
  <c r="O152" i="75"/>
  <c r="P73" i="93" s="1"/>
  <c r="P75" i="93" s="1"/>
  <c r="P77" i="93" s="1"/>
  <c r="P82" i="93" s="1"/>
  <c r="O865" i="93"/>
  <c r="P943" i="93"/>
  <c r="O943" i="93"/>
  <c r="O868" i="94"/>
  <c r="O861" i="94"/>
  <c r="O897" i="94"/>
  <c r="G100" i="78"/>
  <c r="N52" i="73"/>
  <c r="M52" i="73"/>
  <c r="N863" i="93"/>
  <c r="N843" i="93"/>
  <c r="O858" i="93"/>
  <c r="M1203" i="94"/>
  <c r="N1203" i="94"/>
  <c r="K1204" i="94"/>
  <c r="O1000" i="94"/>
  <c r="P1000" i="94"/>
  <c r="P1001" i="94" s="1"/>
  <c r="O1001" i="94"/>
  <c r="N1624" i="94"/>
  <c r="N466" i="73"/>
  <c r="O75" i="75"/>
  <c r="O76" i="75"/>
  <c r="N1623" i="94"/>
  <c r="O74" i="75"/>
  <c r="O73" i="75"/>
  <c r="L1952" i="93"/>
  <c r="L1953" i="93" s="1"/>
  <c r="M1952" i="93" s="1"/>
  <c r="O72" i="75"/>
  <c r="O77" i="75"/>
  <c r="N465" i="73"/>
  <c r="O71" i="75"/>
  <c r="E13" i="84"/>
  <c r="N48" i="73"/>
  <c r="M48" i="73"/>
  <c r="K53" i="73"/>
  <c r="E987" i="93"/>
  <c r="E991" i="93"/>
  <c r="E986" i="93"/>
  <c r="P910" i="94"/>
  <c r="F45" i="74"/>
  <c r="E55" i="74"/>
  <c r="B971" i="93"/>
  <c r="B972" i="93" s="1"/>
  <c r="J866" i="93"/>
  <c r="O866" i="93" s="1"/>
  <c r="O849" i="93"/>
  <c r="J868" i="93"/>
  <c r="O847" i="93"/>
  <c r="J841" i="93"/>
  <c r="O877" i="94"/>
  <c r="P911" i="94"/>
  <c r="P909" i="94"/>
  <c r="I1224" i="94"/>
  <c r="H1224" i="94"/>
  <c r="F1225" i="94"/>
  <c r="N1142" i="93"/>
  <c r="N1147" i="93" s="1"/>
  <c r="K1147" i="93"/>
  <c r="M1142" i="93"/>
  <c r="O853" i="93"/>
  <c r="J862" i="93"/>
  <c r="J827" i="93"/>
  <c r="O827" i="93" s="1"/>
  <c r="O825" i="93"/>
  <c r="O852" i="93"/>
  <c r="J861" i="93"/>
  <c r="O861" i="93" s="1"/>
  <c r="O942" i="93"/>
  <c r="P942" i="93"/>
  <c r="I61" i="66"/>
  <c r="N876" i="93"/>
  <c r="P64" i="66"/>
  <c r="P61" i="66" s="1"/>
  <c r="P70" i="66" s="1"/>
  <c r="P72" i="66" s="1"/>
  <c r="P75" i="66" s="1"/>
  <c r="P147" i="75"/>
  <c r="O854" i="93"/>
  <c r="O834" i="93"/>
  <c r="O814" i="93"/>
  <c r="O855" i="93"/>
  <c r="O903" i="94"/>
  <c r="H935" i="94"/>
  <c r="O935" i="94" s="1"/>
  <c r="H879" i="93"/>
  <c r="O879" i="93" s="1"/>
  <c r="O173" i="75"/>
  <c r="P84" i="94" s="1"/>
  <c r="P93" i="94" s="1"/>
  <c r="P95" i="94" s="1"/>
  <c r="P98" i="94" s="1"/>
  <c r="N1210" i="94"/>
  <c r="M1210" i="94"/>
  <c r="K841" i="93"/>
  <c r="K864" i="93"/>
  <c r="M862" i="93"/>
  <c r="K868" i="93"/>
  <c r="J863" i="93"/>
  <c r="O850" i="94"/>
  <c r="O825" i="94"/>
  <c r="J827" i="94"/>
  <c r="M159" i="75"/>
  <c r="H10" i="88"/>
  <c r="I10" i="88" s="1"/>
  <c r="F67" i="73"/>
  <c r="F69" i="73" s="1"/>
  <c r="I66" i="73"/>
  <c r="H66" i="73"/>
  <c r="O856" i="93"/>
  <c r="I976" i="93"/>
  <c r="I992" i="93" s="1"/>
  <c r="I972" i="93"/>
  <c r="M1139" i="93"/>
  <c r="N1139" i="93"/>
  <c r="K1140" i="93"/>
  <c r="C987" i="93"/>
  <c r="C991" i="93"/>
  <c r="C986" i="93"/>
  <c r="G991" i="93"/>
  <c r="G987" i="93"/>
  <c r="G986" i="93"/>
  <c r="L863" i="93"/>
  <c r="L843" i="93"/>
  <c r="L867" i="93"/>
  <c r="E1060" i="94"/>
  <c r="D1070" i="94"/>
  <c r="E7" i="88"/>
  <c r="E13" i="88" s="1"/>
  <c r="D12" i="88"/>
  <c r="K817" i="93"/>
  <c r="K819" i="93" s="1"/>
  <c r="O835" i="93"/>
  <c r="N868" i="93"/>
  <c r="M863" i="93"/>
  <c r="M843" i="93"/>
  <c r="O875" i="93"/>
  <c r="P941" i="93"/>
  <c r="O941" i="93"/>
  <c r="P908" i="94"/>
  <c r="J971" i="93"/>
  <c r="J977" i="93"/>
  <c r="K969" i="93"/>
  <c r="J975" i="93"/>
  <c r="J970" i="93"/>
  <c r="M864" i="93"/>
  <c r="M841" i="93"/>
  <c r="J867" i="93"/>
  <c r="O846" i="93"/>
  <c r="I984" i="93"/>
  <c r="I1045" i="94"/>
  <c r="I53" i="82"/>
  <c r="J30" i="74"/>
  <c r="D14" i="74"/>
  <c r="F14" i="74"/>
  <c r="H14" i="74"/>
  <c r="I14" i="74"/>
  <c r="J14" i="74"/>
  <c r="K14" i="74"/>
  <c r="B46" i="74"/>
  <c r="B1029" i="94"/>
  <c r="E14" i="74"/>
  <c r="B15" i="74"/>
  <c r="C14" i="74"/>
  <c r="G14" i="74"/>
  <c r="C52" i="84"/>
  <c r="C46" i="74"/>
  <c r="D46" i="74"/>
  <c r="E46" i="74"/>
  <c r="F46" i="74"/>
  <c r="O829" i="93"/>
  <c r="L841" i="93"/>
  <c r="O845" i="93"/>
  <c r="O844" i="93"/>
  <c r="O899" i="94"/>
  <c r="J916" i="94"/>
  <c r="O914" i="94"/>
  <c r="P912" i="94"/>
  <c r="O822" i="93"/>
  <c r="P907" i="94"/>
  <c r="N53" i="73" l="1"/>
  <c r="F10" i="86"/>
  <c r="E1054" i="94"/>
  <c r="E993" i="93"/>
  <c r="F39" i="74"/>
  <c r="F1227" i="94"/>
  <c r="N1204" i="94"/>
  <c r="N46" i="73"/>
  <c r="O2080" i="94"/>
  <c r="P67" i="93"/>
  <c r="L1968" i="93"/>
  <c r="N60" i="73"/>
  <c r="O238" i="75"/>
  <c r="F1163" i="93"/>
  <c r="F43" i="74"/>
  <c r="E1058" i="94"/>
  <c r="E997" i="93"/>
  <c r="H1201" i="94"/>
  <c r="I1201" i="94"/>
  <c r="I1225" i="94"/>
  <c r="N67" i="73"/>
  <c r="I67" i="73"/>
  <c r="K1227" i="94"/>
  <c r="H1202" i="94"/>
  <c r="I1202" i="94"/>
  <c r="H1138" i="93"/>
  <c r="I1138" i="93"/>
  <c r="H44" i="73"/>
  <c r="I44" i="73"/>
  <c r="I46" i="73" s="1"/>
  <c r="H7" i="84"/>
  <c r="E26" i="89" s="1"/>
  <c r="K1163" i="93"/>
  <c r="O867" i="93"/>
  <c r="O862" i="93"/>
  <c r="I53" i="73"/>
  <c r="I1211" i="94"/>
  <c r="M231" i="75"/>
  <c r="B22" i="74"/>
  <c r="F54" i="74" s="1"/>
  <c r="P936" i="93"/>
  <c r="P231" i="75"/>
  <c r="E172" i="90"/>
  <c r="E173" i="90" s="1"/>
  <c r="C66" i="84"/>
  <c r="B977" i="93"/>
  <c r="P992" i="94"/>
  <c r="P993" i="94" s="1"/>
  <c r="N1225" i="94"/>
  <c r="O864" i="93"/>
  <c r="I84" i="94"/>
  <c r="B976" i="93"/>
  <c r="C1029" i="94"/>
  <c r="K1029" i="94"/>
  <c r="O154" i="75"/>
  <c r="P590" i="93" s="1"/>
  <c r="P591" i="93" s="1"/>
  <c r="P593" i="93" s="1"/>
  <c r="K156" i="75"/>
  <c r="L1704" i="94"/>
  <c r="P1704" i="94" s="1"/>
  <c r="P1703" i="94" s="1"/>
  <c r="P1695" i="94" s="1"/>
  <c r="P2096" i="94" s="1"/>
  <c r="P184" i="94"/>
  <c r="L56" i="72"/>
  <c r="P161" i="66"/>
  <c r="O168" i="93"/>
  <c r="P168" i="93"/>
  <c r="P162" i="66"/>
  <c r="F488" i="94"/>
  <c r="P186" i="94"/>
  <c r="K56" i="72"/>
  <c r="P163" i="66"/>
  <c r="F43" i="78"/>
  <c r="P167" i="93"/>
  <c r="J56" i="72"/>
  <c r="K1704" i="94"/>
  <c r="P185" i="94"/>
  <c r="J1599" i="93"/>
  <c r="F479" i="93"/>
  <c r="O916" i="94"/>
  <c r="J918" i="94"/>
  <c r="O918" i="94" s="1"/>
  <c r="E1061" i="94"/>
  <c r="I52" i="84"/>
  <c r="E52" i="84"/>
  <c r="K52" i="84"/>
  <c r="G52" i="84"/>
  <c r="E1029" i="94"/>
  <c r="J1029" i="94"/>
  <c r="F1029" i="94"/>
  <c r="K970" i="93"/>
  <c r="K977" i="93"/>
  <c r="K975" i="93"/>
  <c r="B999" i="93"/>
  <c r="K971" i="93"/>
  <c r="E1070" i="94"/>
  <c r="F1060" i="94"/>
  <c r="O841" i="93"/>
  <c r="J590" i="93"/>
  <c r="I75" i="75"/>
  <c r="P75" i="75"/>
  <c r="J817" i="93"/>
  <c r="O815" i="93"/>
  <c r="H7" i="88"/>
  <c r="J159" i="75"/>
  <c r="O67" i="75"/>
  <c r="H1029" i="94"/>
  <c r="O827" i="94"/>
  <c r="J829" i="94"/>
  <c r="O829" i="94" s="1"/>
  <c r="P76" i="75"/>
  <c r="I76" i="75" s="1"/>
  <c r="G545" i="94"/>
  <c r="J545" i="94" s="1"/>
  <c r="G536" i="93"/>
  <c r="J536" i="93" s="1"/>
  <c r="D1061" i="94"/>
  <c r="G1029" i="94"/>
  <c r="I1029" i="94"/>
  <c r="D1029" i="94"/>
  <c r="H16" i="85"/>
  <c r="K18" i="88"/>
  <c r="P77" i="75"/>
  <c r="I77" i="75"/>
  <c r="N1211" i="94"/>
  <c r="C15" i="74"/>
  <c r="C1030" i="94" s="1"/>
  <c r="H15" i="74"/>
  <c r="H1030" i="94" s="1"/>
  <c r="I15" i="74"/>
  <c r="I1030" i="94" s="1"/>
  <c r="K15" i="74"/>
  <c r="K1030" i="94" s="1"/>
  <c r="D15" i="74"/>
  <c r="D1030" i="94" s="1"/>
  <c r="J15" i="74"/>
  <c r="J1030" i="94" s="1"/>
  <c r="C47" i="74"/>
  <c r="C1062" i="94" s="1"/>
  <c r="D47" i="74"/>
  <c r="D1062" i="94" s="1"/>
  <c r="B1030" i="94"/>
  <c r="F15" i="74"/>
  <c r="F1030" i="94" s="1"/>
  <c r="C53" i="84"/>
  <c r="B47" i="74"/>
  <c r="B1062" i="94" s="1"/>
  <c r="E15" i="74"/>
  <c r="E1030" i="94" s="1"/>
  <c r="G15" i="74"/>
  <c r="G1030" i="94" s="1"/>
  <c r="E47" i="74"/>
  <c r="E1062" i="94" s="1"/>
  <c r="F47" i="74"/>
  <c r="F1062" i="94" s="1"/>
  <c r="P74" i="75"/>
  <c r="I74" i="75" s="1"/>
  <c r="O843" i="93"/>
  <c r="F1061" i="94"/>
  <c r="C1061" i="94"/>
  <c r="B1061" i="94"/>
  <c r="B16" i="74"/>
  <c r="K5" i="74" s="1"/>
  <c r="J1045" i="94"/>
  <c r="K30" i="74"/>
  <c r="J53" i="82"/>
  <c r="J984" i="93"/>
  <c r="J972" i="93"/>
  <c r="I978" i="93"/>
  <c r="O863" i="93"/>
  <c r="P488" i="94"/>
  <c r="P43" i="78"/>
  <c r="K13" i="84"/>
  <c r="H20" i="84" s="1"/>
  <c r="P479" i="93"/>
  <c r="O868" i="93"/>
  <c r="F55" i="74"/>
  <c r="G45" i="74"/>
  <c r="P71" i="75"/>
  <c r="I71" i="75" s="1"/>
  <c r="P72" i="75"/>
  <c r="I72" i="75"/>
  <c r="P73" i="75"/>
  <c r="I73" i="75" s="1"/>
  <c r="J100" i="78"/>
  <c r="K69" i="73"/>
  <c r="O872" i="93"/>
  <c r="J874" i="93"/>
  <c r="M69" i="73" l="1"/>
  <c r="M1163" i="93" s="1"/>
  <c r="F1054" i="94"/>
  <c r="F993" i="93"/>
  <c r="G39" i="74"/>
  <c r="G10" i="86"/>
  <c r="F1058" i="94"/>
  <c r="F997" i="93"/>
  <c r="G43" i="74"/>
  <c r="I1204" i="94"/>
  <c r="H1227" i="94" s="1"/>
  <c r="E47" i="92"/>
  <c r="J154" i="78"/>
  <c r="H69" i="73"/>
  <c r="H1163" i="93" s="1"/>
  <c r="B48" i="74"/>
  <c r="B1063" i="94" s="1"/>
  <c r="F48" i="74"/>
  <c r="F1063" i="94" s="1"/>
  <c r="P154" i="78"/>
  <c r="P155" i="78" s="1"/>
  <c r="P157" i="78" s="1"/>
  <c r="M154" i="78"/>
  <c r="M155" i="78" s="1"/>
  <c r="M157" i="78" s="1"/>
  <c r="J599" i="94"/>
  <c r="M993" i="94"/>
  <c r="M1227" i="94"/>
  <c r="M599" i="94"/>
  <c r="M600" i="94" s="1"/>
  <c r="M602" i="94" s="1"/>
  <c r="B21" i="74"/>
  <c r="P221" i="75" s="1"/>
  <c r="J4" i="91"/>
  <c r="D16" i="74"/>
  <c r="D1031" i="94" s="1"/>
  <c r="E16" i="74"/>
  <c r="E1031" i="94" s="1"/>
  <c r="K66" i="84"/>
  <c r="I66" i="84"/>
  <c r="G66" i="84"/>
  <c r="E66" i="84"/>
  <c r="B1037" i="94"/>
  <c r="B54" i="74"/>
  <c r="I22" i="74"/>
  <c r="C54" i="74"/>
  <c r="C13" i="86"/>
  <c r="C22" i="74"/>
  <c r="K22" i="74"/>
  <c r="D54" i="74"/>
  <c r="G22" i="74"/>
  <c r="E22" i="74"/>
  <c r="H22" i="74"/>
  <c r="F22" i="74"/>
  <c r="D22" i="74"/>
  <c r="J22" i="74"/>
  <c r="E54" i="74"/>
  <c r="D48" i="74"/>
  <c r="D1063" i="94" s="1"/>
  <c r="E48" i="74"/>
  <c r="E1063" i="94" s="1"/>
  <c r="I16" i="74"/>
  <c r="I1031" i="94" s="1"/>
  <c r="O874" i="93"/>
  <c r="J876" i="93"/>
  <c r="O876" i="93" s="1"/>
  <c r="O156" i="75"/>
  <c r="K159" i="75"/>
  <c r="H45" i="74"/>
  <c r="G55" i="74"/>
  <c r="G54" i="74"/>
  <c r="G46" i="74"/>
  <c r="J976" i="93"/>
  <c r="J992" i="93" s="1"/>
  <c r="G47" i="74"/>
  <c r="G1062" i="94" s="1"/>
  <c r="K972" i="93"/>
  <c r="K976" i="93" s="1"/>
  <c r="K992" i="93" s="1"/>
  <c r="L1606" i="93"/>
  <c r="P56" i="72"/>
  <c r="F489" i="94"/>
  <c r="F44" i="78"/>
  <c r="F480" i="93"/>
  <c r="P599" i="94"/>
  <c r="P600" i="94" s="1"/>
  <c r="P602" i="94" s="1"/>
  <c r="M590" i="93"/>
  <c r="M591" i="93" s="1"/>
  <c r="M593" i="93" s="1"/>
  <c r="K16" i="74"/>
  <c r="K19" i="74" s="1"/>
  <c r="F1069" i="94"/>
  <c r="C53" i="86"/>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I811" i="94"/>
  <c r="J995" i="94"/>
  <c r="J993" i="94"/>
  <c r="I810" i="94"/>
  <c r="J994" i="94"/>
  <c r="H16" i="74"/>
  <c r="H1031" i="94" s="1"/>
  <c r="J819" i="93"/>
  <c r="O819" i="93" s="1"/>
  <c r="O817" i="93"/>
  <c r="F16" i="74"/>
  <c r="F1031" i="94" s="1"/>
  <c r="B1031" i="94"/>
  <c r="C54" i="84"/>
  <c r="C56" i="84" s="1"/>
  <c r="C64" i="84" s="1"/>
  <c r="C48" i="74"/>
  <c r="C53" i="74" s="1"/>
  <c r="G16" i="74"/>
  <c r="G1031" i="94" s="1"/>
  <c r="D53" i="74"/>
  <c r="I7" i="88"/>
  <c r="I13" i="88" s="1"/>
  <c r="H12" i="88"/>
  <c r="D34" i="90" s="1"/>
  <c r="P944" i="93"/>
  <c r="P945" i="93" s="1"/>
  <c r="M937" i="93" s="1"/>
  <c r="O944" i="93"/>
  <c r="O945" i="93"/>
  <c r="P937" i="93" s="1"/>
  <c r="C999" i="93"/>
  <c r="B1007" i="93"/>
  <c r="B1000" i="93"/>
  <c r="B1005" i="93"/>
  <c r="B1001" i="93"/>
  <c r="F19" i="74"/>
  <c r="E21" i="74"/>
  <c r="B19" i="74"/>
  <c r="K1606" i="93"/>
  <c r="O56" i="72"/>
  <c r="C16" i="74"/>
  <c r="C1031" i="94" s="1"/>
  <c r="I987" i="93"/>
  <c r="I991" i="93"/>
  <c r="I986" i="93"/>
  <c r="O1385" i="94"/>
  <c r="J488" i="94"/>
  <c r="N113" i="94"/>
  <c r="N467" i="73"/>
  <c r="F124" i="78"/>
  <c r="O427" i="72"/>
  <c r="O428" i="72" s="1"/>
  <c r="N87" i="66"/>
  <c r="O1980" i="93"/>
  <c r="O1981" i="93" s="1"/>
  <c r="E483" i="93"/>
  <c r="C13" i="84"/>
  <c r="O2075" i="94"/>
  <c r="O2076" i="94" s="1"/>
  <c r="M1467" i="94"/>
  <c r="L1467" i="94" s="1"/>
  <c r="E492" i="94"/>
  <c r="O155" i="72"/>
  <c r="O227" i="73"/>
  <c r="L1951" i="93"/>
  <c r="E47" i="78"/>
  <c r="G47" i="78" s="1"/>
  <c r="O1975" i="93"/>
  <c r="O1976" i="93" s="1"/>
  <c r="N97" i="93"/>
  <c r="F569" i="94"/>
  <c r="P228" i="75"/>
  <c r="H293" i="72"/>
  <c r="E78" i="78"/>
  <c r="J233" i="75"/>
  <c r="F560" i="93"/>
  <c r="J43" i="78"/>
  <c r="M306" i="73"/>
  <c r="J232" i="75"/>
  <c r="O433" i="72"/>
  <c r="O434" i="72" s="1"/>
  <c r="O2081" i="94"/>
  <c r="O2082" i="94" s="1"/>
  <c r="N1625" i="94"/>
  <c r="M1464" i="94"/>
  <c r="L1464" i="94" s="1"/>
  <c r="E523" i="94"/>
  <c r="N110" i="94"/>
  <c r="N90" i="66"/>
  <c r="E514" i="93"/>
  <c r="M309" i="73"/>
  <c r="J231" i="75"/>
  <c r="N94" i="93"/>
  <c r="J1836" i="93"/>
  <c r="L1836" i="93" s="1"/>
  <c r="M1962" i="93"/>
  <c r="J479" i="93"/>
  <c r="N1628" i="94"/>
  <c r="O1628" i="94" s="1"/>
  <c r="N470" i="73"/>
  <c r="O470" i="73" s="1"/>
  <c r="F51" i="74"/>
  <c r="I53" i="84"/>
  <c r="I54" i="84" s="1"/>
  <c r="E53" i="84"/>
  <c r="E54" i="84" s="1"/>
  <c r="G53" i="84"/>
  <c r="G54" i="84" s="1"/>
  <c r="K53" i="84"/>
  <c r="K54" i="84" s="1"/>
  <c r="F54" i="89"/>
  <c r="D33" i="90" s="1"/>
  <c r="G1060" i="94"/>
  <c r="F1070" i="94"/>
  <c r="J16" i="74"/>
  <c r="J1031" i="94" s="1"/>
  <c r="P1654" i="94"/>
  <c r="P2099" i="94"/>
  <c r="H10" i="86" l="1"/>
  <c r="G993" i="93"/>
  <c r="G1054" i="94"/>
  <c r="H39" i="74"/>
  <c r="E19" i="74"/>
  <c r="H19" i="74"/>
  <c r="J47" i="78"/>
  <c r="G492" i="94"/>
  <c r="F492" i="94" s="1"/>
  <c r="G483" i="93"/>
  <c r="F483" i="93" s="1"/>
  <c r="F47" i="78"/>
  <c r="G997" i="93"/>
  <c r="G1058" i="94"/>
  <c r="H43" i="74"/>
  <c r="G19" i="74"/>
  <c r="F21" i="74"/>
  <c r="K7" i="74"/>
  <c r="B1036" i="94"/>
  <c r="F53" i="74"/>
  <c r="P63" i="73"/>
  <c r="K13" i="88" s="1"/>
  <c r="B53" i="74"/>
  <c r="B1068" i="94" s="1"/>
  <c r="I21" i="74"/>
  <c r="B51" i="74"/>
  <c r="B1066" i="94" s="1"/>
  <c r="C21" i="74"/>
  <c r="C1036" i="94" s="1"/>
  <c r="P927" i="93"/>
  <c r="P932" i="93" s="1"/>
  <c r="D51" i="74"/>
  <c r="D1066" i="94" s="1"/>
  <c r="E53" i="74"/>
  <c r="E1068" i="94" s="1"/>
  <c r="E51" i="74"/>
  <c r="E1066" i="94" s="1"/>
  <c r="D19" i="74"/>
  <c r="D1034" i="94" s="1"/>
  <c r="H21" i="74"/>
  <c r="H1036" i="94" s="1"/>
  <c r="F1037" i="94"/>
  <c r="G13" i="86"/>
  <c r="D1069" i="94"/>
  <c r="H33" i="86"/>
  <c r="G33" i="86"/>
  <c r="C1069" i="94"/>
  <c r="D21" i="74"/>
  <c r="D1036" i="94" s="1"/>
  <c r="I19" i="74"/>
  <c r="I1034" i="94" s="1"/>
  <c r="E1069" i="94"/>
  <c r="I33" i="86"/>
  <c r="I13" i="86"/>
  <c r="H1037" i="94"/>
  <c r="E33" i="86"/>
  <c r="K1037" i="94"/>
  <c r="C33" i="86"/>
  <c r="I1037" i="94"/>
  <c r="D33" i="86"/>
  <c r="J1037" i="94"/>
  <c r="E1037" i="94"/>
  <c r="F13" i="86"/>
  <c r="C1037" i="94"/>
  <c r="D13" i="86"/>
  <c r="B1069" i="94"/>
  <c r="F33" i="86"/>
  <c r="E13" i="86"/>
  <c r="D1037" i="94"/>
  <c r="H13" i="86"/>
  <c r="G1037" i="94"/>
  <c r="C1068" i="94"/>
  <c r="B1002" i="93"/>
  <c r="J939" i="93"/>
  <c r="J938" i="93"/>
  <c r="J937" i="93"/>
  <c r="F1036" i="94"/>
  <c r="H1034" i="94"/>
  <c r="F1066" i="94"/>
  <c r="K56" i="84"/>
  <c r="K64" i="84" s="1"/>
  <c r="F1034" i="94"/>
  <c r="D1068" i="94"/>
  <c r="C19" i="74"/>
  <c r="K978" i="93"/>
  <c r="G21" i="74"/>
  <c r="F1068" i="94"/>
  <c r="D53" i="86"/>
  <c r="G1069" i="94"/>
  <c r="J489" i="94"/>
  <c r="J44" i="78"/>
  <c r="J480" i="93"/>
  <c r="J21" i="74"/>
  <c r="D35" i="90"/>
  <c r="I64" i="92" s="1"/>
  <c r="D55" i="92"/>
  <c r="K1628" i="94"/>
  <c r="N1627" i="94"/>
  <c r="L306" i="73"/>
  <c r="M1395" i="93"/>
  <c r="L1395" i="93" s="1"/>
  <c r="K470" i="73"/>
  <c r="N469" i="73"/>
  <c r="O1606" i="93"/>
  <c r="O55" i="72"/>
  <c r="O1704" i="94"/>
  <c r="B1034" i="94"/>
  <c r="C1000" i="93"/>
  <c r="C1001" i="93"/>
  <c r="C1005" i="93"/>
  <c r="D999" i="93"/>
  <c r="C1007" i="93"/>
  <c r="K1031" i="94"/>
  <c r="K21" i="74"/>
  <c r="E56" i="84"/>
  <c r="E64" i="84" s="1"/>
  <c r="J978" i="93"/>
  <c r="I1036" i="94"/>
  <c r="C68" i="84"/>
  <c r="N223" i="75"/>
  <c r="P226" i="75"/>
  <c r="M226" i="75" s="1"/>
  <c r="P983" i="94"/>
  <c r="N222" i="75"/>
  <c r="P1606" i="93"/>
  <c r="P55" i="72"/>
  <c r="G48" i="74"/>
  <c r="G1063" i="94" s="1"/>
  <c r="G1061" i="94"/>
  <c r="I56" i="84"/>
  <c r="I64" i="84" s="1"/>
  <c r="K1034" i="94"/>
  <c r="E1034" i="94"/>
  <c r="G1070" i="94"/>
  <c r="H1060" i="94"/>
  <c r="G1034" i="94"/>
  <c r="L309" i="73"/>
  <c r="M1399" i="93"/>
  <c r="L1399" i="93" s="1"/>
  <c r="O293" i="72"/>
  <c r="H1941" i="94"/>
  <c r="P293" i="72"/>
  <c r="O1709" i="93"/>
  <c r="O1803" i="94"/>
  <c r="O153" i="72"/>
  <c r="D17" i="83"/>
  <c r="A9" i="83"/>
  <c r="H19" i="84"/>
  <c r="K19" i="88"/>
  <c r="F16" i="85"/>
  <c r="F52" i="89"/>
  <c r="E1036" i="94"/>
  <c r="C1063" i="94"/>
  <c r="C51" i="74"/>
  <c r="B73" i="82"/>
  <c r="B1014" i="93"/>
  <c r="C62" i="74"/>
  <c r="J19" i="74"/>
  <c r="H55" i="74"/>
  <c r="I45" i="74"/>
  <c r="H54" i="74"/>
  <c r="H46" i="74"/>
  <c r="H47" i="74"/>
  <c r="H1062" i="94" s="1"/>
  <c r="G56" i="84"/>
  <c r="G64" i="84" s="1"/>
  <c r="I10" i="86" l="1"/>
  <c r="I39" i="74"/>
  <c r="H993" i="93"/>
  <c r="H1054" i="94"/>
  <c r="J492" i="94"/>
  <c r="J577" i="94" s="1"/>
  <c r="J594" i="94" s="1"/>
  <c r="J596" i="94" s="1"/>
  <c r="J598" i="94" s="1"/>
  <c r="J600" i="94" s="1"/>
  <c r="J602" i="94" s="1"/>
  <c r="J483" i="93"/>
  <c r="J568" i="93" s="1"/>
  <c r="J585" i="93" s="1"/>
  <c r="J587" i="93" s="1"/>
  <c r="J589" i="93" s="1"/>
  <c r="J591" i="93" s="1"/>
  <c r="J593" i="93" s="1"/>
  <c r="J594" i="93" s="1"/>
  <c r="J132" i="78"/>
  <c r="J149" i="78" s="1"/>
  <c r="I43" i="74"/>
  <c r="H997" i="93"/>
  <c r="H1058" i="94"/>
  <c r="J162" i="78"/>
  <c r="J607" i="94"/>
  <c r="P1157" i="93"/>
  <c r="J598" i="93"/>
  <c r="N929" i="93"/>
  <c r="N928" i="93"/>
  <c r="G51" i="74"/>
  <c r="G1066" i="94" s="1"/>
  <c r="G53" i="74"/>
  <c r="G1068" i="94" s="1"/>
  <c r="H1061" i="94"/>
  <c r="H48" i="74"/>
  <c r="H1063" i="94" s="1"/>
  <c r="I55" i="74"/>
  <c r="J45" i="74"/>
  <c r="I54" i="74"/>
  <c r="I46" i="74"/>
  <c r="I47" i="74"/>
  <c r="I1062" i="94" s="1"/>
  <c r="C1066" i="94"/>
  <c r="P1836" i="93"/>
  <c r="P277" i="72"/>
  <c r="G68" i="84"/>
  <c r="I68" i="84"/>
  <c r="I70" i="84" s="1"/>
  <c r="K68" i="84"/>
  <c r="K70" i="84" s="1"/>
  <c r="E68" i="84"/>
  <c r="E70" i="84" s="1"/>
  <c r="E999" i="93"/>
  <c r="D1001" i="93"/>
  <c r="D1000" i="93"/>
  <c r="D1007" i="93"/>
  <c r="D1005" i="93"/>
  <c r="G1036" i="94"/>
  <c r="E53" i="86"/>
  <c r="H1069" i="94"/>
  <c r="G70" i="84"/>
  <c r="J1034" i="94"/>
  <c r="C1014" i="93"/>
  <c r="C73" i="82"/>
  <c r="D62" i="74"/>
  <c r="I39" i="88"/>
  <c r="K21" i="88"/>
  <c r="O1801" i="94"/>
  <c r="O1707" i="93"/>
  <c r="K235" i="72"/>
  <c r="E12" i="72"/>
  <c r="N985" i="94"/>
  <c r="P988" i="94"/>
  <c r="N984" i="94"/>
  <c r="K1036" i="94"/>
  <c r="J1036" i="94"/>
  <c r="K987" i="93"/>
  <c r="K991" i="93"/>
  <c r="K986" i="93"/>
  <c r="B1006" i="93"/>
  <c r="B1022" i="93" s="1"/>
  <c r="C70" i="84"/>
  <c r="O1836" i="93"/>
  <c r="O1941" i="94"/>
  <c r="O277" i="72"/>
  <c r="L229" i="72" s="1"/>
  <c r="P47" i="72"/>
  <c r="P1605" i="93"/>
  <c r="F122" i="78"/>
  <c r="G122" i="78" s="1"/>
  <c r="B975" i="93"/>
  <c r="F557" i="93"/>
  <c r="F567" i="94"/>
  <c r="P241" i="75"/>
  <c r="B20" i="74"/>
  <c r="F121" i="78"/>
  <c r="G121" i="78" s="1"/>
  <c r="O227" i="75"/>
  <c r="F558" i="93"/>
  <c r="F566" i="94"/>
  <c r="P947" i="93"/>
  <c r="O933" i="93"/>
  <c r="M932" i="93"/>
  <c r="C1034" i="94"/>
  <c r="H1070" i="94"/>
  <c r="I1060" i="94"/>
  <c r="J991" i="93"/>
  <c r="J987" i="93"/>
  <c r="J986" i="93"/>
  <c r="C1002" i="93"/>
  <c r="C1006" i="93" s="1"/>
  <c r="C1022" i="93" s="1"/>
  <c r="O1605" i="93"/>
  <c r="O47" i="72"/>
  <c r="O1703" i="94"/>
  <c r="S121" i="78" l="1"/>
  <c r="G566" i="94"/>
  <c r="J566" i="94" s="1"/>
  <c r="G557" i="93"/>
  <c r="J557" i="93" s="1"/>
  <c r="F75" i="89"/>
  <c r="E183" i="90" s="1"/>
  <c r="J121" i="78"/>
  <c r="I993" i="93"/>
  <c r="J39" i="74"/>
  <c r="I1054" i="94"/>
  <c r="C30" i="86"/>
  <c r="J151" i="78"/>
  <c r="J153" i="78" s="1"/>
  <c r="J155" i="78" s="1"/>
  <c r="E3" i="86"/>
  <c r="S122" i="78"/>
  <c r="K24" i="88"/>
  <c r="G126" i="78"/>
  <c r="G567" i="94"/>
  <c r="J122" i="78"/>
  <c r="F71" i="89"/>
  <c r="E166" i="90" s="1"/>
  <c r="G558" i="93"/>
  <c r="J43" i="74"/>
  <c r="I997" i="93"/>
  <c r="I1058" i="94"/>
  <c r="H53" i="74"/>
  <c r="H51" i="74"/>
  <c r="C1008" i="93"/>
  <c r="I1070" i="94"/>
  <c r="J1060" i="94"/>
  <c r="P1597" i="93"/>
  <c r="G76" i="84"/>
  <c r="G73" i="84" s="1"/>
  <c r="G72" i="84"/>
  <c r="J55" i="74"/>
  <c r="K45" i="74"/>
  <c r="J54" i="74"/>
  <c r="J46" i="74"/>
  <c r="J47" i="74"/>
  <c r="J1062" i="94" s="1"/>
  <c r="F20" i="74"/>
  <c r="H20" i="74"/>
  <c r="J20" i="74"/>
  <c r="B1035" i="94"/>
  <c r="B1039" i="94" s="1"/>
  <c r="D20" i="74"/>
  <c r="I20" i="74"/>
  <c r="E20" i="74"/>
  <c r="B52" i="74"/>
  <c r="C20" i="74"/>
  <c r="G20" i="74"/>
  <c r="K20" i="74"/>
  <c r="C52" i="74"/>
  <c r="D52" i="74"/>
  <c r="E52" i="74"/>
  <c r="F52" i="74"/>
  <c r="G52" i="74"/>
  <c r="J52" i="74"/>
  <c r="J1067" i="94" s="1"/>
  <c r="H52" i="74"/>
  <c r="H1067" i="94" s="1"/>
  <c r="K52" i="74"/>
  <c r="K1067" i="94" s="1"/>
  <c r="I52" i="74"/>
  <c r="I1067" i="94" s="1"/>
  <c r="B38" i="74"/>
  <c r="B1053" i="94" s="1"/>
  <c r="B24" i="74"/>
  <c r="B978" i="93"/>
  <c r="B992" i="93"/>
  <c r="C76" i="84"/>
  <c r="C73" i="84" s="1"/>
  <c r="C72" i="84"/>
  <c r="P1003" i="94"/>
  <c r="M988" i="94"/>
  <c r="O989" i="94"/>
  <c r="F999" i="93"/>
  <c r="E1007" i="93"/>
  <c r="E1000" i="93"/>
  <c r="E1005" i="93"/>
  <c r="E1001" i="93"/>
  <c r="P1824" i="93"/>
  <c r="P189" i="72"/>
  <c r="P448" i="72" s="1"/>
  <c r="L236" i="72"/>
  <c r="K236" i="72"/>
  <c r="O1925" i="94"/>
  <c r="O1824" i="93"/>
  <c r="E76" i="84"/>
  <c r="E73" i="84" s="1"/>
  <c r="E72" i="84"/>
  <c r="I1061" i="94"/>
  <c r="I48" i="74"/>
  <c r="I1063" i="94" s="1"/>
  <c r="H1068" i="94"/>
  <c r="O1695" i="94"/>
  <c r="R1695" i="94" s="1"/>
  <c r="O1597" i="93"/>
  <c r="R47" i="72"/>
  <c r="K72" i="84"/>
  <c r="K76" i="84"/>
  <c r="K73" i="84" s="1"/>
  <c r="I72" i="84"/>
  <c r="I76" i="84"/>
  <c r="I73" i="84" s="1"/>
  <c r="O189" i="72"/>
  <c r="O448" i="72" s="1"/>
  <c r="D73" i="82"/>
  <c r="D1014" i="93"/>
  <c r="E62" i="74"/>
  <c r="D1002" i="93"/>
  <c r="D1006" i="93" s="1"/>
  <c r="D1022" i="93" s="1"/>
  <c r="F53" i="86"/>
  <c r="I1069" i="94"/>
  <c r="B1008" i="93"/>
  <c r="S566" i="94" l="1"/>
  <c r="S557" i="93"/>
  <c r="D30" i="86"/>
  <c r="K39" i="74"/>
  <c r="E30" i="86"/>
  <c r="J993" i="93"/>
  <c r="J1054" i="94"/>
  <c r="H70" i="74"/>
  <c r="H1085" i="94" s="1"/>
  <c r="I35" i="86"/>
  <c r="G15" i="86"/>
  <c r="H35" i="86"/>
  <c r="O17" i="86"/>
  <c r="D55" i="86"/>
  <c r="I15" i="86"/>
  <c r="O16" i="86"/>
  <c r="E15" i="86"/>
  <c r="G55" i="86"/>
  <c r="F55" i="86"/>
  <c r="F35" i="86"/>
  <c r="D15" i="86"/>
  <c r="C55" i="86"/>
  <c r="F15" i="86"/>
  <c r="G35" i="86"/>
  <c r="E55" i="86"/>
  <c r="E35" i="86"/>
  <c r="C35" i="86"/>
  <c r="C15" i="86"/>
  <c r="H55" i="86"/>
  <c r="D35" i="86"/>
  <c r="H15" i="86"/>
  <c r="G15" i="82"/>
  <c r="G19" i="82" s="1"/>
  <c r="J157" i="78"/>
  <c r="J158" i="78" s="1"/>
  <c r="J603" i="94" s="1"/>
  <c r="J567" i="94"/>
  <c r="G571" i="94"/>
  <c r="J558" i="93"/>
  <c r="G562" i="93"/>
  <c r="S558" i="93"/>
  <c r="S126" i="78"/>
  <c r="S567" i="94"/>
  <c r="S571" i="94" s="1"/>
  <c r="J1058" i="94"/>
  <c r="K43" i="74"/>
  <c r="J997" i="93"/>
  <c r="H56" i="74"/>
  <c r="H69" i="74" s="1"/>
  <c r="H1084" i="94" s="1"/>
  <c r="H1066" i="94"/>
  <c r="I51" i="74"/>
  <c r="I1066" i="94" s="1"/>
  <c r="I53" i="74"/>
  <c r="P451" i="72"/>
  <c r="P6" i="72"/>
  <c r="R1995" i="93"/>
  <c r="O2096" i="94"/>
  <c r="O1654" i="94" s="1"/>
  <c r="O6" i="72"/>
  <c r="H1071" i="94"/>
  <c r="G1067" i="94"/>
  <c r="G1071" i="94" s="1"/>
  <c r="G70" i="74"/>
  <c r="G1085" i="94" s="1"/>
  <c r="G56" i="74"/>
  <c r="C1067" i="94"/>
  <c r="C1071" i="94" s="1"/>
  <c r="C70" i="74"/>
  <c r="C1085" i="94" s="1"/>
  <c r="C56" i="74"/>
  <c r="B1067" i="94"/>
  <c r="B1071" i="94" s="1"/>
  <c r="B56" i="74"/>
  <c r="B70" i="74"/>
  <c r="B1085" i="94" s="1"/>
  <c r="D1008" i="93"/>
  <c r="H65" i="74"/>
  <c r="H1080" i="94" s="1"/>
  <c r="F1007" i="93"/>
  <c r="G999" i="93"/>
  <c r="F1005" i="93"/>
  <c r="F1001" i="93"/>
  <c r="F1000" i="93"/>
  <c r="F1067" i="94"/>
  <c r="F1071" i="94" s="1"/>
  <c r="F70" i="74"/>
  <c r="F1085" i="94" s="1"/>
  <c r="F56" i="74"/>
  <c r="K1035" i="94"/>
  <c r="K1039" i="94" s="1"/>
  <c r="K24" i="74"/>
  <c r="K38" i="74"/>
  <c r="K1053" i="94" s="1"/>
  <c r="E1035" i="94"/>
  <c r="E1039" i="94" s="1"/>
  <c r="E38" i="74"/>
  <c r="E1053" i="94" s="1"/>
  <c r="E24" i="74"/>
  <c r="J1035" i="94"/>
  <c r="J1039" i="94" s="1"/>
  <c r="J24" i="74"/>
  <c r="J38" i="74"/>
  <c r="J1053" i="94" s="1"/>
  <c r="J48" i="74"/>
  <c r="J1063" i="94" s="1"/>
  <c r="J1061" i="94"/>
  <c r="K1060" i="94"/>
  <c r="J1070" i="94"/>
  <c r="R1597" i="93"/>
  <c r="B987" i="93"/>
  <c r="B986" i="93"/>
  <c r="B991" i="93"/>
  <c r="E1067" i="94"/>
  <c r="E1071" i="94" s="1"/>
  <c r="E70" i="74"/>
  <c r="E1085" i="94" s="1"/>
  <c r="E56" i="74"/>
  <c r="G1035" i="94"/>
  <c r="G1039" i="94" s="1"/>
  <c r="G24" i="74"/>
  <c r="G38" i="74"/>
  <c r="G1053" i="94" s="1"/>
  <c r="I1035" i="94"/>
  <c r="I1039" i="94" s="1"/>
  <c r="I38" i="74"/>
  <c r="I1053" i="94" s="1"/>
  <c r="I24" i="74"/>
  <c r="H1035" i="94"/>
  <c r="H1039" i="94" s="1"/>
  <c r="H38" i="74"/>
  <c r="H1053" i="94" s="1"/>
  <c r="H24" i="74"/>
  <c r="J1069" i="94"/>
  <c r="G53" i="86"/>
  <c r="B1021" i="93"/>
  <c r="B1017" i="93"/>
  <c r="B1016" i="93"/>
  <c r="O1743" i="93"/>
  <c r="O1995" i="93" s="1"/>
  <c r="O1560" i="93" s="1"/>
  <c r="O1837" i="94"/>
  <c r="K231" i="72"/>
  <c r="K1783" i="93" s="1"/>
  <c r="E13" i="72"/>
  <c r="E1014" i="93"/>
  <c r="F62" i="74"/>
  <c r="E73" i="82"/>
  <c r="L231" i="72"/>
  <c r="L1783" i="93" s="1"/>
  <c r="P1743" i="93"/>
  <c r="P1995" i="93" s="1"/>
  <c r="E1002" i="93"/>
  <c r="E1006" i="93" s="1"/>
  <c r="B33" i="74"/>
  <c r="B1048" i="94" s="1"/>
  <c r="B37" i="74"/>
  <c r="B1052" i="94" s="1"/>
  <c r="B44" i="82"/>
  <c r="B32" i="74"/>
  <c r="D1067" i="94"/>
  <c r="D1071" i="94" s="1"/>
  <c r="D70" i="74"/>
  <c r="D1085" i="94" s="1"/>
  <c r="D56" i="74"/>
  <c r="C1035" i="94"/>
  <c r="C1039" i="94" s="1"/>
  <c r="C38" i="74"/>
  <c r="C1053" i="94" s="1"/>
  <c r="C24" i="74"/>
  <c r="D1035" i="94"/>
  <c r="D1039" i="94" s="1"/>
  <c r="D38" i="74"/>
  <c r="D1053" i="94" s="1"/>
  <c r="D24" i="74"/>
  <c r="F1035" i="94"/>
  <c r="F1039" i="94" s="1"/>
  <c r="F24" i="74"/>
  <c r="F38" i="74"/>
  <c r="F1053" i="94" s="1"/>
  <c r="B77" i="74"/>
  <c r="K55" i="74"/>
  <c r="K54" i="74"/>
  <c r="K46" i="74"/>
  <c r="K47" i="74"/>
  <c r="K1062" i="94" s="1"/>
  <c r="C1017" i="93"/>
  <c r="C1021" i="93"/>
  <c r="C1016" i="93"/>
  <c r="S562" i="93" l="1"/>
  <c r="K1054" i="94"/>
  <c r="B71" i="74"/>
  <c r="F30" i="86" s="1"/>
  <c r="K993" i="93"/>
  <c r="O19" i="86"/>
  <c r="O23" i="86" s="1"/>
  <c r="O25" i="86" s="1"/>
  <c r="O31" i="86" s="1"/>
  <c r="H64" i="82"/>
  <c r="H71" i="82" s="1"/>
  <c r="K997" i="93"/>
  <c r="B75" i="74"/>
  <c r="K1058" i="94"/>
  <c r="I56" i="74"/>
  <c r="I64" i="82" s="1"/>
  <c r="S985" i="93"/>
  <c r="I1068" i="94"/>
  <c r="I1071" i="94" s="1"/>
  <c r="I70" i="74"/>
  <c r="I1085" i="94" s="1"/>
  <c r="E1022" i="93"/>
  <c r="E1008" i="93"/>
  <c r="B1047" i="94"/>
  <c r="C9" i="86"/>
  <c r="S20" i="74"/>
  <c r="I33" i="74"/>
  <c r="I1048" i="94" s="1"/>
  <c r="I37" i="74"/>
  <c r="I1052" i="94" s="1"/>
  <c r="I44" i="82"/>
  <c r="I32" i="74"/>
  <c r="G33" i="74"/>
  <c r="G1048" i="94" s="1"/>
  <c r="G37" i="74"/>
  <c r="G1052" i="94" s="1"/>
  <c r="G32" i="74"/>
  <c r="G44" i="82"/>
  <c r="J53" i="74"/>
  <c r="J33" i="74"/>
  <c r="J1048" i="94" s="1"/>
  <c r="J37" i="74"/>
  <c r="J1052" i="94" s="1"/>
  <c r="J44" i="82"/>
  <c r="J32" i="74"/>
  <c r="F64" i="82"/>
  <c r="F64" i="74"/>
  <c r="F69" i="74"/>
  <c r="F1084" i="94" s="1"/>
  <c r="F65" i="74"/>
  <c r="F1080" i="94" s="1"/>
  <c r="B64" i="82"/>
  <c r="B65" i="74"/>
  <c r="B1080" i="94" s="1"/>
  <c r="B69" i="74"/>
  <c r="B1084" i="94" s="1"/>
  <c r="B64" i="74"/>
  <c r="K48" i="74"/>
  <c r="K1063" i="94" s="1"/>
  <c r="K1061" i="94"/>
  <c r="H53" i="86"/>
  <c r="K1069" i="94"/>
  <c r="D64" i="82"/>
  <c r="D65" i="74"/>
  <c r="D1080" i="94" s="1"/>
  <c r="D69" i="74"/>
  <c r="D1084" i="94" s="1"/>
  <c r="D64" i="74"/>
  <c r="B51" i="82"/>
  <c r="B46" i="82"/>
  <c r="H33" i="74"/>
  <c r="H1048" i="94" s="1"/>
  <c r="H44" i="82"/>
  <c r="H37" i="74"/>
  <c r="H1052" i="94" s="1"/>
  <c r="H32" i="74"/>
  <c r="J51" i="74"/>
  <c r="G64" i="82"/>
  <c r="G69" i="74"/>
  <c r="G1084" i="94" s="1"/>
  <c r="G65" i="74"/>
  <c r="G1080" i="94" s="1"/>
  <c r="P1998" i="93"/>
  <c r="P1560" i="93"/>
  <c r="C44" i="82"/>
  <c r="C33" i="74"/>
  <c r="C1048" i="94" s="1"/>
  <c r="C32" i="74"/>
  <c r="C37" i="74"/>
  <c r="C1052" i="94" s="1"/>
  <c r="E64" i="74"/>
  <c r="E64" i="82"/>
  <c r="E69" i="74"/>
  <c r="E1084" i="94" s="1"/>
  <c r="E65" i="74"/>
  <c r="E1080" i="94" s="1"/>
  <c r="S975" i="93"/>
  <c r="S983" i="93"/>
  <c r="S982" i="93"/>
  <c r="S977" i="93"/>
  <c r="S976" i="93"/>
  <c r="S984" i="93"/>
  <c r="S979" i="93"/>
  <c r="S978" i="93"/>
  <c r="S981" i="93"/>
  <c r="S980" i="93"/>
  <c r="S986" i="93"/>
  <c r="E44" i="82"/>
  <c r="E37" i="74"/>
  <c r="E1052" i="94" s="1"/>
  <c r="E32" i="74"/>
  <c r="E33" i="74"/>
  <c r="E1048" i="94" s="1"/>
  <c r="K37" i="74"/>
  <c r="K1052" i="94" s="1"/>
  <c r="K33" i="74"/>
  <c r="K1048" i="94" s="1"/>
  <c r="K32" i="74"/>
  <c r="K44" i="82"/>
  <c r="H999" i="93"/>
  <c r="G1000" i="93"/>
  <c r="G1005" i="93"/>
  <c r="G1001" i="93"/>
  <c r="G1007" i="93"/>
  <c r="D1017" i="93"/>
  <c r="D1021" i="93"/>
  <c r="D1016" i="93"/>
  <c r="C64" i="74"/>
  <c r="C64" i="82"/>
  <c r="C65" i="74"/>
  <c r="C1080" i="94" s="1"/>
  <c r="C69" i="74"/>
  <c r="C1084" i="94" s="1"/>
  <c r="F44" i="82"/>
  <c r="F37" i="74"/>
  <c r="F1052" i="94" s="1"/>
  <c r="F33" i="74"/>
  <c r="F1048" i="94" s="1"/>
  <c r="F32" i="74"/>
  <c r="F1014" i="93"/>
  <c r="G62" i="74"/>
  <c r="G64" i="74" s="1"/>
  <c r="G1079" i="94" s="1"/>
  <c r="F73" i="82"/>
  <c r="B87" i="74"/>
  <c r="C77" i="74"/>
  <c r="B86" i="74"/>
  <c r="B1101" i="94" s="1"/>
  <c r="B78" i="74"/>
  <c r="B79" i="74"/>
  <c r="B1094" i="94" s="1"/>
  <c r="B84" i="74"/>
  <c r="B1099" i="94" s="1"/>
  <c r="D33" i="74"/>
  <c r="D1048" i="94" s="1"/>
  <c r="D37" i="74"/>
  <c r="D1052" i="94" s="1"/>
  <c r="D44" i="82"/>
  <c r="D32" i="74"/>
  <c r="K1070" i="94"/>
  <c r="B1092" i="94"/>
  <c r="F1006" i="93"/>
  <c r="F1022" i="93" s="1"/>
  <c r="F1002" i="93"/>
  <c r="B1023" i="93" l="1"/>
  <c r="C71" i="74"/>
  <c r="B1086" i="94"/>
  <c r="I65" i="74"/>
  <c r="I1080" i="94" s="1"/>
  <c r="I69" i="74"/>
  <c r="I1084" i="94" s="1"/>
  <c r="H66" i="82"/>
  <c r="B1090" i="94"/>
  <c r="C75" i="74"/>
  <c r="B1027" i="93"/>
  <c r="S27" i="74"/>
  <c r="C1092" i="94"/>
  <c r="B1102" i="94"/>
  <c r="D1047" i="94"/>
  <c r="E9" i="86"/>
  <c r="C87" i="74"/>
  <c r="D77" i="74"/>
  <c r="C86" i="74"/>
  <c r="C1101" i="94" s="1"/>
  <c r="C78" i="74"/>
  <c r="C79" i="74"/>
  <c r="C1094" i="94" s="1"/>
  <c r="C84" i="74"/>
  <c r="C1099" i="94" s="1"/>
  <c r="F51" i="82"/>
  <c r="F46" i="82"/>
  <c r="G29" i="86"/>
  <c r="C1079" i="94"/>
  <c r="H1000" i="93"/>
  <c r="H1001" i="93"/>
  <c r="H1005" i="93"/>
  <c r="I999" i="93"/>
  <c r="H1007" i="93"/>
  <c r="E46" i="82"/>
  <c r="E51" i="82"/>
  <c r="D71" i="82"/>
  <c r="D66" i="82"/>
  <c r="F66" i="82"/>
  <c r="F71" i="82"/>
  <c r="S35" i="74"/>
  <c r="F45" i="68" s="1"/>
  <c r="S21" i="74"/>
  <c r="S22" i="74"/>
  <c r="S29" i="74"/>
  <c r="G9" i="86"/>
  <c r="F1047" i="94"/>
  <c r="K46" i="82"/>
  <c r="K51" i="82"/>
  <c r="S987" i="93"/>
  <c r="D9" i="86"/>
  <c r="C1047" i="94"/>
  <c r="I71" i="82"/>
  <c r="I66" i="82"/>
  <c r="G66" i="82"/>
  <c r="G71" i="82"/>
  <c r="H46" i="82"/>
  <c r="H51" i="82"/>
  <c r="D1079" i="94"/>
  <c r="H29" i="86"/>
  <c r="D29" i="86"/>
  <c r="J1047" i="94"/>
  <c r="J70" i="74"/>
  <c r="J1085" i="94" s="1"/>
  <c r="J1068" i="94"/>
  <c r="G51" i="82"/>
  <c r="G46" i="82"/>
  <c r="C29" i="86"/>
  <c r="I1047" i="94"/>
  <c r="S36" i="74"/>
  <c r="S34" i="74"/>
  <c r="S26" i="74"/>
  <c r="B1093" i="94"/>
  <c r="B80" i="74"/>
  <c r="B1095" i="94" s="1"/>
  <c r="E29" i="86"/>
  <c r="K1047" i="94"/>
  <c r="F9" i="86"/>
  <c r="E1047" i="94"/>
  <c r="E66" i="82"/>
  <c r="E71" i="82"/>
  <c r="J56" i="74"/>
  <c r="J1066" i="94"/>
  <c r="K51" i="74"/>
  <c r="B66" i="82"/>
  <c r="B71" i="82"/>
  <c r="J46" i="82"/>
  <c r="J51" i="82"/>
  <c r="H9" i="86"/>
  <c r="G1047" i="94"/>
  <c r="I51" i="82"/>
  <c r="I46" i="82"/>
  <c r="S25" i="74"/>
  <c r="S28" i="74"/>
  <c r="S32" i="74"/>
  <c r="S33" i="74"/>
  <c r="E1017" i="93"/>
  <c r="E1021" i="93"/>
  <c r="E1016" i="93"/>
  <c r="S988" i="93" s="1"/>
  <c r="D51" i="82"/>
  <c r="D46" i="82"/>
  <c r="F1008" i="93"/>
  <c r="G1014" i="93"/>
  <c r="H62" i="74"/>
  <c r="G73" i="82"/>
  <c r="C66" i="82"/>
  <c r="C71" i="82"/>
  <c r="G1002" i="93"/>
  <c r="G1006" i="93" s="1"/>
  <c r="G1022" i="93" s="1"/>
  <c r="I29" i="86"/>
  <c r="E1079" i="94"/>
  <c r="C46" i="82"/>
  <c r="C51" i="82"/>
  <c r="I9" i="86"/>
  <c r="H1047" i="94"/>
  <c r="K53" i="74"/>
  <c r="F29" i="86"/>
  <c r="B1079" i="94"/>
  <c r="S31" i="74"/>
  <c r="C49" i="86"/>
  <c r="F1079" i="94"/>
  <c r="S24" i="74"/>
  <c r="S30" i="74"/>
  <c r="G30" i="86" l="1"/>
  <c r="C1086" i="94"/>
  <c r="C1023" i="93"/>
  <c r="H30" i="86"/>
  <c r="D71" i="74"/>
  <c r="D75" i="74"/>
  <c r="C1027" i="93"/>
  <c r="C1090" i="94"/>
  <c r="B25" i="82"/>
  <c r="I72" i="82" s="1"/>
  <c r="K1068" i="94"/>
  <c r="K70" i="74"/>
  <c r="K1085" i="94" s="1"/>
  <c r="G1008" i="93"/>
  <c r="F1017" i="93"/>
  <c r="F1021" i="93"/>
  <c r="F1016" i="93"/>
  <c r="S989" i="93" s="1"/>
  <c r="H1006" i="93"/>
  <c r="H1022" i="93" s="1"/>
  <c r="H1002" i="93"/>
  <c r="K1066" i="94"/>
  <c r="K1071" i="94" s="1"/>
  <c r="K56" i="74"/>
  <c r="F422" i="94"/>
  <c r="F407" i="93"/>
  <c r="L45" i="68"/>
  <c r="I1005" i="93"/>
  <c r="I1001" i="93"/>
  <c r="J999" i="93"/>
  <c r="I1007" i="93"/>
  <c r="I1000" i="93"/>
  <c r="E77" i="74"/>
  <c r="D87" i="74"/>
  <c r="D86" i="74"/>
  <c r="D1101" i="94" s="1"/>
  <c r="D78" i="74"/>
  <c r="D79" i="74"/>
  <c r="D1094" i="94" s="1"/>
  <c r="D84" i="74"/>
  <c r="D1099" i="94" s="1"/>
  <c r="H1014" i="93"/>
  <c r="I62" i="74"/>
  <c r="H73" i="82"/>
  <c r="H64" i="74"/>
  <c r="J1071" i="94"/>
  <c r="B83" i="74"/>
  <c r="C1102" i="94"/>
  <c r="D1092" i="94"/>
  <c r="J65" i="74"/>
  <c r="J1080" i="94" s="1"/>
  <c r="J64" i="82"/>
  <c r="J69" i="74"/>
  <c r="J1084" i="94" s="1"/>
  <c r="B85" i="74"/>
  <c r="C1093" i="94"/>
  <c r="C80" i="74"/>
  <c r="C1095" i="94" s="1"/>
  <c r="E71" i="74" l="1"/>
  <c r="D1023" i="93"/>
  <c r="D1086" i="94"/>
  <c r="I30" i="86"/>
  <c r="D1027" i="93"/>
  <c r="D1090" i="94"/>
  <c r="E75" i="74"/>
  <c r="H1008" i="93"/>
  <c r="E52" i="82"/>
  <c r="E54" i="82" s="1"/>
  <c r="E55" i="82" s="1"/>
  <c r="E56" i="82" s="1"/>
  <c r="C52" i="82"/>
  <c r="C54" i="82" s="1"/>
  <c r="E72" i="82"/>
  <c r="E74" i="82" s="1"/>
  <c r="E75" i="82" s="1"/>
  <c r="E76" i="82" s="1"/>
  <c r="J52" i="82"/>
  <c r="J54" i="82" s="1"/>
  <c r="J55" i="82" s="1"/>
  <c r="J56" i="82" s="1"/>
  <c r="D52" i="82"/>
  <c r="D54" i="82" s="1"/>
  <c r="D55" i="82" s="1"/>
  <c r="D56" i="82" s="1"/>
  <c r="B72" i="82"/>
  <c r="B74" i="82" s="1"/>
  <c r="B75" i="82" s="1"/>
  <c r="B76" i="82" s="1"/>
  <c r="H52" i="82"/>
  <c r="H54" i="82" s="1"/>
  <c r="H55" i="82" s="1"/>
  <c r="H56" i="82" s="1"/>
  <c r="C72" i="82"/>
  <c r="C74" i="82" s="1"/>
  <c r="C75" i="82" s="1"/>
  <c r="C76" i="82" s="1"/>
  <c r="K52" i="82"/>
  <c r="K54" i="82" s="1"/>
  <c r="K55" i="82" s="1"/>
  <c r="K56" i="82" s="1"/>
  <c r="B26" i="82"/>
  <c r="B28" i="82" s="1"/>
  <c r="B29" i="82" s="1"/>
  <c r="J72" i="82"/>
  <c r="I52" i="82"/>
  <c r="I54" i="82" s="1"/>
  <c r="I55" i="82" s="1"/>
  <c r="I56" i="82" s="1"/>
  <c r="G72" i="82"/>
  <c r="G74" i="82" s="1"/>
  <c r="G75" i="82" s="1"/>
  <c r="G76" i="82" s="1"/>
  <c r="B52" i="82"/>
  <c r="B54" i="82" s="1"/>
  <c r="B55" i="82" s="1"/>
  <c r="B56" i="82" s="1"/>
  <c r="H72" i="82"/>
  <c r="H74" i="82" s="1"/>
  <c r="F72" i="82"/>
  <c r="F74" i="82" s="1"/>
  <c r="F75" i="82" s="1"/>
  <c r="F76" i="82" s="1"/>
  <c r="D72" i="82"/>
  <c r="D74" i="82" s="1"/>
  <c r="K72" i="82"/>
  <c r="F52" i="82"/>
  <c r="F54" i="82" s="1"/>
  <c r="F55" i="82" s="1"/>
  <c r="F56" i="82" s="1"/>
  <c r="G52" i="82"/>
  <c r="G54" i="82" s="1"/>
  <c r="G55" i="82" s="1"/>
  <c r="G56" i="82" s="1"/>
  <c r="C85" i="74"/>
  <c r="C101" i="74" s="1"/>
  <c r="C1116" i="94" s="1"/>
  <c r="C55" i="82"/>
  <c r="C56" i="82" s="1"/>
  <c r="D80" i="74"/>
  <c r="D1095" i="94" s="1"/>
  <c r="D1093" i="94"/>
  <c r="I1006" i="93"/>
  <c r="I1022" i="93" s="1"/>
  <c r="I1002" i="93"/>
  <c r="G1017" i="93"/>
  <c r="G1021" i="93"/>
  <c r="G1016" i="93"/>
  <c r="C83" i="74"/>
  <c r="E1092" i="94"/>
  <c r="D1102" i="94"/>
  <c r="B1098" i="94"/>
  <c r="B88" i="74"/>
  <c r="H1079" i="94"/>
  <c r="S37" i="74"/>
  <c r="B1100" i="94"/>
  <c r="B101" i="74"/>
  <c r="B1116" i="94" s="1"/>
  <c r="J1007" i="93"/>
  <c r="J1000" i="93"/>
  <c r="J1005" i="93"/>
  <c r="J1001" i="93"/>
  <c r="K999" i="93"/>
  <c r="L422" i="94"/>
  <c r="I408" i="93"/>
  <c r="F85" i="92"/>
  <c r="F89" i="92" s="1"/>
  <c r="F105" i="92" s="1"/>
  <c r="K69" i="74"/>
  <c r="K1084" i="94" s="1"/>
  <c r="K64" i="82"/>
  <c r="K65" i="74"/>
  <c r="K1080" i="94" s="1"/>
  <c r="H1017" i="93"/>
  <c r="H1021" i="93"/>
  <c r="H1016" i="93"/>
  <c r="D75" i="82"/>
  <c r="D76" i="82" s="1"/>
  <c r="J66" i="82"/>
  <c r="J71" i="82"/>
  <c r="I1014" i="93"/>
  <c r="J62" i="74"/>
  <c r="I73" i="82"/>
  <c r="I74" i="82" s="1"/>
  <c r="I64" i="74"/>
  <c r="I1079" i="94" s="1"/>
  <c r="F77" i="74"/>
  <c r="E87" i="74"/>
  <c r="E86" i="74"/>
  <c r="E1101" i="94" s="1"/>
  <c r="E78" i="74"/>
  <c r="E79" i="74"/>
  <c r="E1094" i="94" s="1"/>
  <c r="E84" i="74"/>
  <c r="E1099" i="94" s="1"/>
  <c r="E1023" i="93" l="1"/>
  <c r="E1086" i="94"/>
  <c r="F71" i="74"/>
  <c r="E1090" i="94"/>
  <c r="F75" i="74"/>
  <c r="E1027" i="93"/>
  <c r="B9" i="82"/>
  <c r="C1100" i="94"/>
  <c r="I1008" i="93"/>
  <c r="I1017" i="93" s="1"/>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83" i="74"/>
  <c r="E80" i="74"/>
  <c r="E1095" i="94" s="1"/>
  <c r="E1093" i="94"/>
  <c r="J1002" i="93"/>
  <c r="J1006" i="93" s="1"/>
  <c r="J1022" i="93" s="1"/>
  <c r="B1103" i="94"/>
  <c r="E1102" i="94"/>
  <c r="F1092" i="94"/>
  <c r="S990" i="93"/>
  <c r="S991" i="93"/>
  <c r="I75" i="82"/>
  <c r="I76" i="82" s="1"/>
  <c r="K1007" i="93"/>
  <c r="K1001" i="93"/>
  <c r="B1029" i="93"/>
  <c r="K1000" i="93"/>
  <c r="K1005" i="93"/>
  <c r="K62" i="74"/>
  <c r="J73" i="82"/>
  <c r="J74" i="82" s="1"/>
  <c r="J1014" i="93"/>
  <c r="J64" i="74"/>
  <c r="J1079" i="94" s="1"/>
  <c r="D1098" i="94"/>
  <c r="G77" i="74"/>
  <c r="F87" i="74"/>
  <c r="F86" i="74"/>
  <c r="F1101" i="94" s="1"/>
  <c r="F78" i="74"/>
  <c r="F79" i="74"/>
  <c r="F1094" i="94" s="1"/>
  <c r="F84" i="74"/>
  <c r="F1099" i="94" s="1"/>
  <c r="K71" i="82"/>
  <c r="K66" i="82"/>
  <c r="H75" i="82"/>
  <c r="H76" i="82" s="1"/>
  <c r="S38" i="74"/>
  <c r="B96" i="74"/>
  <c r="B1111" i="94" s="1"/>
  <c r="B100" i="74"/>
  <c r="B1115" i="94" s="1"/>
  <c r="C1098" i="94"/>
  <c r="C1103" i="94" s="1"/>
  <c r="C88" i="74"/>
  <c r="D85" i="74"/>
  <c r="C50" i="86" l="1"/>
  <c r="G71" i="74"/>
  <c r="F1086" i="94"/>
  <c r="F1023" i="93"/>
  <c r="F1027" i="93"/>
  <c r="F1090" i="94"/>
  <c r="G75" i="74"/>
  <c r="I1021" i="93"/>
  <c r="I1016" i="93"/>
  <c r="S992" i="93" s="1"/>
  <c r="E85" i="74"/>
  <c r="E1100" i="94" s="1"/>
  <c r="E83" i="74"/>
  <c r="S39" i="74"/>
  <c r="J75" i="82"/>
  <c r="J76" i="82" s="1"/>
  <c r="D1100" i="94"/>
  <c r="D1103" i="94" s="1"/>
  <c r="D101" i="74"/>
  <c r="D1116" i="94" s="1"/>
  <c r="G87" i="74"/>
  <c r="H77" i="74"/>
  <c r="G86" i="74"/>
  <c r="G1101" i="94" s="1"/>
  <c r="G78" i="74"/>
  <c r="G79" i="74"/>
  <c r="G1094" i="94" s="1"/>
  <c r="G84" i="74"/>
  <c r="G1099" i="94" s="1"/>
  <c r="B1035" i="93"/>
  <c r="B1037" i="93"/>
  <c r="C1029" i="93"/>
  <c r="B1031" i="93"/>
  <c r="B1030" i="93"/>
  <c r="C96" i="74"/>
  <c r="C1111" i="94" s="1"/>
  <c r="C100" i="74"/>
  <c r="C1115" i="94" s="1"/>
  <c r="F1093" i="94"/>
  <c r="F80" i="74"/>
  <c r="F1095" i="94" s="1"/>
  <c r="D88" i="74"/>
  <c r="J1008" i="93"/>
  <c r="F1102" i="94"/>
  <c r="G1092" i="94"/>
  <c r="K1014" i="93"/>
  <c r="K73" i="82"/>
  <c r="K74" i="82" s="1"/>
  <c r="B94" i="74"/>
  <c r="K64" i="74"/>
  <c r="K1079" i="94" s="1"/>
  <c r="K1002" i="93"/>
  <c r="G1023" i="93" l="1"/>
  <c r="H71" i="74"/>
  <c r="G1086" i="94"/>
  <c r="D50" i="86"/>
  <c r="D57" i="86" s="1"/>
  <c r="D58" i="86" s="1"/>
  <c r="D60" i="86" s="1"/>
  <c r="D64" i="86" s="1"/>
  <c r="K21" i="86" s="1"/>
  <c r="G1027" i="93"/>
  <c r="G1090" i="94"/>
  <c r="E101" i="74"/>
  <c r="E1116" i="94" s="1"/>
  <c r="E88" i="74"/>
  <c r="E96" i="74" s="1"/>
  <c r="E1111" i="94" s="1"/>
  <c r="E1098" i="94"/>
  <c r="E1103" i="94" s="1"/>
  <c r="F83" i="74"/>
  <c r="F1098" i="94" s="1"/>
  <c r="S40" i="74"/>
  <c r="K75" i="82"/>
  <c r="K76" i="82" s="1"/>
  <c r="D96" i="74"/>
  <c r="D1111" i="94" s="1"/>
  <c r="D100" i="74"/>
  <c r="D1115" i="94" s="1"/>
  <c r="F85" i="74"/>
  <c r="F88" i="74" s="1"/>
  <c r="B1036" i="93"/>
  <c r="B1051" i="93" s="1"/>
  <c r="B1032" i="93"/>
  <c r="I77" i="74"/>
  <c r="H87" i="74"/>
  <c r="H86" i="74"/>
  <c r="H1101" i="94" s="1"/>
  <c r="H78" i="74"/>
  <c r="H79" i="74"/>
  <c r="H1094" i="94" s="1"/>
  <c r="H84" i="74"/>
  <c r="H1099" i="94" s="1"/>
  <c r="D1029" i="93"/>
  <c r="C1037" i="93"/>
  <c r="C1030" i="93"/>
  <c r="C1035" i="93"/>
  <c r="C1031" i="93"/>
  <c r="K1006" i="93"/>
  <c r="K1022" i="93" s="1"/>
  <c r="G1102" i="94"/>
  <c r="H1092" i="94"/>
  <c r="B1044" i="93"/>
  <c r="C94" i="74"/>
  <c r="B95" i="74"/>
  <c r="B1110" i="94" s="1"/>
  <c r="J1017" i="93"/>
  <c r="J1021" i="93"/>
  <c r="J1016" i="93"/>
  <c r="S993" i="93" s="1"/>
  <c r="G1093" i="94"/>
  <c r="G80" i="74"/>
  <c r="G1095" i="94" s="1"/>
  <c r="E50" i="86" l="1"/>
  <c r="E57" i="86" s="1"/>
  <c r="E58" i="86" s="1"/>
  <c r="E60" i="86" s="1"/>
  <c r="E64" i="86" s="1"/>
  <c r="K22" i="86" s="1"/>
  <c r="I71" i="74"/>
  <c r="H1023" i="93"/>
  <c r="H1086" i="94"/>
  <c r="E100" i="74"/>
  <c r="E1115" i="94" s="1"/>
  <c r="B1038" i="93"/>
  <c r="B1046" i="93" s="1"/>
  <c r="D1037" i="93"/>
  <c r="D1030" i="93"/>
  <c r="D1035" i="93"/>
  <c r="D1031" i="93"/>
  <c r="E1029" i="93"/>
  <c r="H80" i="74"/>
  <c r="H1095" i="94" s="1"/>
  <c r="H1093" i="94"/>
  <c r="F1100" i="94"/>
  <c r="F1103" i="94" s="1"/>
  <c r="F101" i="74"/>
  <c r="F1116" i="94" s="1"/>
  <c r="K1008" i="93"/>
  <c r="C1044" i="93"/>
  <c r="D94" i="74"/>
  <c r="C95" i="74"/>
  <c r="C1110" i="94" s="1"/>
  <c r="G83" i="74"/>
  <c r="F100" i="74"/>
  <c r="F1115" i="94" s="1"/>
  <c r="F96" i="74"/>
  <c r="F1111" i="94" s="1"/>
  <c r="J77" i="74"/>
  <c r="I87" i="74"/>
  <c r="I86" i="74"/>
  <c r="I1101" i="94" s="1"/>
  <c r="I78" i="74"/>
  <c r="I79" i="74"/>
  <c r="I1094" i="94" s="1"/>
  <c r="I84" i="74"/>
  <c r="I1099" i="94" s="1"/>
  <c r="I1092" i="94"/>
  <c r="H1102" i="94"/>
  <c r="G85" i="74"/>
  <c r="C1032" i="93"/>
  <c r="C1036" i="93" s="1"/>
  <c r="F50" i="86" l="1"/>
  <c r="F57" i="86" s="1"/>
  <c r="F58" i="86" s="1"/>
  <c r="F60" i="86" s="1"/>
  <c r="F64" i="86" s="1"/>
  <c r="K23" i="86" s="1"/>
  <c r="I1086" i="94"/>
  <c r="I1023" i="93"/>
  <c r="J71" i="74"/>
  <c r="B1045" i="93"/>
  <c r="B1050" i="93"/>
  <c r="H85" i="74"/>
  <c r="H101" i="74" s="1"/>
  <c r="H1116" i="94" s="1"/>
  <c r="H83" i="74"/>
  <c r="H1098" i="94" s="1"/>
  <c r="C1051" i="93"/>
  <c r="C1038" i="93"/>
  <c r="J1092" i="94"/>
  <c r="I1102" i="94"/>
  <c r="E1031" i="93"/>
  <c r="E1030" i="93"/>
  <c r="F1029" i="93"/>
  <c r="E1037" i="93"/>
  <c r="E1035" i="93"/>
  <c r="I1093" i="94"/>
  <c r="I80" i="74"/>
  <c r="I1095" i="94" s="1"/>
  <c r="G1100" i="94"/>
  <c r="G101" i="74"/>
  <c r="G1116" i="94" s="1"/>
  <c r="K77" i="74"/>
  <c r="J87" i="74"/>
  <c r="J86" i="74"/>
  <c r="J1101" i="94" s="1"/>
  <c r="J78" i="74"/>
  <c r="J79" i="74"/>
  <c r="J1094" i="94" s="1"/>
  <c r="J84" i="74"/>
  <c r="J1099" i="94" s="1"/>
  <c r="G88" i="74"/>
  <c r="G1098" i="94"/>
  <c r="K1021" i="93"/>
  <c r="K1017" i="93"/>
  <c r="K1016" i="93"/>
  <c r="S994" i="93" s="1"/>
  <c r="D1044" i="93"/>
  <c r="E94" i="74"/>
  <c r="D95" i="74"/>
  <c r="D1110" i="94" s="1"/>
  <c r="D1032" i="93"/>
  <c r="D1036" i="93" s="1"/>
  <c r="D1051" i="93" s="1"/>
  <c r="G50" i="86" l="1"/>
  <c r="G57" i="86" s="1"/>
  <c r="G58" i="86" s="1"/>
  <c r="G60" i="86" s="1"/>
  <c r="G64" i="86" s="1"/>
  <c r="K24" i="86" s="1"/>
  <c r="K71" i="74"/>
  <c r="J1086" i="94"/>
  <c r="J1023" i="93"/>
  <c r="H1100" i="94"/>
  <c r="G1103" i="94"/>
  <c r="I85" i="74"/>
  <c r="I1100" i="94" s="1"/>
  <c r="H88" i="74"/>
  <c r="H100" i="74" s="1"/>
  <c r="H1115" i="94" s="1"/>
  <c r="H1103" i="94"/>
  <c r="J1102" i="94"/>
  <c r="K1092" i="94"/>
  <c r="K87" i="74"/>
  <c r="B107" i="74"/>
  <c r="K86" i="74"/>
  <c r="K1101" i="94" s="1"/>
  <c r="K78" i="74"/>
  <c r="K79" i="74"/>
  <c r="K1094" i="94" s="1"/>
  <c r="K84" i="74"/>
  <c r="K1099" i="94" s="1"/>
  <c r="J1093" i="94"/>
  <c r="J80" i="74"/>
  <c r="J1095" i="94" s="1"/>
  <c r="J85" i="74"/>
  <c r="G1029" i="93"/>
  <c r="F1035" i="93"/>
  <c r="F1030" i="93"/>
  <c r="F1031" i="93"/>
  <c r="F1037" i="93"/>
  <c r="D1038" i="93"/>
  <c r="G96" i="74"/>
  <c r="G1111" i="94" s="1"/>
  <c r="G100" i="74"/>
  <c r="G1115" i="94" s="1"/>
  <c r="E1032" i="93"/>
  <c r="E1036" i="93" s="1"/>
  <c r="E1051" i="93" s="1"/>
  <c r="C1046" i="93"/>
  <c r="C1050" i="93"/>
  <c r="C1045" i="93"/>
  <c r="E1044" i="93"/>
  <c r="F94" i="74"/>
  <c r="E95" i="74"/>
  <c r="E1110" i="94" s="1"/>
  <c r="I83" i="74"/>
  <c r="H50" i="86" l="1"/>
  <c r="H57" i="86" s="1"/>
  <c r="H58" i="86" s="1"/>
  <c r="H60" i="86" s="1"/>
  <c r="H64" i="86" s="1"/>
  <c r="K25" i="86" s="1"/>
  <c r="B102" i="74"/>
  <c r="L63" i="85"/>
  <c r="K1023" i="93"/>
  <c r="O8" i="86"/>
  <c r="O14" i="86" s="1"/>
  <c r="O33" i="86" s="1"/>
  <c r="H63" i="86" s="1"/>
  <c r="L93" i="85"/>
  <c r="K1086" i="94"/>
  <c r="C85" i="90"/>
  <c r="I101" i="74"/>
  <c r="I1116" i="94" s="1"/>
  <c r="H96" i="74"/>
  <c r="H1111" i="94" s="1"/>
  <c r="J83" i="74"/>
  <c r="J88" i="74" s="1"/>
  <c r="G1031" i="93"/>
  <c r="H1029" i="93"/>
  <c r="G1037" i="93"/>
  <c r="G1030" i="93"/>
  <c r="G1035" i="93"/>
  <c r="I1098" i="94"/>
  <c r="I1103" i="94" s="1"/>
  <c r="I88" i="74"/>
  <c r="E1038" i="93"/>
  <c r="B117" i="74"/>
  <c r="C107" i="74"/>
  <c r="B116" i="74"/>
  <c r="B1131" i="94" s="1"/>
  <c r="B108" i="74"/>
  <c r="B109" i="74"/>
  <c r="B1124" i="94" s="1"/>
  <c r="B114" i="74"/>
  <c r="B1129" i="94" s="1"/>
  <c r="J1100" i="94"/>
  <c r="J101" i="74"/>
  <c r="J1116" i="94" s="1"/>
  <c r="F1044" i="93"/>
  <c r="G94" i="74"/>
  <c r="F95" i="74"/>
  <c r="F1110" i="94" s="1"/>
  <c r="F1032" i="93"/>
  <c r="F1036" i="93" s="1"/>
  <c r="D1046" i="93"/>
  <c r="D1050" i="93"/>
  <c r="D1045" i="93"/>
  <c r="K1093" i="94"/>
  <c r="K80" i="74"/>
  <c r="K1095" i="94" s="1"/>
  <c r="K1102" i="94"/>
  <c r="B1122" i="94"/>
  <c r="B1052" i="93" l="1"/>
  <c r="C102" i="74"/>
  <c r="B1117" i="94"/>
  <c r="J1098" i="94"/>
  <c r="K85" i="74"/>
  <c r="K101" i="74" s="1"/>
  <c r="K1116" i="94" s="1"/>
  <c r="F1051" i="93"/>
  <c r="F1038" i="93"/>
  <c r="B1132" i="94"/>
  <c r="C1122" i="94"/>
  <c r="K83" i="74"/>
  <c r="J100" i="74"/>
  <c r="J1115" i="94" s="1"/>
  <c r="J96" i="74"/>
  <c r="J1111" i="94" s="1"/>
  <c r="G1044" i="93"/>
  <c r="H94" i="74"/>
  <c r="G95" i="74"/>
  <c r="G1110" i="94" s="1"/>
  <c r="D107" i="74"/>
  <c r="C117" i="74"/>
  <c r="C116" i="74"/>
  <c r="C1131" i="94" s="1"/>
  <c r="C108" i="74"/>
  <c r="C109" i="74"/>
  <c r="C1124" i="94" s="1"/>
  <c r="C114" i="74"/>
  <c r="C1129" i="94" s="1"/>
  <c r="E1050" i="93"/>
  <c r="E1046" i="93"/>
  <c r="E1045" i="93"/>
  <c r="G1032" i="93"/>
  <c r="G1036" i="93" s="1"/>
  <c r="G1051" i="93" s="1"/>
  <c r="I100" i="74"/>
  <c r="I1115" i="94" s="1"/>
  <c r="I96" i="74"/>
  <c r="I1111" i="94" s="1"/>
  <c r="B110" i="74"/>
  <c r="B1125" i="94" s="1"/>
  <c r="B1123" i="94"/>
  <c r="J1103" i="94"/>
  <c r="H1031" i="93"/>
  <c r="H1030" i="93"/>
  <c r="H1037" i="93"/>
  <c r="I1029" i="93"/>
  <c r="H1035" i="93"/>
  <c r="D102" i="74" l="1"/>
  <c r="C1117" i="94"/>
  <c r="C1052" i="93"/>
  <c r="K1100" i="94"/>
  <c r="B115" i="74"/>
  <c r="B131" i="74" s="1"/>
  <c r="B1146" i="94" s="1"/>
  <c r="D117" i="74"/>
  <c r="E107" i="74"/>
  <c r="D116" i="74"/>
  <c r="D1131" i="94" s="1"/>
  <c r="D108" i="74"/>
  <c r="D109" i="74"/>
  <c r="D1124" i="94" s="1"/>
  <c r="D114" i="74"/>
  <c r="D1129" i="94" s="1"/>
  <c r="C1132" i="94"/>
  <c r="D1122" i="94"/>
  <c r="I1030" i="93"/>
  <c r="I1035" i="93"/>
  <c r="J1029" i="93"/>
  <c r="I1031" i="93"/>
  <c r="I1037" i="93"/>
  <c r="G1038" i="93"/>
  <c r="C1123" i="94"/>
  <c r="C110" i="74"/>
  <c r="C1125" i="94" s="1"/>
  <c r="H1044" i="93"/>
  <c r="I94" i="74"/>
  <c r="H95" i="74"/>
  <c r="H1110" i="94" s="1"/>
  <c r="F1050" i="93"/>
  <c r="F1046" i="93"/>
  <c r="F1045" i="93"/>
  <c r="H1032" i="93"/>
  <c r="H1036" i="93" s="1"/>
  <c r="B113" i="74"/>
  <c r="K88" i="74"/>
  <c r="K1098" i="94"/>
  <c r="K1103" i="94" s="1"/>
  <c r="D1052" i="93" l="1"/>
  <c r="D1117" i="94"/>
  <c r="E102" i="74"/>
  <c r="B1130" i="94"/>
  <c r="H1051" i="93"/>
  <c r="H1038" i="93"/>
  <c r="D1132" i="94"/>
  <c r="E1122" i="94"/>
  <c r="D1123" i="94"/>
  <c r="D110" i="74"/>
  <c r="D1125" i="94" s="1"/>
  <c r="K1029" i="93"/>
  <c r="J1037" i="93"/>
  <c r="J1030" i="93"/>
  <c r="J1035" i="93"/>
  <c r="J1031" i="93"/>
  <c r="C113" i="74"/>
  <c r="G1050" i="93"/>
  <c r="G1045" i="93"/>
  <c r="G1046" i="93"/>
  <c r="E117" i="74"/>
  <c r="F107" i="74"/>
  <c r="E116" i="74"/>
  <c r="E1131" i="94" s="1"/>
  <c r="E108" i="74"/>
  <c r="E109" i="74"/>
  <c r="E1124" i="94" s="1"/>
  <c r="E114" i="74"/>
  <c r="E1129" i="94" s="1"/>
  <c r="K100" i="74"/>
  <c r="K1115" i="94" s="1"/>
  <c r="K96" i="74"/>
  <c r="K1111" i="94" s="1"/>
  <c r="B1128" i="94"/>
  <c r="B1133" i="94" s="1"/>
  <c r="B118" i="74"/>
  <c r="I1044" i="93"/>
  <c r="J94" i="74"/>
  <c r="I95" i="74"/>
  <c r="I1110" i="94" s="1"/>
  <c r="C115" i="74"/>
  <c r="I1036" i="93"/>
  <c r="I1051" i="93" s="1"/>
  <c r="I1032" i="93"/>
  <c r="E1052" i="93" l="1"/>
  <c r="E1117" i="94"/>
  <c r="F102" i="74"/>
  <c r="D113" i="74"/>
  <c r="E1123" i="94"/>
  <c r="E110" i="74"/>
  <c r="E1125" i="94" s="1"/>
  <c r="K1031" i="93"/>
  <c r="B1057" i="93"/>
  <c r="K1037" i="93"/>
  <c r="K1030" i="93"/>
  <c r="K1035" i="93"/>
  <c r="D1128" i="94"/>
  <c r="F1122" i="94"/>
  <c r="F1132" i="94" s="1"/>
  <c r="E1132" i="94"/>
  <c r="B126" i="74"/>
  <c r="B1141" i="94" s="1"/>
  <c r="B130" i="74"/>
  <c r="B1145" i="94" s="1"/>
  <c r="D115" i="74"/>
  <c r="D118" i="74" s="1"/>
  <c r="C131" i="74"/>
  <c r="C1146" i="94" s="1"/>
  <c r="C1130" i="94"/>
  <c r="F117" i="74"/>
  <c r="F116" i="74"/>
  <c r="F1131" i="94" s="1"/>
  <c r="F108" i="74"/>
  <c r="F109" i="74"/>
  <c r="F1124" i="94" s="1"/>
  <c r="F114" i="74"/>
  <c r="F1129" i="94" s="1"/>
  <c r="H1046" i="93"/>
  <c r="H1050" i="93"/>
  <c r="H1045" i="93"/>
  <c r="I1038" i="93"/>
  <c r="J1036" i="93"/>
  <c r="J1051" i="93" s="1"/>
  <c r="J1032" i="93"/>
  <c r="J1044" i="93"/>
  <c r="K94" i="74"/>
  <c r="J95" i="74"/>
  <c r="J1110" i="94" s="1"/>
  <c r="C1128" i="94"/>
  <c r="C118" i="74"/>
  <c r="F1052" i="93" l="1"/>
  <c r="F1117" i="94"/>
  <c r="G102" i="74"/>
  <c r="C1133" i="94"/>
  <c r="D130" i="74"/>
  <c r="D1145" i="94" s="1"/>
  <c r="D126" i="74"/>
  <c r="D1141" i="94" s="1"/>
  <c r="K1036" i="93"/>
  <c r="K1051" i="93" s="1"/>
  <c r="K1032" i="93"/>
  <c r="K1044" i="93"/>
  <c r="B124" i="74"/>
  <c r="K95" i="74"/>
  <c r="K1110" i="94" s="1"/>
  <c r="C126" i="74"/>
  <c r="C1141" i="94" s="1"/>
  <c r="C130" i="74"/>
  <c r="C1145" i="94" s="1"/>
  <c r="I1050" i="93"/>
  <c r="I1045" i="93"/>
  <c r="I1046" i="93"/>
  <c r="E113" i="74"/>
  <c r="J1038" i="93"/>
  <c r="F1123" i="94"/>
  <c r="F110" i="74"/>
  <c r="F1125" i="94" s="1"/>
  <c r="B1063" i="93"/>
  <c r="B1059" i="93"/>
  <c r="B1058" i="93"/>
  <c r="B1065" i="93"/>
  <c r="C1057" i="93"/>
  <c r="D1130" i="94"/>
  <c r="D1133" i="94" s="1"/>
  <c r="D131" i="74"/>
  <c r="D1146" i="94" s="1"/>
  <c r="E115" i="74"/>
  <c r="G1052" i="93" l="1"/>
  <c r="G1117" i="94"/>
  <c r="H102" i="74"/>
  <c r="K1038" i="93"/>
  <c r="B1060" i="93"/>
  <c r="B1064" i="93" s="1"/>
  <c r="B1079" i="93" s="1"/>
  <c r="B1072" i="93"/>
  <c r="C124" i="74"/>
  <c r="B125" i="74"/>
  <c r="B1140" i="94" s="1"/>
  <c r="J1046" i="93"/>
  <c r="J1050" i="93"/>
  <c r="J1045" i="93"/>
  <c r="F113" i="74"/>
  <c r="E1128" i="94"/>
  <c r="E118" i="74"/>
  <c r="K1046" i="93"/>
  <c r="K1050" i="93"/>
  <c r="K1045" i="93"/>
  <c r="C1065" i="93"/>
  <c r="C1059" i="93"/>
  <c r="C1058" i="93"/>
  <c r="D1057" i="93"/>
  <c r="C1063" i="93"/>
  <c r="E1130" i="94"/>
  <c r="E131" i="74"/>
  <c r="E1146" i="94" s="1"/>
  <c r="F115" i="74"/>
  <c r="H1052" i="93" l="1"/>
  <c r="H1117" i="94"/>
  <c r="I102" i="74"/>
  <c r="E126" i="74"/>
  <c r="E1141" i="94" s="1"/>
  <c r="E130" i="74"/>
  <c r="E1145" i="94" s="1"/>
  <c r="E1133" i="94"/>
  <c r="B1066" i="93"/>
  <c r="F1130" i="94"/>
  <c r="F131" i="74"/>
  <c r="F1146" i="94" s="1"/>
  <c r="D1065" i="93"/>
  <c r="D1059" i="93"/>
  <c r="D1058" i="93"/>
  <c r="E1057" i="93"/>
  <c r="D1063" i="93"/>
  <c r="F1128" i="94"/>
  <c r="F118" i="74"/>
  <c r="C1060" i="93"/>
  <c r="C1064" i="93" s="1"/>
  <c r="C1079" i="93" s="1"/>
  <c r="C1072" i="93"/>
  <c r="D124" i="74"/>
  <c r="C125" i="74"/>
  <c r="C1140" i="94" s="1"/>
  <c r="I1052" i="93" l="1"/>
  <c r="I1117" i="94"/>
  <c r="J102" i="74"/>
  <c r="F1133" i="94"/>
  <c r="C1066" i="93"/>
  <c r="B1074" i="93"/>
  <c r="B1078" i="93"/>
  <c r="B1073" i="93"/>
  <c r="D1072" i="93"/>
  <c r="E124" i="74"/>
  <c r="D125" i="74"/>
  <c r="D1140" i="94" s="1"/>
  <c r="E1063" i="93"/>
  <c r="F1057" i="93"/>
  <c r="E1059" i="93"/>
  <c r="E1065" i="93"/>
  <c r="E1058" i="93"/>
  <c r="F130" i="74"/>
  <c r="F1145" i="94" s="1"/>
  <c r="F126" i="74"/>
  <c r="F1141" i="94" s="1"/>
  <c r="D1064" i="93"/>
  <c r="D1079" i="93" s="1"/>
  <c r="D1060" i="93"/>
  <c r="K102" i="74" l="1"/>
  <c r="J1052" i="93"/>
  <c r="J1117" i="94"/>
  <c r="E1060" i="93"/>
  <c r="E1064" i="93" s="1"/>
  <c r="E1079" i="93" s="1"/>
  <c r="D1066" i="93"/>
  <c r="E1072" i="93"/>
  <c r="F124" i="74"/>
  <c r="E125" i="74"/>
  <c r="E1140" i="94" s="1"/>
  <c r="F1059" i="93"/>
  <c r="F1065" i="93"/>
  <c r="F1058" i="93"/>
  <c r="F1063" i="93"/>
  <c r="C1074" i="93"/>
  <c r="C1078" i="93"/>
  <c r="C1073" i="93"/>
  <c r="K1117" i="94" l="1"/>
  <c r="K1052" i="93"/>
  <c r="B132" i="74"/>
  <c r="D1078" i="93"/>
  <c r="D1074" i="93"/>
  <c r="D1073" i="93"/>
  <c r="E1066" i="93"/>
  <c r="F1072" i="93"/>
  <c r="F125" i="74"/>
  <c r="F1140" i="94" s="1"/>
  <c r="F1060" i="93"/>
  <c r="F1064" i="93" s="1"/>
  <c r="F1079" i="93" s="1"/>
  <c r="B1080" i="93" l="1"/>
  <c r="B1147" i="94"/>
  <c r="C132" i="74"/>
  <c r="E1074" i="93"/>
  <c r="E1078" i="93"/>
  <c r="E1073" i="93"/>
  <c r="F1066" i="93"/>
  <c r="C1080" i="93" l="1"/>
  <c r="C1147" i="94"/>
  <c r="D132" i="74"/>
  <c r="F1078" i="93"/>
  <c r="F1073" i="93"/>
  <c r="F1074" i="93"/>
  <c r="E132" i="74" l="1"/>
  <c r="D1147" i="94"/>
  <c r="D1080" i="93"/>
  <c r="E1080" i="93" l="1"/>
  <c r="F132" i="74"/>
  <c r="E1147" i="94"/>
  <c r="F1080" i="93" l="1"/>
  <c r="F1147" i="94"/>
  <c r="K15" i="86" l="1"/>
  <c r="E44" i="86"/>
  <c r="E40" i="86"/>
  <c r="E38" i="86"/>
  <c r="E37" i="86"/>
  <c r="E36" i="86"/>
  <c r="S577" i="94"/>
  <c r="S550" i="94"/>
  <c r="S544" i="94"/>
  <c r="P1139" i="93"/>
  <c r="P45" i="73"/>
  <c r="K38" i="88"/>
  <c r="F39" i="88"/>
  <c r="J544" i="94"/>
  <c r="E544" i="94"/>
  <c r="J620" i="94"/>
  <c r="S568" i="93"/>
  <c r="S541" i="93"/>
  <c r="S535" i="93"/>
  <c r="K18" i="86"/>
  <c r="H44" i="86"/>
  <c r="H40" i="86"/>
  <c r="H38" i="86"/>
  <c r="H37" i="86"/>
  <c r="H36" i="86"/>
  <c r="K12" i="86"/>
  <c r="I24" i="86"/>
  <c r="I20" i="86"/>
  <c r="I18" i="86"/>
  <c r="I17" i="86"/>
  <c r="I16" i="86"/>
  <c r="J2057" i="94"/>
  <c r="J409" i="72"/>
  <c r="J408" i="72"/>
  <c r="P422" i="94"/>
  <c r="P45" i="68"/>
  <c r="I60" i="68"/>
  <c r="P61" i="85"/>
  <c r="M61" i="85"/>
  <c r="N413" i="93"/>
  <c r="L413" i="93"/>
  <c r="K34" i="88"/>
  <c r="K9" i="88"/>
  <c r="K23" i="88"/>
  <c r="K28" i="88"/>
  <c r="K30" i="88"/>
  <c r="K16" i="86"/>
  <c r="F44" i="86"/>
  <c r="F40" i="86"/>
  <c r="F38" i="86"/>
  <c r="F37" i="86"/>
  <c r="F36" i="86"/>
  <c r="K17" i="86"/>
  <c r="G44" i="86"/>
  <c r="G40" i="86"/>
  <c r="G38" i="86"/>
  <c r="G37" i="86"/>
  <c r="G36" i="86"/>
  <c r="D36" i="86"/>
  <c r="D37" i="86"/>
  <c r="D38" i="86"/>
  <c r="D40" i="86"/>
  <c r="D44" i="86"/>
  <c r="K14" i="86"/>
  <c r="N412" i="93"/>
  <c r="L412" i="93"/>
  <c r="K20" i="86"/>
  <c r="C64" i="86"/>
  <c r="C60" i="86"/>
  <c r="C58" i="86"/>
  <c r="C57" i="86"/>
  <c r="C56" i="86"/>
  <c r="C36" i="86"/>
  <c r="C37" i="86"/>
  <c r="C38" i="86"/>
  <c r="C40" i="86"/>
  <c r="C44" i="86"/>
  <c r="K13" i="86"/>
  <c r="B21" i="82"/>
  <c r="B20" i="82"/>
  <c r="M173" i="78"/>
  <c r="G607" i="94"/>
  <c r="J1870" i="94"/>
  <c r="G222" i="72"/>
  <c r="J222" i="72"/>
  <c r="J1776" i="93"/>
  <c r="P429" i="94"/>
  <c r="P427" i="94"/>
  <c r="K11" i="86"/>
  <c r="H16" i="86"/>
  <c r="H17" i="86"/>
  <c r="H18" i="86"/>
  <c r="H20" i="86"/>
  <c r="H24" i="86"/>
  <c r="N49" i="68"/>
  <c r="J2056" i="94"/>
  <c r="J2055" i="94"/>
  <c r="N427" i="94"/>
  <c r="L427" i="94"/>
  <c r="J407" i="72"/>
  <c r="M408" i="72"/>
  <c r="M2056" i="94"/>
  <c r="G16" i="86"/>
  <c r="G17" i="86"/>
  <c r="G18" i="86"/>
  <c r="G20" i="86"/>
  <c r="G24" i="86"/>
  <c r="K10" i="86"/>
  <c r="I423" i="93"/>
  <c r="P414" i="93"/>
  <c r="B11" i="82"/>
  <c r="B10" i="82"/>
  <c r="G162" i="78"/>
  <c r="E22" i="86"/>
  <c r="G22" i="86"/>
  <c r="P51" i="68"/>
  <c r="J99" i="78"/>
  <c r="L409" i="94"/>
  <c r="L410" i="94"/>
  <c r="D16" i="86"/>
  <c r="D17" i="86"/>
  <c r="D18" i="86"/>
  <c r="D20" i="86"/>
  <c r="D24" i="86"/>
  <c r="K7" i="86"/>
  <c r="D570" i="93"/>
  <c r="G535" i="93"/>
  <c r="G541" i="93"/>
  <c r="G568" i="93"/>
  <c r="G570" i="93"/>
  <c r="J535" i="93"/>
  <c r="E535" i="93"/>
  <c r="J611" i="93"/>
  <c r="M1939" i="93"/>
  <c r="M1938" i="93"/>
  <c r="N85" i="85"/>
  <c r="C16" i="86"/>
  <c r="C17" i="86"/>
  <c r="C18" i="86"/>
  <c r="C20" i="86"/>
  <c r="C24" i="86"/>
  <c r="K6" i="86"/>
  <c r="G66" i="86"/>
  <c r="B15" i="82"/>
  <c r="G598" i="93"/>
  <c r="D18" i="84"/>
  <c r="C20" i="84"/>
  <c r="C19" i="84"/>
  <c r="K40" i="84"/>
  <c r="C18" i="84"/>
  <c r="C38" i="84"/>
  <c r="F22" i="86"/>
  <c r="I59" i="68"/>
  <c r="P50" i="68"/>
  <c r="P52" i="68"/>
  <c r="I36" i="86"/>
  <c r="I37" i="86"/>
  <c r="I38" i="86"/>
  <c r="I40" i="86"/>
  <c r="I44" i="86"/>
  <c r="K19" i="86"/>
  <c r="E41" i="86"/>
  <c r="C41" i="86"/>
  <c r="D41" i="86"/>
  <c r="J608" i="94"/>
  <c r="J610" i="94"/>
  <c r="J612" i="94"/>
  <c r="J614" i="94"/>
  <c r="J616" i="94"/>
  <c r="M618" i="94"/>
  <c r="L395" i="93"/>
  <c r="L394" i="93"/>
  <c r="H22" i="86"/>
  <c r="N426" i="94"/>
  <c r="L426" i="94"/>
  <c r="E16" i="86"/>
  <c r="E17" i="86"/>
  <c r="E18" i="86"/>
  <c r="E20" i="86"/>
  <c r="E24" i="86"/>
  <c r="K8" i="86"/>
  <c r="L49" i="68"/>
  <c r="B14" i="82"/>
  <c r="G20" i="82"/>
  <c r="G21" i="82"/>
  <c r="I422" i="93"/>
  <c r="P413" i="93"/>
  <c r="P415" i="93"/>
  <c r="B4" i="82"/>
  <c r="B6" i="82"/>
  <c r="B7" i="82"/>
  <c r="I20" i="93"/>
  <c r="I9" i="66"/>
  <c r="I32" i="94"/>
  <c r="L50" i="68"/>
  <c r="N50" i="68"/>
  <c r="P1203" i="94"/>
  <c r="D134" i="78"/>
  <c r="G134" i="78"/>
  <c r="G1776" i="93"/>
  <c r="G1870" i="94"/>
  <c r="S99" i="78"/>
  <c r="S105" i="78"/>
  <c r="S132" i="78"/>
  <c r="E5" i="86"/>
  <c r="F16" i="86"/>
  <c r="F17" i="86"/>
  <c r="F18" i="86"/>
  <c r="F20" i="86"/>
  <c r="F24" i="86"/>
  <c r="K9" i="86"/>
  <c r="G579" i="94"/>
  <c r="G544" i="94"/>
  <c r="G550" i="94"/>
  <c r="G577" i="94"/>
  <c r="D579" i="94"/>
  <c r="P428" i="94"/>
  <c r="I436" i="94"/>
  <c r="I437" i="94"/>
  <c r="J1937" i="93"/>
  <c r="J1938" i="93"/>
  <c r="J1939" i="93"/>
  <c r="L32" i="68"/>
  <c r="L33" i="68"/>
  <c r="E21" i="86"/>
  <c r="F21" i="86"/>
  <c r="G21" i="86"/>
  <c r="H21" i="86"/>
  <c r="I21" i="86"/>
  <c r="I22" i="86"/>
  <c r="C22" i="86"/>
  <c r="C42" i="86"/>
  <c r="D42" i="86"/>
  <c r="E42" i="86"/>
  <c r="J599" i="93"/>
  <c r="J601" i="93"/>
  <c r="J603" i="93"/>
  <c r="J605" i="93"/>
  <c r="J607" i="93"/>
  <c r="M609" i="93"/>
  <c r="E99" i="78"/>
  <c r="G99" i="78"/>
  <c r="G105" i="78"/>
  <c r="G132" i="78"/>
  <c r="J163" i="78"/>
  <c r="J165" i="78"/>
  <c r="J167" i="78"/>
  <c r="J169" i="78"/>
  <c r="J171" i="78"/>
  <c r="J175" i="78"/>
  <c r="C21" i="86"/>
  <c r="D21" i="86"/>
  <c r="D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rgb="FF000000"/>
            <rFont val="Tahoma"/>
            <family val="2"/>
          </rPr>
          <t>marie.palena:</t>
        </r>
        <r>
          <rPr>
            <sz val="9"/>
            <color rgb="FF000000"/>
            <rFont val="Tahoma"/>
            <family val="2"/>
          </rPr>
          <t xml:space="preserve">
</t>
        </r>
        <r>
          <rPr>
            <sz val="9"/>
            <color rgb="FF000000"/>
            <rFont val="Tahoma"/>
            <family val="2"/>
          </rPr>
          <t>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<sst xmlns="http://schemas.openxmlformats.org/spreadsheetml/2006/main" count="17217" uniqueCount="5395">
  <si>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</si>
  <si>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</si>
  <si>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</si>
  <si>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</si>
  <si>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</si>
  <si>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</si>
  <si>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</si>
  <si>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</si>
  <si>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</si>
  <si>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</si>
  <si>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</si>
  <si>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</si>
  <si>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</si>
  <si>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</si>
  <si>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</si>
  <si>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</si>
  <si>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</si>
  <si>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</si>
  <si>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</si>
  <si>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</si>
  <si>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</si>
  <si>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</si>
  <si>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</si>
  <si>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</si>
  <si>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</si>
  <si>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</si>
  <si>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</si>
  <si>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</si>
  <si>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</si>
  <si>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</si>
  <si>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</si>
  <si>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</si>
  <si>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</si>
  <si>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</si>
  <si>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</si>
  <si>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</si>
  <si>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</si>
  <si>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</si>
  <si>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</si>
  <si>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</si>
  <si>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</si>
  <si>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</si>
  <si>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</si>
  <si>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</si>
  <si>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</si>
  <si>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</si>
  <si>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</si>
  <si>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</si>
  <si>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</si>
  <si>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</si>
  <si>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</si>
  <si>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</si>
  <si>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</si>
  <si>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</si>
  <si>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</si>
  <si>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</si>
  <si>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</si>
  <si>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</si>
  <si>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</si>
  <si>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</si>
  <si>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</si>
  <si>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</si>
  <si>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</si>
  <si>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</si>
  <si>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</si>
  <si>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</si>
  <si>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</si>
  <si>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</si>
  <si>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</si>
  <si>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</si>
  <si>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</si>
  <si>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</si>
  <si>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</si>
  <si>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</si>
  <si>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</si>
  <si>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</si>
  <si>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</si>
  <si>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</si>
  <si>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</si>
  <si>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</si>
  <si>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</si>
  <si>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</si>
  <si>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</si>
  <si>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</si>
  <si>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</si>
  <si>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</si>
  <si>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</si>
  <si>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</si>
  <si>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</si>
  <si>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</si>
  <si>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</si>
  <si>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</si>
  <si>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</si>
  <si>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</si>
  <si>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</si>
  <si>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</si>
  <si>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</si>
  <si>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</si>
  <si>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</si>
  <si>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</si>
  <si>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</si>
  <si>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</si>
  <si>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</si>
  <si>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</si>
  <si>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</si>
  <si>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</si>
  <si>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</si>
  <si>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</si>
  <si>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</si>
  <si>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</si>
  <si>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</si>
  <si>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</si>
  <si>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</si>
  <si>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</si>
  <si>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</si>
  <si>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</si>
  <si>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</si>
  <si>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</si>
  <si>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</si>
  <si>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</si>
  <si>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</si>
  <si>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</si>
  <si>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</si>
  <si>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</si>
  <si>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</si>
  <si>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</si>
  <si>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</si>
  <si>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</si>
  <si>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</si>
  <si>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</si>
  <si>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</si>
  <si>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</si>
  <si>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</si>
  <si>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</si>
  <si>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</si>
  <si>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</si>
  <si>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</si>
  <si>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</si>
  <si>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</si>
  <si>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</si>
  <si>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</si>
  <si>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</si>
  <si>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</si>
  <si>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</si>
  <si>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</si>
  <si>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</si>
  <si>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</si>
  <si>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</si>
  <si>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</si>
  <si>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</si>
  <si>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</si>
  <si>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</si>
  <si>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</si>
  <si>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</si>
  <si>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</si>
  <si>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</si>
  <si>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</si>
  <si>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</si>
  <si>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</si>
  <si>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</si>
  <si>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</si>
  <si>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</si>
  <si>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</si>
  <si>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</si>
  <si>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</si>
  <si>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</si>
  <si>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</si>
  <si>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</si>
  <si>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</si>
  <si>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</si>
  <si>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</si>
  <si>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</si>
  <si>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</si>
  <si>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</si>
  <si>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</si>
  <si>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</si>
  <si>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</si>
  <si>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</si>
  <si>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</si>
  <si>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</si>
  <si>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</si>
  <si>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</si>
  <si>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</si>
  <si>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</si>
  <si>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</si>
  <si>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</si>
  <si>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</si>
  <si>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</si>
  <si>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</si>
  <si>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</si>
  <si>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</si>
  <si>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</si>
  <si>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</si>
  <si>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</si>
  <si>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</si>
  <si>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</si>
  <si>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</si>
  <si>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</si>
  <si>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</si>
  <si>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</si>
  <si>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</si>
  <si>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</si>
  <si>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</si>
  <si>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</si>
  <si>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</si>
  <si>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</si>
  <si>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</si>
  <si>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</si>
  <si>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</si>
  <si>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</si>
  <si>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</si>
  <si>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</si>
  <si>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</si>
  <si>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</si>
  <si>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</si>
  <si>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</si>
  <si>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</si>
  <si>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</si>
  <si>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</si>
  <si>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</si>
  <si>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</si>
  <si>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</si>
  <si>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</si>
  <si>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</si>
  <si>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</si>
  <si>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</si>
  <si>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</si>
  <si>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</si>
  <si>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</si>
  <si>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</si>
  <si>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</si>
  <si>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</si>
  <si>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</si>
  <si>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</si>
  <si>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</si>
  <si>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</si>
  <si>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</si>
  <si>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</si>
  <si>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</si>
  <si>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</si>
  <si>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</si>
  <si>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</si>
  <si>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</si>
  <si>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</si>
  <si>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</si>
  <si>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</si>
  <si>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</si>
  <si>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</si>
  <si>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</si>
  <si>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</si>
  <si>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</si>
  <si>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</si>
  <si>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</si>
  <si>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</si>
  <si>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</si>
  <si>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</si>
  <si>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</si>
  <si>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</si>
  <si>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</si>
  <si>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</si>
  <si>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</si>
  <si>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</si>
  <si>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</si>
  <si>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</si>
  <si>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</si>
  <si>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</si>
  <si>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</si>
  <si>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</si>
  <si>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</si>
  <si>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</si>
  <si>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</si>
  <si>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</si>
  <si>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</si>
  <si>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</si>
  <si>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</si>
  <si>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</si>
  <si>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</si>
  <si>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</si>
  <si>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</si>
  <si>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</si>
  <si>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</si>
  <si>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</si>
  <si>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</si>
  <si>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</si>
  <si>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</si>
  <si>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</si>
  <si>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</si>
  <si>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</si>
  <si>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</si>
  <si>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</si>
  <si>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</si>
  <si>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</si>
  <si>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</si>
  <si>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</si>
  <si>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</si>
  <si>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</si>
  <si>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</si>
  <si>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</si>
  <si>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</si>
  <si>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</si>
  <si>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</si>
  <si>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</si>
  <si>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</si>
  <si>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</si>
  <si>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</si>
  <si>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</si>
  <si>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</si>
  <si>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</si>
  <si>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</si>
  <si>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</si>
  <si>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</si>
  <si>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</si>
  <si>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</si>
  <si>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</si>
  <si>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</si>
  <si>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</si>
  <si>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</si>
  <si>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</si>
  <si>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</si>
  <si>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</si>
  <si>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</si>
  <si>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</si>
  <si>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</si>
  <si>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</si>
  <si>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</si>
  <si>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</si>
  <si>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</si>
  <si>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</si>
  <si>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</si>
  <si>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</si>
  <si>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</si>
  <si>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</si>
  <si>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</si>
  <si>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</si>
  <si>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</si>
  <si>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</si>
  <si>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</si>
  <si>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</si>
  <si>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</si>
  <si>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</si>
  <si>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</si>
  <si>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</si>
  <si>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</si>
  <si>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</si>
  <si>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</si>
  <si>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</si>
  <si>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</si>
  <si>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</si>
  <si>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</si>
  <si>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</si>
  <si>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</si>
  <si>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</si>
  <si>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</si>
  <si>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</si>
  <si>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</si>
  <si>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</si>
  <si>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</si>
  <si>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</si>
  <si>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</si>
  <si>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</si>
  <si>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</si>
  <si>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</si>
  <si>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</si>
  <si>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</si>
  <si>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</si>
  <si>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</si>
  <si>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</si>
  <si>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</si>
  <si>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</si>
  <si>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</si>
  <si>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</si>
  <si>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</si>
  <si>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</si>
  <si>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</si>
  <si>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</si>
  <si>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</si>
  <si>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</si>
  <si>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</si>
  <si>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</si>
  <si>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</si>
  <si>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</si>
  <si>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</si>
  <si>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</si>
  <si>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</si>
  <si>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</si>
  <si>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</si>
  <si>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</si>
  <si>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</si>
  <si>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</si>
  <si>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</si>
  <si>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</si>
  <si>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</si>
  <si>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</si>
  <si>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</si>
  <si>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</si>
  <si>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</si>
  <si>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</si>
  <si>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</si>
  <si>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</si>
  <si>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</si>
  <si>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</si>
  <si>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</si>
  <si>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</si>
  <si>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</si>
  <si>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</si>
  <si>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</si>
  <si>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</si>
  <si>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</si>
  <si>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</si>
  <si>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</si>
  <si>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</si>
  <si>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</si>
  <si>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</si>
  <si>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</si>
  <si>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</si>
  <si>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</si>
  <si>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</si>
  <si>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</si>
  <si>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</si>
  <si>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</si>
  <si>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</si>
  <si>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</si>
  <si>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</si>
  <si>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</si>
  <si>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</si>
  <si>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</si>
  <si>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</si>
  <si>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</si>
  <si>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</si>
  <si>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</si>
  <si>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</si>
  <si>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</si>
  <si>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</si>
  <si>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</si>
  <si>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</si>
  <si>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</si>
  <si>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</si>
  <si>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</si>
  <si>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</si>
  <si>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</si>
  <si>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</si>
  <si>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</si>
  <si>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</si>
  <si>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</si>
  <si>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</si>
  <si>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</si>
  <si>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</si>
  <si>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</si>
  <si>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</si>
  <si>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</si>
  <si>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</si>
  <si>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</si>
  <si>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</si>
  <si>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</si>
  <si>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</si>
  <si>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</si>
  <si>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</si>
  <si>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</si>
  <si>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</si>
  <si>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</si>
  <si>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</si>
  <si>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</si>
  <si>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</si>
  <si>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</si>
  <si>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</si>
  <si>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</si>
  <si>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</si>
  <si>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</si>
  <si>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</si>
  <si>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</si>
  <si>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</si>
  <si>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</si>
  <si>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</si>
  <si>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</si>
  <si>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</si>
  <si>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</si>
  <si>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</si>
  <si>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</si>
  <si>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</si>
  <si>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</si>
  <si>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</si>
  <si>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</si>
  <si>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</si>
  <si>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</si>
  <si>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</si>
  <si>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</si>
  <si>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</si>
  <si>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</si>
  <si>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</si>
  <si>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</si>
  <si>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</si>
  <si>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</si>
  <si>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</si>
  <si>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</si>
  <si>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</si>
  <si>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</si>
  <si>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</si>
  <si>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</si>
  <si>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</si>
  <si>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</si>
  <si>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</si>
  <si>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</si>
  <si>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</si>
  <si>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</si>
  <si>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</si>
  <si>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</si>
  <si>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</si>
  <si>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</si>
  <si>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</si>
  <si>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</si>
  <si>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</si>
  <si>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</si>
  <si>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</si>
  <si>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</si>
  <si>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</si>
  <si>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</si>
  <si>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</si>
  <si>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</si>
  <si>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</si>
  <si>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</si>
  <si>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</si>
  <si>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</si>
  <si>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</si>
  <si>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</si>
  <si>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</si>
  <si>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</si>
  <si>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</si>
  <si>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</si>
  <si>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</si>
  <si>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</si>
  <si>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</si>
  <si>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</si>
  <si>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</si>
  <si>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</si>
  <si>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</si>
  <si>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</si>
  <si>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</si>
  <si>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</si>
  <si>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</si>
  <si>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</si>
  <si>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</si>
  <si>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</si>
  <si>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</si>
  <si>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</si>
  <si>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</si>
  <si>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</si>
  <si>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</si>
  <si>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</si>
  <si>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</si>
  <si>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</si>
  <si>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</si>
  <si>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</si>
  <si>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</si>
  <si>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</si>
  <si>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</si>
  <si>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</si>
  <si>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</si>
  <si>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</si>
  <si>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</si>
  <si>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</si>
  <si>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</si>
  <si>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</si>
  <si>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</si>
  <si>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</si>
  <si>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</si>
  <si>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</si>
  <si>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</si>
  <si>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</si>
  <si>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</si>
  <si>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</si>
  <si>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</si>
  <si>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</si>
  <si>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</si>
  <si>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</si>
  <si>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</si>
  <si>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</si>
  <si>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</si>
  <si>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</si>
  <si>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</si>
  <si>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</si>
  <si>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</si>
  <si>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</si>
  <si>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</si>
  <si>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</si>
  <si>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</si>
  <si>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</si>
  <si>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</si>
  <si>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</si>
  <si>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</si>
  <si>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</si>
  <si>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</si>
  <si>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</si>
  <si>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</si>
  <si>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</si>
  <si>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</si>
  <si>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</si>
  <si>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</si>
  <si>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</si>
  <si>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</si>
  <si>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</si>
  <si>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</si>
  <si>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</si>
  <si>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</si>
  <si>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</si>
  <si>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</si>
  <si>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</si>
  <si>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</si>
  <si>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</si>
  <si>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</si>
  <si>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</si>
  <si>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</si>
  <si>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</si>
  <si>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</si>
  <si>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</si>
  <si>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</si>
  <si>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</si>
  <si>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</si>
  <si>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</si>
  <si>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</si>
  <si>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</si>
  <si>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</si>
  <si>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</si>
  <si>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</si>
  <si>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</si>
  <si>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</si>
  <si>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</si>
  <si>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</si>
  <si>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</si>
  <si>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</si>
  <si>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</si>
  <si>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</si>
  <si>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</si>
  <si>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</si>
  <si>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</si>
  <si>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</si>
  <si>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</si>
  <si>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</si>
  <si>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</si>
  <si>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</si>
  <si>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</si>
  <si>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</si>
  <si>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</si>
  <si>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</si>
  <si>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</si>
  <si>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</si>
  <si>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</si>
  <si>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</si>
  <si>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</si>
  <si>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</si>
  <si>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</si>
  <si>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</si>
  <si>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</si>
  <si>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</si>
  <si>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</si>
  <si>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</si>
  <si>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</si>
  <si>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</si>
  <si>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</si>
  <si>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</si>
  <si>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</si>
  <si>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</si>
  <si>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</si>
  <si>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</si>
  <si>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</si>
  <si>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</si>
  <si>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</si>
  <si>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</si>
  <si>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</si>
  <si>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</si>
  <si>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</si>
  <si>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</si>
  <si>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</si>
  <si>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</si>
  <si>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</si>
  <si>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</si>
  <si>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</si>
  <si>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</si>
  <si>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</si>
  <si>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</si>
  <si>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</si>
  <si>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</si>
  <si>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</si>
  <si>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</si>
  <si>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</si>
  <si>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</si>
  <si>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</si>
  <si>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</si>
  <si>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</si>
  <si>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</si>
  <si>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</si>
  <si>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</si>
  <si>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</si>
  <si>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</si>
  <si>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</si>
  <si>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</si>
  <si>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</si>
  <si>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</si>
  <si>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</si>
  <si>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</si>
  <si>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</si>
  <si>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</si>
  <si>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</si>
  <si>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</si>
  <si>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</si>
  <si>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</si>
  <si>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</si>
  <si>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</si>
  <si>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</si>
  <si>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</si>
  <si>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</si>
  <si>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</si>
  <si>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</si>
  <si>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</si>
  <si>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</si>
  <si>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</si>
  <si>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</si>
  <si>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</si>
  <si>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</si>
  <si>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</si>
  <si>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</si>
  <si>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</si>
  <si>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</si>
  <si>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</si>
  <si>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</si>
  <si>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</si>
  <si>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</si>
  <si>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</si>
  <si>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</si>
  <si>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</si>
  <si>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</si>
  <si>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</si>
  <si>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</si>
  <si>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</si>
  <si>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</si>
  <si>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</si>
  <si>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</si>
  <si>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</si>
  <si>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</si>
  <si>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</si>
  <si>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</si>
  <si>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</si>
  <si>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</si>
  <si>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</si>
  <si>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</si>
  <si>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</si>
  <si>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</si>
  <si>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</si>
  <si>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</si>
  <si>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</si>
  <si>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</si>
  <si>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</si>
  <si>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</si>
  <si>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</si>
  <si>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</si>
  <si>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</si>
  <si>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</si>
  <si>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</si>
  <si>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</si>
  <si>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</si>
  <si>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</si>
  <si>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</si>
  <si>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</si>
  <si>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</si>
  <si>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</si>
  <si>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</si>
  <si>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</si>
  <si>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</si>
  <si>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</si>
  <si>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</si>
  <si>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</si>
  <si>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</si>
  <si>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</si>
  <si>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</si>
  <si>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</si>
  <si>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</si>
  <si>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</si>
  <si>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</si>
  <si>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</si>
  <si>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</si>
  <si>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</si>
  <si>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</si>
  <si>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</si>
  <si>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</si>
  <si>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</si>
  <si>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</si>
  <si>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</si>
  <si>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</si>
  <si>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</si>
  <si>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</si>
  <si>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</si>
  <si>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</si>
  <si>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</si>
  <si>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</si>
  <si>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</si>
  <si>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</si>
  <si>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</si>
  <si>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</si>
  <si>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</si>
  <si>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</si>
  <si>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</si>
  <si>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</si>
  <si>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</si>
  <si>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</si>
  <si>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</si>
  <si>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</si>
  <si>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</si>
  <si>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</si>
  <si>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</si>
  <si>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</si>
  <si>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</si>
  <si>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</si>
  <si>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</si>
  <si>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</si>
  <si>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</si>
  <si>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</si>
  <si>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</si>
  <si>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</si>
  <si>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</si>
  <si>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</si>
  <si>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</si>
  <si>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</si>
  <si>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</si>
  <si>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</si>
  <si>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</si>
  <si>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</si>
  <si>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</si>
  <si>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</si>
  <si>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</si>
  <si>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</si>
  <si>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</si>
  <si>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</si>
  <si>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</si>
  <si>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</si>
  <si>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</si>
  <si>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</si>
  <si>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</si>
  <si>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</si>
  <si>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</si>
  <si>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</si>
  <si>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</si>
  <si>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</si>
  <si>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</si>
  <si>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</si>
  <si>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</si>
  <si>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</si>
  <si>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</si>
  <si>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</si>
  <si>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</si>
  <si>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</si>
  <si>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</si>
  <si>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</si>
  <si>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</si>
  <si>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</si>
  <si>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</si>
  <si>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</si>
  <si>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</si>
  <si>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</si>
  <si>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</si>
  <si>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</si>
  <si>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</si>
  <si>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</si>
  <si>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</si>
  <si>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</si>
  <si>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</si>
  <si>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</si>
  <si>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</si>
  <si>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</si>
  <si>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</si>
  <si>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</si>
  <si>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</si>
  <si>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</si>
  <si>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</si>
  <si>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</si>
  <si>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</si>
  <si>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</si>
  <si>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</si>
  <si>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</si>
  <si>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</si>
  <si>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</si>
  <si>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</si>
  <si>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</si>
  <si>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</si>
  <si>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</si>
  <si>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</si>
  <si>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</si>
  <si>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</si>
  <si>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</si>
  <si>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</si>
  <si>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</si>
  <si>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</si>
  <si>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</si>
  <si>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</si>
  <si>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</si>
  <si>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</si>
  <si>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</si>
  <si>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</si>
  <si>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</si>
  <si>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</si>
  <si>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</si>
  <si>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</si>
  <si>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</si>
  <si>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</si>
  <si>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</si>
  <si>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</si>
  <si>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</si>
  <si>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</si>
  <si>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</si>
  <si>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</si>
  <si>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</si>
  <si>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</si>
  <si>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</si>
  <si>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</si>
  <si>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</si>
  <si>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</si>
  <si>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</si>
  <si>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</si>
  <si>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</si>
  <si>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</si>
  <si>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</si>
  <si>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</si>
  <si>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</si>
  <si>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</si>
  <si>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</si>
  <si>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</si>
  <si>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</si>
  <si>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</si>
  <si>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</si>
  <si>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</si>
  <si>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</si>
  <si>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</si>
  <si>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</si>
  <si>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</si>
  <si>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</si>
  <si>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</si>
  <si>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</si>
  <si>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</si>
  <si>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</si>
  <si>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</si>
  <si>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</si>
  <si>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</si>
  <si>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</si>
  <si>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</si>
  <si>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</si>
  <si>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</si>
  <si>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</si>
  <si>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</si>
  <si>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</si>
  <si>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</si>
  <si>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</si>
  <si>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</si>
  <si>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</si>
  <si>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</si>
  <si>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</si>
  <si>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</si>
  <si>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</si>
  <si>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</si>
  <si>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</si>
  <si>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</si>
  <si>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</si>
  <si>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</si>
  <si>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</si>
  <si>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</si>
  <si>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</si>
  <si>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</si>
  <si>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</si>
  <si>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</si>
  <si>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</si>
  <si>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</si>
  <si>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</si>
  <si>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</si>
  <si>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</si>
  <si>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</si>
  <si>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</si>
  <si>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</si>
  <si>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</si>
  <si>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</si>
  <si>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</si>
  <si>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</si>
  <si>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</si>
  <si>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</si>
  <si>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</si>
  <si>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</si>
  <si>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</si>
  <si>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</si>
  <si>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</si>
  <si>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</si>
  <si>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</si>
  <si>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</si>
  <si>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</si>
  <si>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</si>
  <si>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</si>
  <si>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</si>
  <si>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</si>
  <si>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</si>
  <si>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</si>
  <si>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</si>
  <si>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</si>
  <si>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</si>
  <si>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</si>
  <si>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</si>
  <si>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</si>
  <si>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</si>
  <si>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</si>
  <si>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</si>
  <si>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</si>
  <si>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</si>
  <si>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</si>
  <si>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</si>
  <si>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</si>
  <si>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</si>
  <si>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</si>
  <si>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</si>
  <si>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</si>
  <si>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</si>
  <si>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</si>
  <si>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</si>
  <si>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</si>
  <si>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</si>
  <si>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</si>
  <si>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</si>
  <si>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</si>
  <si>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</si>
  <si>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</si>
  <si>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</si>
  <si>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</si>
  <si>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</si>
  <si>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</si>
  <si>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</si>
  <si>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</si>
  <si>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</si>
  <si>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</si>
  <si>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</si>
  <si>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</si>
  <si>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</si>
  <si>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</si>
  <si>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</si>
  <si>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</si>
  <si>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</si>
  <si>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</si>
  <si>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</si>
  <si>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</si>
  <si>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</si>
  <si>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</si>
  <si>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</si>
  <si>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</si>
  <si>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</si>
  <si>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</si>
  <si>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</si>
  <si>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</si>
  <si>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</si>
  <si>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</si>
  <si>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</si>
  <si>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</si>
  <si>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</si>
  <si>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</si>
  <si>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</si>
  <si>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</si>
  <si>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</si>
  <si>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</si>
  <si>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</si>
  <si>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</si>
  <si>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</si>
  <si>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</si>
  <si>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</si>
  <si>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</si>
  <si>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</si>
  <si>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</si>
  <si>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</si>
  <si>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</si>
  <si>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</si>
  <si>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</si>
  <si>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</si>
  <si>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</si>
  <si>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</si>
  <si>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</si>
  <si>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</si>
  <si>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</si>
  <si>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</si>
  <si>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</si>
  <si>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</si>
  <si>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</si>
  <si>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</si>
  <si>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</si>
  <si>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</si>
  <si>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</si>
  <si>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</si>
  <si>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</si>
  <si>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</si>
  <si>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</si>
  <si>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</si>
  <si>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</si>
  <si>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</si>
  <si>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</si>
  <si>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</si>
  <si>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</si>
  <si>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</si>
  <si>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</si>
  <si>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</si>
  <si>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</si>
  <si>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</si>
  <si>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</si>
  <si>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</si>
  <si>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</si>
  <si>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</si>
  <si>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</si>
  <si>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</si>
  <si>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</si>
  <si>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</si>
  <si>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</si>
  <si>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</si>
  <si>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</si>
  <si>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</si>
  <si>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</si>
  <si>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</si>
  <si>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</si>
  <si>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</si>
  <si>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</si>
  <si>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</si>
  <si>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</si>
  <si>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</si>
  <si>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</si>
  <si>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</si>
  <si>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</si>
  <si>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</si>
  <si>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</si>
  <si>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</si>
  <si>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</si>
  <si>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</si>
  <si>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</si>
  <si>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</si>
  <si>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</si>
  <si>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</si>
  <si>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</si>
  <si>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</si>
  <si>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</si>
  <si>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</si>
  <si>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</si>
  <si>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</si>
  <si>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</si>
  <si>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</si>
  <si>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</si>
  <si>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</si>
  <si>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</si>
  <si>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</si>
  <si>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</si>
  <si>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</si>
  <si>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</si>
  <si>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</si>
  <si>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</si>
  <si>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</si>
  <si>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</si>
  <si>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</si>
  <si>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</si>
  <si>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</si>
  <si>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</si>
  <si>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</si>
  <si>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</si>
  <si>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</si>
  <si>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</si>
  <si>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</si>
  <si>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</si>
  <si>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</si>
  <si>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</si>
  <si>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</si>
  <si>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</si>
  <si>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</si>
  <si>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</si>
  <si>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</si>
  <si>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</si>
  <si>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</si>
  <si>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</si>
  <si>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</si>
  <si>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</si>
  <si>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</si>
  <si>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</si>
  <si>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</si>
  <si>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</si>
  <si>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</si>
  <si>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</si>
  <si>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</si>
  <si>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</si>
  <si>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</si>
  <si>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</si>
  <si>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</si>
  <si>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</si>
  <si>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</si>
  <si>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</si>
  <si>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</si>
  <si>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</si>
  <si>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</si>
  <si>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</si>
  <si>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</si>
  <si>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</si>
  <si>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</si>
  <si>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</si>
  <si>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</si>
  <si>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</si>
  <si>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</si>
  <si>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</si>
  <si>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</si>
  <si>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</si>
  <si>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</si>
  <si>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</si>
  <si>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</si>
  <si>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</si>
  <si>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</si>
  <si>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</si>
  <si>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</si>
  <si>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</si>
  <si>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</si>
  <si>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</si>
  <si>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</si>
  <si>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</si>
  <si>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</si>
  <si>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</si>
  <si>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</si>
  <si>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</si>
  <si>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</si>
  <si>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</si>
  <si>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</si>
  <si>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</si>
  <si>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</si>
  <si>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</si>
  <si>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</si>
  <si>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</si>
  <si>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</si>
  <si>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</si>
  <si>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</si>
  <si>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</si>
  <si>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</si>
  <si>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</si>
  <si>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</si>
  <si>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</si>
  <si>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</si>
  <si>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</si>
  <si>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</si>
  <si>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</si>
  <si>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</si>
  <si>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</si>
  <si>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</si>
  <si>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</si>
  <si>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</si>
  <si>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</si>
  <si>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</si>
  <si>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</si>
  <si>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</si>
  <si>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</si>
  <si>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</si>
  <si>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</si>
  <si>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</si>
  <si>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</si>
  <si>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</si>
  <si>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</si>
  <si>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</si>
  <si>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</si>
  <si>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</si>
  <si>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</si>
  <si>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</si>
  <si>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</si>
  <si>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</si>
  <si>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</si>
  <si>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</si>
  <si>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</si>
  <si>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</si>
  <si>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</si>
  <si>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</si>
  <si>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</si>
  <si>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</si>
  <si>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</si>
  <si>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</si>
  <si>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</si>
  <si>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</si>
  <si>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</si>
  <si>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</si>
  <si>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</si>
  <si>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</si>
  <si>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</si>
  <si>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</si>
  <si>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</si>
  <si>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</si>
  <si>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</si>
  <si>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</si>
  <si>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</si>
  <si>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</si>
  <si>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</si>
  <si>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</si>
  <si>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</si>
  <si>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</si>
  <si>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</si>
  <si>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</si>
  <si>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</si>
  <si>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</si>
  <si>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</si>
  <si>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</si>
  <si>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</si>
  <si>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</si>
  <si>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</si>
  <si>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</si>
  <si>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</si>
  <si>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</si>
  <si>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</si>
  <si>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</si>
  <si>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</si>
  <si>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</si>
  <si>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</si>
  <si>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</si>
  <si>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</si>
  <si>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</si>
  <si>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</si>
  <si>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</si>
  <si>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</si>
  <si>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</si>
  <si>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</si>
  <si>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</si>
  <si>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</si>
  <si>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</si>
  <si>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</si>
  <si>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</si>
  <si>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</si>
  <si>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</si>
  <si>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</si>
  <si>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</si>
  <si>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</si>
  <si>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</si>
  <si>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</si>
  <si>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</si>
  <si>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</si>
  <si>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</si>
  <si>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</si>
  <si>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</si>
  <si>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</si>
  <si>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</si>
  <si>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</si>
  <si>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</si>
  <si>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</si>
  <si>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</si>
  <si>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</si>
  <si>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</si>
  <si>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</si>
  <si>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</si>
  <si>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</si>
  <si>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</si>
  <si>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</si>
  <si>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</si>
  <si>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</si>
  <si>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</si>
  <si>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</si>
  <si>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</si>
  <si>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</si>
  <si>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</si>
  <si>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</si>
  <si>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</si>
  <si>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</si>
  <si>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</si>
  <si>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</si>
  <si>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</si>
  <si>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</si>
  <si>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</si>
  <si>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</si>
  <si>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</si>
  <si>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</si>
  <si>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</si>
  <si>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</si>
  <si>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</si>
  <si>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</si>
  <si>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</si>
  <si>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</si>
  <si>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</si>
  <si>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</si>
  <si>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</si>
  <si>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</si>
  <si>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</si>
  <si>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</si>
  <si>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</si>
  <si>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</si>
  <si>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</si>
  <si>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</si>
  <si>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</si>
  <si>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</si>
  <si>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</si>
  <si>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</si>
  <si>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</si>
  <si>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</si>
  <si>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</si>
  <si>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</si>
  <si>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</si>
  <si>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</si>
  <si>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</si>
  <si>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</si>
  <si>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</si>
  <si>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</si>
  <si>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</si>
  <si>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</si>
  <si>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</si>
  <si>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</si>
  <si>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</si>
  <si>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</si>
  <si>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</si>
  <si>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</si>
  <si>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</si>
  <si>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</si>
  <si>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</si>
  <si>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</si>
  <si>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</si>
  <si>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</si>
  <si>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</si>
  <si>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</si>
  <si>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</si>
  <si>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</si>
  <si>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</si>
  <si>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</si>
  <si>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</si>
  <si>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</si>
  <si>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</si>
  <si>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</si>
  <si>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</si>
  <si>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</si>
  <si>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</si>
  <si>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</si>
  <si>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</si>
  <si>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</si>
  <si>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</si>
  <si>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</si>
  <si>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</si>
  <si>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</si>
  <si>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</si>
  <si>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</si>
  <si>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</si>
  <si>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</si>
  <si>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</si>
  <si>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</si>
  <si>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</si>
  <si>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</si>
  <si>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</si>
  <si>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</si>
  <si>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</si>
  <si>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</si>
  <si>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</si>
  <si>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</si>
  <si>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</si>
  <si>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</si>
  <si>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</si>
  <si>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</si>
  <si>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</si>
  <si>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</si>
  <si>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</si>
  <si>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</si>
  <si>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</si>
  <si>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</si>
  <si>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</si>
  <si>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</si>
  <si>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</si>
  <si>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</si>
  <si>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</si>
  <si>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</si>
  <si>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</si>
  <si>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</si>
  <si>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</si>
  <si>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</si>
  <si>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</si>
  <si>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</si>
  <si>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</si>
  <si>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</si>
  <si>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</si>
  <si>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</si>
  <si>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</si>
  <si>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</si>
  <si>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</si>
  <si>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</si>
  <si>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</si>
  <si>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</si>
  <si>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</si>
  <si>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</si>
  <si>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</si>
  <si>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</si>
  <si>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</si>
  <si>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</si>
  <si>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</si>
  <si>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</si>
  <si>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</si>
  <si>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</si>
  <si>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</si>
  <si>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</si>
  <si>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</si>
  <si>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</si>
  <si>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</si>
  <si>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</si>
  <si>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</si>
  <si>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</si>
  <si>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</si>
  <si>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</si>
  <si>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</si>
  <si>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</si>
  <si>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</si>
  <si>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</si>
  <si>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</si>
  <si>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</si>
  <si>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</si>
  <si>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</si>
  <si>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</si>
  <si>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</si>
  <si>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</si>
  <si>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</si>
  <si>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</si>
  <si>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</si>
  <si>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</si>
  <si>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</si>
  <si>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</si>
  <si>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</si>
  <si>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</si>
  <si>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</si>
  <si>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</si>
  <si>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</si>
  <si>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</si>
  <si>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</si>
  <si>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</si>
  <si>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</si>
  <si>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</si>
  <si>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</si>
  <si>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</si>
  <si>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</si>
  <si>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</si>
  <si>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</si>
  <si>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</si>
  <si>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</si>
  <si>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</si>
  <si>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</si>
  <si>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</si>
  <si>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</si>
  <si>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</si>
  <si>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</si>
  <si>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</si>
  <si>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</si>
  <si>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</si>
  <si>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</si>
  <si>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</si>
  <si>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</si>
  <si>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</si>
  <si>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</si>
  <si>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</si>
  <si>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</si>
  <si>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</si>
  <si>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</si>
  <si>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</si>
  <si>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</si>
  <si>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</si>
  <si>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</si>
  <si>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</si>
  <si>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</si>
  <si>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</si>
  <si>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</si>
  <si>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</si>
  <si>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</si>
  <si>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</si>
  <si>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</si>
  <si>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</si>
  <si>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</si>
  <si>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</si>
  <si>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</si>
  <si>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</si>
  <si>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</si>
  <si>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</si>
  <si>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</si>
  <si>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</si>
  <si>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</si>
  <si>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</si>
  <si>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</si>
  <si>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</si>
  <si>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</si>
  <si>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</si>
  <si>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</si>
  <si>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</si>
  <si>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</si>
  <si>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</si>
  <si>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</si>
  <si>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</si>
  <si>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</si>
  <si>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</si>
  <si>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</si>
  <si>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</si>
  <si>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</si>
  <si>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</si>
  <si>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</si>
  <si>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</si>
  <si>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</si>
  <si>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</si>
  <si>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</si>
  <si>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</si>
  <si>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</si>
  <si>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</si>
  <si>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</si>
  <si>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</si>
  <si>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</si>
  <si>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</si>
  <si>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</si>
  <si>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</si>
  <si>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</si>
  <si>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</si>
  <si>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</si>
  <si>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</si>
  <si>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</si>
  <si>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</si>
  <si>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</si>
  <si>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</si>
  <si>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</si>
  <si>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</si>
  <si>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</si>
  <si>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</si>
  <si>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</si>
  <si>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</si>
  <si>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</si>
  <si>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</si>
  <si>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</si>
  <si>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</si>
  <si>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</si>
  <si>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</si>
  <si>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</si>
  <si>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</si>
  <si>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</si>
  <si>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</si>
  <si>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</si>
  <si>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</si>
  <si>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</si>
  <si>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</si>
  <si>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</si>
  <si>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</si>
  <si>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</si>
  <si>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</si>
  <si>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</si>
  <si>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</si>
  <si>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</si>
  <si>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</si>
  <si>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</si>
  <si>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</si>
  <si>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</si>
  <si>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</si>
  <si>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</si>
  <si>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</si>
  <si>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</si>
  <si>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</si>
  <si>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</si>
  <si>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</si>
  <si>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</si>
  <si>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</si>
  <si>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</si>
  <si>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</si>
  <si>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</si>
  <si>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</si>
  <si>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</si>
  <si>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</si>
  <si>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</si>
  <si>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</si>
  <si>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</si>
  <si>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</si>
  <si>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</si>
  <si>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</si>
  <si>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</si>
  <si>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</si>
  <si>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</si>
  <si>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</si>
  <si>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</si>
  <si>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</si>
  <si>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</si>
  <si>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</si>
  <si>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</si>
  <si>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</si>
  <si>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</si>
  <si>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</si>
  <si>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</si>
  <si>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</si>
  <si>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</si>
  <si>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</si>
  <si>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</si>
  <si>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</si>
  <si>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</si>
  <si>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</si>
  <si>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</si>
  <si>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</si>
  <si>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</si>
  <si>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</si>
  <si>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</si>
  <si>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</si>
  <si>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</si>
  <si>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</si>
  <si>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</si>
  <si>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</si>
  <si>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</si>
  <si>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</si>
  <si>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</si>
  <si>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</si>
  <si>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</si>
  <si>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</si>
  <si>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</si>
  <si>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</si>
  <si>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</si>
  <si>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</si>
  <si>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</si>
  <si>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</si>
  <si>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</si>
  <si>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</si>
  <si>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</si>
  <si>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</si>
  <si>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</si>
  <si>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</si>
  <si>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</si>
  <si>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</si>
  <si>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</si>
  <si>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</si>
  <si>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</si>
  <si>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</si>
  <si>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</si>
  <si>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</si>
  <si>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</si>
  <si>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</si>
  <si>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</si>
  <si>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</si>
  <si>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</si>
  <si>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</si>
  <si>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</si>
  <si>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</si>
  <si>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</si>
  <si>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</si>
  <si>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</si>
  <si>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</si>
  <si>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</si>
  <si>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</si>
  <si>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</si>
  <si>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</si>
  <si>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</si>
  <si>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</si>
  <si>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</si>
  <si>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</si>
  <si>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</si>
  <si>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</si>
  <si>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</si>
  <si>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</si>
  <si>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</si>
  <si>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</si>
  <si>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</si>
  <si>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</si>
  <si>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</si>
  <si>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</si>
  <si>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</si>
  <si>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</si>
  <si>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</si>
  <si>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</si>
  <si>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</si>
  <si>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</si>
  <si>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</si>
  <si>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</si>
  <si>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</si>
  <si>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</si>
  <si>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</si>
  <si>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</si>
  <si>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</si>
  <si>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</si>
  <si>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</si>
  <si>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</si>
  <si>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</si>
  <si>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</si>
  <si>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</si>
  <si>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</si>
  <si>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</si>
  <si>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</si>
  <si>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</si>
  <si>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</si>
  <si>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</si>
  <si>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</si>
  <si>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</si>
  <si>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</si>
  <si>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</si>
  <si>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</si>
  <si>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</si>
  <si>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</si>
  <si>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</si>
  <si>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</si>
  <si>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</si>
  <si>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</si>
  <si>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</si>
  <si>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</si>
  <si>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</si>
  <si>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</si>
  <si>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</si>
  <si>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</si>
  <si>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</si>
  <si>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</si>
  <si>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</si>
  <si>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</si>
  <si>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</si>
  <si>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</si>
  <si>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</si>
  <si>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</si>
  <si>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</si>
  <si>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</si>
  <si>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</si>
  <si>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</si>
  <si>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</si>
  <si>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</si>
  <si>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</si>
  <si>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</si>
  <si>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</si>
  <si>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</si>
  <si>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</si>
  <si>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</si>
  <si>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</si>
  <si>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</si>
  <si>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</si>
  <si>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</si>
  <si>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</si>
  <si>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</si>
  <si>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</si>
  <si>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</si>
  <si>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</si>
  <si>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</si>
  <si>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</si>
  <si>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</si>
  <si>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</si>
  <si>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</si>
  <si>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</si>
  <si>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</si>
  <si>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</si>
  <si>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</si>
  <si>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</si>
  <si>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</si>
  <si>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</si>
  <si>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</si>
  <si>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</si>
  <si>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</si>
  <si>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</si>
  <si>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</si>
  <si>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</si>
  <si>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</si>
  <si>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</si>
  <si>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</si>
  <si>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</si>
  <si>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</si>
  <si>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</si>
  <si>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</si>
  <si>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</si>
  <si>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</si>
  <si>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</si>
  <si>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</si>
  <si>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</si>
  <si>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</si>
  <si>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</si>
  <si>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</si>
  <si>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</si>
  <si>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</si>
  <si>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</si>
  <si>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</si>
  <si>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</si>
  <si>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</si>
  <si>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</si>
  <si>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</si>
  <si>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</si>
  <si>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</si>
  <si>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</si>
  <si>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</si>
  <si>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</si>
  <si>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</si>
  <si>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</si>
  <si>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</si>
  <si>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</si>
  <si>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</si>
  <si>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</si>
  <si>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</si>
  <si>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</si>
  <si>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</si>
  <si>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</si>
  <si>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</si>
  <si>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</si>
  <si>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</si>
  <si>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</si>
  <si>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</si>
  <si>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</si>
  <si>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</si>
  <si>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</si>
  <si>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</si>
  <si>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</si>
  <si>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</si>
  <si>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</si>
  <si>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</si>
  <si>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</si>
  <si>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</si>
  <si>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</si>
  <si>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</si>
  <si>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</si>
  <si>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</si>
  <si>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</si>
  <si>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</si>
  <si>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</si>
  <si>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</si>
  <si>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</si>
  <si>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</si>
  <si>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</si>
  <si>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</si>
  <si>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</si>
  <si>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</si>
  <si>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</si>
  <si>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</si>
  <si>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</si>
  <si>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</si>
  <si>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</si>
  <si>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</si>
  <si>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</si>
  <si>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</si>
  <si>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</si>
  <si>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</si>
  <si>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</si>
  <si>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</si>
  <si>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</si>
  <si>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</si>
  <si>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</si>
  <si>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</si>
  <si>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</si>
  <si>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</si>
  <si>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</si>
  <si>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</si>
  <si>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</si>
  <si>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</si>
  <si>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</si>
  <si>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</si>
  <si>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</si>
  <si>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</si>
  <si>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</si>
  <si>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</si>
  <si>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</si>
  <si>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</si>
  <si>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</si>
  <si>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</si>
  <si>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</si>
  <si>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</si>
  <si>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</si>
  <si>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</si>
  <si>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</si>
  <si>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</si>
  <si>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</si>
  <si>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</si>
  <si>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</si>
  <si>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</si>
  <si>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</si>
  <si>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</si>
  <si>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</si>
  <si>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</si>
  <si>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</si>
  <si>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</si>
  <si>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</si>
  <si>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</si>
  <si>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</si>
  <si>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</si>
  <si>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</si>
  <si>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</si>
  <si>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</si>
  <si>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</si>
  <si>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</si>
  <si>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</si>
  <si>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</si>
  <si>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</si>
  <si>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</si>
  <si>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</si>
  <si>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</si>
  <si>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</si>
  <si>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</si>
  <si>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</si>
  <si>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</si>
  <si>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</si>
  <si>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</si>
  <si>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</si>
  <si>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</si>
  <si>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</si>
  <si>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</si>
  <si>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</si>
  <si>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</si>
  <si>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</si>
  <si>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</si>
  <si>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</si>
  <si>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</si>
  <si>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</si>
  <si>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</si>
  <si>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</si>
  <si>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</si>
  <si>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</si>
  <si>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</si>
  <si>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</si>
  <si>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</si>
  <si>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</si>
  <si>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</si>
  <si>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</si>
  <si>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</si>
  <si>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</si>
  <si>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</si>
  <si>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</si>
  <si>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</si>
  <si>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</si>
  <si>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</si>
  <si>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</si>
  <si>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</si>
  <si>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</si>
  <si>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</si>
  <si>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</si>
  <si>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</si>
  <si>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</si>
  <si>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</si>
  <si>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</si>
  <si>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</si>
  <si>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</si>
  <si>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</si>
  <si>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</si>
  <si>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</si>
  <si>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</si>
  <si>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</si>
  <si>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</si>
  <si>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</si>
  <si>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</si>
  <si>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</si>
  <si>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</si>
  <si>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</si>
  <si>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</si>
  <si>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</si>
  <si>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</si>
  <si>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</si>
  <si>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</si>
  <si>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</si>
  <si>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</si>
  <si>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</si>
  <si>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</si>
  <si>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</si>
  <si>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</si>
  <si>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</si>
  <si>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</si>
  <si>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</si>
  <si>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</si>
  <si>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</si>
  <si>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</si>
  <si>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</si>
  <si>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</si>
  <si>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</si>
  <si>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</si>
  <si>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</si>
  <si>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</si>
  <si>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</si>
  <si>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</si>
  <si>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</si>
  <si>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</si>
  <si>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</si>
  <si>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</si>
  <si>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</si>
  <si>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</si>
  <si>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</si>
  <si>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</si>
  <si>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</si>
  <si>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</si>
  <si>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</si>
  <si>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</si>
  <si>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</si>
  <si>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</si>
  <si>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</si>
  <si>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</si>
  <si>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</si>
  <si>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</si>
  <si>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</si>
  <si>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</si>
  <si>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</si>
  <si>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</si>
  <si>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</si>
  <si>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</si>
  <si>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</si>
  <si>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</si>
  <si>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</si>
  <si>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</si>
  <si>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</si>
  <si>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</si>
  <si>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</si>
  <si>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</si>
  <si>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</si>
  <si>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</si>
  <si>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</si>
  <si>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</si>
  <si>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</si>
  <si>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</si>
  <si>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</si>
  <si>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</si>
  <si>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</si>
  <si>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</si>
  <si>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</si>
  <si>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</si>
  <si>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</si>
  <si>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</si>
  <si>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</si>
  <si>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</si>
  <si>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</si>
  <si>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</si>
  <si>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</si>
  <si>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</si>
  <si>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</si>
  <si>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</si>
  <si>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</si>
  <si>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</si>
  <si>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</si>
  <si>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</si>
  <si>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</si>
  <si>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</si>
  <si>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</si>
  <si>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</si>
  <si>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</si>
  <si>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</si>
  <si>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</si>
  <si>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</si>
  <si>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</si>
  <si>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</si>
  <si>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</si>
  <si>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</si>
  <si>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</si>
  <si>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</si>
  <si>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</si>
  <si>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</si>
  <si>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</si>
  <si>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</si>
  <si>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</si>
  <si>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</si>
  <si>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</si>
  <si>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</si>
  <si>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</si>
  <si>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</si>
  <si>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</si>
  <si>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</si>
  <si>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</si>
  <si>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</si>
  <si>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</si>
  <si>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</si>
  <si>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</si>
  <si>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</si>
  <si>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</si>
  <si>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</si>
  <si>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</si>
  <si>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</si>
  <si>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</si>
  <si>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</si>
  <si>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</si>
  <si>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</si>
  <si>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</si>
  <si>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</si>
  <si>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</si>
  <si>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</si>
  <si>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</si>
  <si>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</si>
  <si>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</si>
  <si>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</si>
  <si>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</si>
  <si>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</si>
  <si>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</si>
  <si>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</si>
  <si>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</si>
  <si>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</si>
  <si>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</si>
  <si>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</si>
  <si>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</si>
  <si>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</si>
  <si>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</si>
  <si>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</si>
  <si>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</si>
  <si>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</si>
  <si>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</si>
  <si>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</si>
  <si>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</si>
  <si>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</si>
  <si>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</si>
  <si>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</si>
  <si>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</si>
  <si>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</si>
  <si>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</si>
  <si>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</si>
  <si>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</si>
  <si>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</si>
  <si>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</si>
  <si>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</si>
  <si>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</si>
  <si>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</si>
  <si>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</si>
  <si>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</si>
  <si>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</si>
  <si>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</si>
  <si>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</si>
  <si>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</si>
  <si>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</si>
  <si>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</si>
  <si>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</si>
  <si>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</si>
  <si>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</si>
  <si>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</si>
  <si>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</si>
  <si>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</si>
  <si>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</si>
  <si>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</si>
  <si>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</si>
  <si>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</si>
  <si>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</si>
  <si>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</si>
  <si>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</si>
  <si>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</si>
  <si>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</si>
  <si>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</si>
  <si>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</si>
  <si>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</si>
  <si>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</si>
  <si>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</si>
  <si>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</si>
  <si>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</si>
  <si>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</si>
  <si>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</si>
  <si>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</si>
  <si>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</si>
  <si>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</si>
  <si>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</si>
  <si>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</si>
  <si>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</si>
  <si>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</si>
  <si>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</si>
  <si>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</si>
  <si>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</si>
  <si>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</si>
  <si>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</si>
  <si>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</si>
  <si>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</si>
  <si>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</si>
  <si>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</si>
  <si>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</si>
  <si>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</si>
  <si>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</si>
  <si>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</si>
  <si>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</si>
  <si>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</si>
  <si>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</si>
  <si>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</si>
  <si>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</si>
  <si>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</si>
  <si>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</si>
  <si>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</si>
  <si>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</si>
  <si>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</si>
  <si>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</si>
  <si>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</si>
  <si>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</si>
  <si>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</si>
  <si>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</si>
  <si>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</si>
  <si>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</si>
  <si>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</si>
  <si>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</si>
  <si>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</si>
  <si>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</si>
  <si>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</si>
  <si>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</si>
  <si>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</si>
  <si>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</si>
  <si>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</si>
  <si>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</si>
  <si>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</si>
  <si>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</si>
  <si>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</si>
  <si>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</si>
  <si>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</si>
  <si>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</si>
  <si>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</si>
  <si>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</si>
  <si>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</si>
  <si>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</si>
  <si>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</si>
  <si>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</si>
  <si>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</si>
  <si>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</si>
  <si>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</si>
  <si>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</si>
  <si>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</si>
  <si>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</si>
  <si>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</si>
  <si>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</si>
  <si>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</si>
  <si>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</si>
  <si>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</si>
  <si>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</si>
  <si>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</si>
  <si>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</si>
  <si>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</si>
  <si>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</si>
  <si>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</si>
  <si>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</si>
  <si>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</si>
  <si>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</si>
  <si>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</si>
  <si>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</si>
  <si>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</si>
  <si>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</si>
  <si>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</si>
  <si>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</si>
  <si>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</si>
  <si>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</si>
  <si>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</si>
  <si>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</si>
  <si>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</si>
  <si>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</si>
  <si>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</si>
  <si>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</si>
  <si>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</si>
  <si>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</si>
  <si>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</si>
  <si>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</si>
  <si>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</si>
  <si>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</si>
  <si>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</si>
  <si>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</si>
  <si>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</si>
  <si>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</si>
  <si>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</si>
  <si>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</si>
  <si>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</si>
  <si>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</si>
  <si>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</si>
  <si>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</si>
  <si>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</si>
  <si>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</si>
  <si>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</si>
  <si>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</si>
  <si>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</si>
  <si>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</si>
  <si>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</si>
  <si>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</si>
  <si>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</si>
  <si>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</si>
  <si>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</si>
  <si>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</si>
  <si>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</si>
  <si>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</si>
  <si>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</si>
  <si>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</si>
  <si>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</si>
  <si>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</si>
  <si>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</si>
  <si>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</si>
  <si>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</si>
  <si>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</si>
  <si>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</si>
  <si>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</si>
  <si>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</si>
  <si>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</si>
  <si>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</si>
  <si>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</si>
  <si>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</si>
  <si>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</si>
  <si>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</si>
  <si>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</si>
  <si>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</si>
  <si>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</si>
  <si>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</si>
  <si>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</si>
  <si>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</si>
  <si>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</si>
  <si>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</si>
  <si>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</si>
  <si>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</si>
  <si>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</si>
  <si>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</si>
  <si>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</si>
  <si>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</si>
  <si>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</si>
  <si>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</si>
  <si>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</si>
  <si>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</si>
  <si>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</si>
  <si>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</si>
  <si>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</si>
  <si>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</si>
  <si>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</si>
  <si>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</si>
  <si>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</si>
  <si>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</si>
  <si>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</si>
  <si>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</si>
  <si>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</si>
  <si>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</si>
  <si>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</si>
  <si>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</si>
  <si>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</si>
  <si>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</si>
  <si>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</si>
  <si>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</si>
  <si>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</si>
  <si>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</si>
  <si>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</si>
  <si>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</si>
  <si>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</si>
  <si>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</si>
  <si>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</si>
  <si>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</si>
  <si>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</si>
  <si>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</si>
  <si>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</si>
  <si>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</si>
  <si>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</si>
  <si>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</si>
  <si>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</si>
  <si>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</si>
  <si>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</si>
  <si>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</si>
  <si>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</si>
  <si>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</si>
  <si>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</si>
  <si>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</si>
  <si>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</si>
  <si>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</si>
  <si>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</si>
  <si>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</si>
  <si>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</si>
  <si>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</si>
  <si>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</si>
  <si>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</si>
  <si>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</si>
  <si>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</si>
  <si>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</si>
  <si>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</si>
  <si>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</si>
  <si>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</si>
  <si>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</si>
  <si>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</si>
  <si>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</si>
  <si>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</si>
  <si>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</si>
  <si>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</si>
  <si>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</si>
  <si>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</si>
  <si>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</si>
  <si>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</si>
  <si>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</si>
  <si>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</si>
  <si>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</si>
  <si>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</si>
  <si>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</si>
  <si>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</si>
  <si>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</si>
  <si>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</si>
  <si>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</si>
  <si>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</si>
  <si>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</si>
  <si>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</si>
  <si>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</si>
  <si>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</si>
  <si>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</si>
  <si>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</si>
  <si>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</si>
  <si>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</si>
  <si>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</si>
  <si>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</si>
  <si>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</si>
  <si>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</si>
  <si>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</si>
  <si>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</si>
  <si>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</si>
  <si>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</si>
  <si>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</si>
  <si>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</si>
  <si>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</si>
  <si>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</si>
  <si>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</si>
  <si>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</si>
  <si>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</si>
  <si>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</si>
  <si>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</si>
  <si>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</si>
  <si>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</si>
  <si>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</si>
  <si>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</si>
  <si>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</si>
  <si>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</si>
  <si>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</si>
  <si>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</si>
  <si>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</si>
  <si>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</si>
  <si>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</si>
  <si>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</si>
  <si>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</si>
  <si>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</si>
  <si>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</si>
  <si>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</si>
  <si>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</si>
  <si>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</si>
  <si>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</si>
  <si>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</si>
  <si>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</si>
  <si>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</si>
  <si>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</si>
  <si>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</si>
  <si>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</si>
  <si>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</si>
  <si>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</si>
  <si>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</si>
  <si>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</si>
  <si>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</si>
  <si>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</si>
  <si>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</si>
  <si>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</si>
  <si>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</si>
  <si>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</si>
  <si>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</si>
  <si>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</si>
  <si>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</si>
  <si>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</si>
  <si>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</si>
  <si>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</si>
  <si>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</si>
  <si>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</si>
  <si>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</si>
  <si>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</si>
  <si>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</si>
  <si>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</si>
  <si>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</si>
  <si>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</si>
  <si>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</si>
  <si>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</si>
  <si>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</si>
  <si>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</si>
  <si>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</si>
  <si>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</si>
  <si>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</si>
  <si>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</si>
  <si>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</si>
  <si>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</si>
  <si>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</si>
  <si>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</si>
  <si>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</si>
  <si>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</si>
  <si>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</si>
  <si>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</si>
  <si>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</si>
  <si>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</si>
  <si>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</si>
  <si>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</si>
  <si>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</si>
  <si>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</si>
  <si>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</si>
  <si>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</si>
  <si>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</si>
  <si>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</si>
  <si>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</si>
  <si>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</si>
  <si>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</si>
  <si>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</si>
  <si>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</si>
  <si>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</si>
  <si>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</si>
  <si>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</si>
  <si>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</si>
  <si>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</si>
  <si>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</si>
  <si>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</si>
  <si>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</si>
  <si>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</si>
  <si>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</si>
  <si>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</si>
  <si>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</si>
  <si>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</si>
  <si>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</si>
  <si>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</si>
  <si>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</si>
  <si>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</si>
  <si>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</si>
  <si>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</si>
  <si>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</si>
  <si>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</si>
  <si>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</si>
  <si>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</si>
  <si>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</si>
  <si>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</si>
  <si>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</si>
  <si>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</si>
  <si>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</si>
  <si>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</si>
  <si>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</si>
  <si>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</si>
  <si>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</si>
  <si>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</si>
  <si>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</si>
  <si>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</si>
  <si>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</si>
  <si>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</si>
  <si>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</si>
  <si>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</si>
  <si>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</si>
  <si>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</si>
  <si>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</si>
  <si>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</si>
  <si>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</si>
  <si>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</si>
  <si>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</si>
  <si>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</si>
  <si>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</si>
  <si>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</si>
  <si>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</si>
  <si>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</si>
  <si>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</si>
  <si>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</si>
  <si>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</si>
  <si>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</si>
  <si>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</si>
  <si>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</si>
  <si>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</si>
  <si>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</si>
  <si>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</si>
  <si>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</si>
  <si>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</si>
  <si>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</si>
  <si>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</si>
  <si>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</si>
  <si>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</si>
  <si>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</si>
  <si>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</si>
  <si>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</si>
  <si>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</si>
  <si>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</si>
  <si>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</si>
  <si>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</si>
  <si>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</si>
  <si>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</si>
  <si>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</si>
  <si>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</si>
  <si>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</si>
  <si>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</si>
  <si>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</si>
  <si>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</si>
  <si>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</si>
  <si>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</si>
  <si>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</si>
  <si>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</si>
  <si>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</si>
  <si>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</si>
  <si>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</si>
  <si>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</si>
  <si>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</si>
  <si>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</si>
  <si>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</si>
  <si>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</si>
  <si>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</si>
  <si>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</si>
  <si>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</si>
  <si>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</si>
  <si>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</si>
  <si>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</si>
  <si>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</si>
  <si>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</si>
  <si>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</si>
  <si>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</si>
  <si>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</si>
  <si>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</si>
  <si>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</si>
  <si>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</si>
  <si>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</si>
  <si>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</si>
  <si>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</si>
  <si>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</si>
  <si>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</si>
  <si>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</si>
  <si>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</si>
  <si>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</si>
  <si>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</si>
  <si>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</si>
  <si>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</si>
  <si>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</si>
  <si>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</si>
  <si>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</si>
  <si>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</si>
  <si>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</si>
  <si>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</si>
  <si>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</si>
  <si>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</si>
  <si>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</si>
  <si>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</si>
  <si>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</si>
  <si>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</si>
  <si>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</si>
  <si>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</si>
  <si>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</si>
  <si>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</si>
  <si>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</si>
  <si>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</si>
  <si>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</si>
  <si>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</si>
  <si>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</si>
  <si>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</si>
  <si>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</si>
  <si>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</si>
  <si>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</si>
  <si>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</si>
  <si>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</si>
  <si>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</si>
  <si>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</si>
  <si>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</si>
  <si>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</si>
  <si>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</si>
  <si>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</si>
  <si>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</si>
  <si>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</si>
  <si>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</si>
  <si>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</si>
  <si>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</si>
  <si>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</si>
  <si>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</si>
  <si>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</si>
  <si>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</si>
  <si>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</si>
  <si>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</si>
  <si>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</si>
  <si>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</si>
  <si>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</si>
  <si>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</si>
  <si>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</si>
  <si>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</si>
  <si>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</si>
  <si>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</si>
  <si>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</si>
  <si>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</si>
  <si>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</si>
  <si>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</si>
  <si>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</si>
  <si>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</si>
  <si>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</si>
  <si>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</si>
  <si>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</si>
  <si>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</si>
  <si>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</si>
  <si>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</si>
  <si>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</si>
  <si>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</si>
  <si>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</si>
  <si>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</si>
  <si>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</si>
  <si>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</si>
  <si>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</si>
  <si>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</si>
  <si>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</si>
  <si>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</si>
  <si>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</si>
  <si>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</si>
  <si>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</si>
  <si>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</si>
  <si>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</si>
  <si>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</si>
  <si>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</si>
  <si>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</si>
  <si>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</si>
  <si>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</si>
  <si>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</si>
  <si>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</si>
  <si>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</si>
  <si>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</si>
  <si>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</si>
  <si>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</si>
  <si>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</si>
  <si>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</si>
  <si>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</si>
  <si>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</si>
  <si>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</si>
  <si>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</si>
  <si>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</si>
  <si>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</si>
  <si>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</si>
  <si>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</si>
  <si>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</si>
  <si>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</si>
  <si>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</si>
  <si>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</si>
  <si>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</si>
  <si>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</si>
  <si>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</si>
  <si>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</si>
  <si>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</si>
  <si>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</si>
  <si>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</si>
  <si>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</si>
  <si>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</si>
  <si>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</si>
  <si>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</si>
  <si>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</si>
  <si>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</si>
  <si>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</si>
  <si>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</si>
  <si>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</si>
  <si>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</si>
  <si>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</si>
  <si>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</si>
  <si>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</si>
  <si>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</si>
  <si>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</si>
  <si>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</si>
  <si>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</si>
  <si>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</si>
  <si>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</si>
  <si>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</si>
  <si>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</si>
  <si>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</si>
  <si>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</si>
  <si>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</si>
  <si>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</si>
  <si>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</si>
  <si>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</si>
  <si>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</si>
  <si>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</si>
  <si>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</si>
  <si>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</si>
  <si>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</si>
  <si>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</si>
  <si>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</si>
  <si>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</si>
  <si>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</si>
  <si>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</si>
  <si>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</si>
  <si>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</si>
  <si>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</si>
  <si>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</si>
  <si>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</si>
  <si>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</si>
  <si>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</si>
  <si>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</si>
  <si>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</si>
  <si>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</si>
  <si>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</si>
  <si>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</si>
  <si>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</si>
  <si>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</si>
  <si>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</si>
  <si>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</si>
  <si>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</si>
  <si>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</si>
  <si>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</si>
  <si>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</si>
  <si>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</si>
  <si>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</si>
  <si>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</si>
  <si>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</si>
  <si>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</si>
  <si>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</si>
  <si>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</si>
  <si>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</si>
  <si>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</si>
  <si>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</si>
  <si>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</si>
  <si>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</si>
  <si>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</si>
  <si>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</si>
  <si>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</si>
  <si>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</si>
  <si>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</si>
  <si>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</si>
  <si>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</si>
  <si>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</si>
  <si>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</si>
  <si>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</si>
  <si>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</si>
  <si>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</si>
  <si>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</si>
  <si>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</si>
  <si>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</si>
  <si>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</si>
  <si>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</si>
  <si>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</si>
  <si>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</si>
  <si>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</si>
  <si>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</si>
  <si>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</si>
  <si>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</si>
  <si>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</si>
  <si>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</si>
  <si>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</si>
  <si>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</si>
  <si>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</si>
  <si>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</si>
  <si>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</si>
  <si>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</si>
  <si>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</si>
  <si>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</si>
  <si>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</si>
  <si>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</si>
  <si>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</si>
  <si>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</si>
  <si>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</si>
  <si>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</si>
  <si>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</si>
  <si>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</si>
  <si>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</si>
  <si>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</si>
  <si>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</si>
  <si>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</si>
  <si>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</si>
  <si>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</si>
  <si>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</si>
  <si>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</si>
  <si>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</si>
  <si>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</si>
  <si>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</si>
  <si>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</si>
  <si>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</si>
  <si>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</si>
  <si>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</si>
  <si>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</si>
  <si>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</si>
  <si>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</si>
  <si>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</si>
  <si>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</si>
  <si>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</si>
  <si>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</si>
  <si>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</si>
  <si>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</si>
  <si>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</si>
  <si>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</si>
  <si>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</si>
  <si>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</si>
  <si>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</si>
  <si>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</si>
  <si>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</si>
  <si>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</si>
  <si>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</si>
  <si>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</si>
  <si>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</si>
  <si>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</si>
  <si>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</si>
  <si>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</si>
  <si>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</si>
  <si>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</si>
  <si>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</si>
  <si>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</si>
  <si>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</si>
  <si>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</si>
  <si>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</si>
  <si>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</si>
  <si>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</si>
  <si>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</si>
  <si>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</si>
  <si>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</si>
  <si>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</si>
  <si>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</si>
  <si>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</si>
  <si>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</si>
  <si>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</si>
  <si>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</si>
  <si>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</si>
  <si>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</si>
  <si>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</si>
  <si>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</si>
  <si>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</si>
  <si>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</si>
  <si>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</si>
  <si>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</si>
  <si>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</si>
  <si>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</si>
  <si>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</si>
  <si>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</si>
  <si>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</si>
  <si>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</si>
  <si>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</si>
  <si>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</si>
  <si>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</si>
  <si>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</si>
  <si>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</si>
  <si>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</si>
  <si>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</si>
  <si>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</si>
  <si>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</si>
  <si>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</si>
  <si>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</si>
  <si>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</si>
  <si>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</si>
  <si>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</si>
  <si>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</si>
  <si>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</si>
  <si>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</si>
  <si>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</si>
  <si>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</si>
  <si>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</si>
  <si>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</si>
  <si>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</si>
  <si>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</si>
  <si>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</si>
  <si>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</si>
  <si>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</si>
  <si>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</si>
  <si>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</si>
  <si>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</si>
  <si>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</si>
  <si>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</si>
  <si>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</si>
  <si>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</si>
  <si>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</si>
  <si>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</si>
  <si>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</si>
  <si>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</si>
  <si>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</si>
  <si>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</si>
  <si>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</si>
  <si>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</si>
  <si>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</si>
  <si>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</si>
  <si>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</si>
  <si>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</si>
  <si>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</si>
  <si>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</si>
  <si>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</si>
  <si>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</si>
  <si>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</si>
  <si>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</si>
  <si>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</si>
  <si>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</si>
  <si>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</si>
  <si>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</si>
  <si>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</si>
  <si>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</si>
  <si>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</si>
  <si>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</si>
  <si>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</si>
  <si>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</si>
  <si>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</si>
  <si>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</si>
  <si>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</si>
  <si>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</si>
  <si>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</si>
  <si>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</si>
  <si>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</si>
  <si>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</si>
  <si>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</si>
  <si>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</si>
  <si>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</si>
  <si>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</si>
  <si>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</si>
  <si>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</si>
  <si>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</si>
  <si>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</si>
  <si>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</si>
  <si>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</si>
  <si>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</si>
  <si>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</si>
  <si>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</si>
  <si>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</si>
  <si>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</si>
  <si>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</si>
  <si>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</si>
  <si>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</si>
  <si>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</si>
  <si>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</si>
  <si>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</si>
  <si>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</si>
  <si>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</si>
  <si>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</si>
  <si>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</si>
  <si>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</si>
  <si>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</si>
  <si>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</si>
  <si>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</si>
  <si>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</si>
  <si>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</si>
  <si>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</si>
  <si>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</si>
  <si>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</si>
  <si>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</si>
  <si>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</si>
  <si>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</si>
  <si>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</si>
  <si>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</si>
  <si>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</si>
  <si>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</si>
  <si>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</si>
  <si>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</si>
  <si>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</si>
  <si>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</si>
  <si>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</si>
  <si>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</si>
  <si>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</si>
  <si>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</si>
  <si>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</si>
  <si>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</si>
  <si>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</si>
  <si>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</si>
  <si>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</si>
  <si>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</si>
  <si>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</si>
  <si>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</si>
  <si>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</si>
  <si>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</si>
  <si>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</si>
  <si>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</si>
  <si>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</si>
  <si>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</si>
  <si>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</si>
  <si>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</si>
  <si>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</si>
  <si>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</si>
  <si>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</si>
  <si>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</si>
  <si>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</si>
  <si>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</si>
  <si>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</si>
  <si>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</si>
  <si>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</si>
  <si>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</si>
  <si>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</si>
  <si>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</si>
  <si>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</si>
  <si>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</si>
  <si>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</si>
  <si>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</si>
  <si>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</si>
  <si>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</si>
  <si>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</si>
  <si>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</si>
  <si>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</si>
  <si>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</si>
  <si>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</si>
  <si>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</si>
  <si>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</si>
  <si>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</si>
  <si>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</si>
  <si>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</si>
  <si>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</si>
  <si>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</si>
  <si>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</si>
  <si>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</si>
  <si>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</si>
  <si>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</si>
  <si>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</si>
  <si>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</si>
  <si>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</si>
  <si>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</si>
  <si>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</si>
  <si>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</si>
  <si>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</si>
  <si>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</si>
  <si>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</si>
  <si>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</si>
  <si>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</si>
  <si>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</si>
  <si>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</si>
  <si>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</si>
  <si>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</si>
  <si>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</si>
  <si>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</si>
  <si>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</si>
  <si>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</si>
  <si>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</si>
  <si>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</si>
  <si>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</si>
  <si>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</si>
  <si>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</si>
  <si>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</si>
  <si>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</si>
  <si>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</si>
  <si>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</si>
  <si>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</si>
  <si>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</si>
  <si>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</si>
  <si>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</si>
  <si>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</si>
  <si>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</si>
  <si>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</si>
  <si>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</si>
  <si>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</si>
  <si>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</si>
  <si>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</si>
  <si>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</si>
  <si>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</si>
  <si>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</si>
  <si>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</si>
  <si>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</si>
  <si>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</si>
  <si>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</si>
  <si>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</si>
  <si>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</si>
  <si>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</si>
  <si>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</si>
  <si>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</si>
  <si>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</si>
  <si>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</si>
  <si>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</si>
  <si>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</si>
  <si>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</si>
  <si>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</si>
  <si>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</si>
  <si>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</si>
  <si>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</si>
  <si>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</si>
  <si>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</si>
  <si>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</si>
  <si>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</si>
  <si>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</si>
  <si>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</si>
  <si>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</si>
  <si>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</si>
  <si>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</si>
  <si>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</si>
  <si>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</si>
  <si>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</si>
  <si>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</si>
  <si>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</si>
  <si>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</si>
  <si>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</si>
  <si>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</si>
  <si>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</si>
  <si>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</si>
  <si>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</si>
  <si>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</si>
  <si>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</si>
  <si>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</si>
  <si>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</si>
  <si>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</si>
  <si>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</si>
  <si>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</si>
  <si>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</si>
  <si>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</si>
  <si>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</si>
  <si>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</si>
  <si>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</si>
  <si>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</si>
  <si>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</si>
  <si>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</si>
  <si>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</si>
  <si>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</si>
  <si>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</si>
  <si>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</si>
  <si>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</si>
  <si>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</si>
  <si>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</si>
  <si>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</si>
  <si>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</si>
  <si>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</si>
  <si>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</si>
  <si>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</si>
  <si>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</si>
  <si>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</si>
  <si>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</si>
  <si>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</si>
  <si>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</si>
  <si>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</si>
  <si>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</si>
  <si>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</si>
  <si>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</si>
  <si>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</si>
  <si>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</si>
  <si>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</si>
  <si>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</si>
  <si>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</si>
  <si>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</si>
  <si>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</si>
  <si>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</si>
  <si>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</si>
  <si>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</si>
  <si>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</si>
  <si>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</si>
  <si>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</si>
  <si>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</si>
  <si>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</si>
  <si>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</si>
  <si>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</si>
  <si>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</si>
  <si>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</si>
  <si>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</si>
  <si>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</si>
  <si>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</si>
  <si>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</si>
  <si>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</si>
  <si>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</si>
  <si>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</si>
  <si>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</si>
  <si>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</si>
  <si>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</si>
  <si>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</si>
  <si>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</si>
  <si>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</si>
  <si>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</si>
  <si>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</si>
  <si>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</si>
  <si>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</si>
  <si>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</si>
  <si>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</si>
  <si>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</si>
  <si>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</si>
  <si>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</si>
  <si>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</si>
  <si>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</si>
  <si>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</si>
  <si>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</si>
  <si>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</si>
  <si>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</si>
  <si>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</si>
  <si>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</si>
  <si>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</si>
  <si>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</si>
  <si>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</si>
  <si>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</si>
  <si>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</si>
  <si>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</si>
  <si>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</si>
  <si>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</si>
  <si>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</si>
  <si>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</si>
  <si>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</si>
  <si>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</si>
  <si>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</si>
  <si>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</si>
  <si>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</si>
  <si>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</si>
  <si>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</si>
  <si>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</si>
  <si>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</si>
  <si>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</si>
  <si>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</si>
  <si>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</si>
  <si>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</si>
  <si>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</si>
  <si>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</si>
  <si>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</si>
  <si>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</si>
  <si>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</si>
  <si>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</si>
  <si>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</si>
  <si>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</si>
  <si>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</si>
  <si>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</si>
  <si>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</si>
  <si>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</si>
  <si>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</si>
  <si>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</si>
  <si>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</si>
  <si>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</si>
  <si>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</si>
  <si>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</si>
  <si>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</si>
  <si>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</si>
  <si>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</si>
  <si>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</si>
  <si>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</si>
  <si>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</si>
  <si>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</si>
  <si>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</si>
  <si>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</si>
  <si>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</si>
  <si>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</si>
  <si>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</si>
  <si>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</si>
  <si>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</si>
  <si>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</si>
  <si>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</si>
  <si>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</si>
  <si>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</si>
  <si>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</si>
  <si>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</si>
  <si>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</si>
  <si>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</si>
  <si>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</si>
  <si>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</si>
  <si>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</si>
  <si>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</si>
  <si>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</si>
  <si>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</si>
  <si>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</si>
  <si>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</si>
  <si>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</si>
  <si>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</si>
  <si>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</si>
  <si>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</si>
  <si>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</si>
  <si>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</si>
  <si>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</si>
  <si>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</si>
  <si>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</si>
  <si>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</si>
  <si>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</si>
  <si>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</si>
  <si>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</si>
  <si>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</si>
  <si>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</si>
  <si>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</si>
  <si>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</si>
  <si>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</si>
  <si>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</si>
  <si>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</si>
  <si>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</si>
  <si>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</si>
  <si>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</si>
  <si>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</si>
  <si>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</si>
  <si>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</si>
  <si>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</si>
  <si>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</si>
  <si>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</si>
  <si>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</si>
  <si>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</si>
  <si>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</si>
  <si>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</si>
  <si>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</si>
  <si>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</si>
  <si>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</si>
  <si>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</si>
  <si>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</si>
  <si>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</si>
  <si>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</si>
  <si>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</si>
  <si>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</si>
  <si>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</si>
  <si>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</si>
  <si>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</si>
  <si>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</si>
  <si>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</si>
  <si>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</si>
  <si>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</si>
  <si>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</si>
  <si>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</si>
  <si>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</si>
  <si>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</si>
  <si>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</si>
  <si>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</si>
  <si>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</si>
  <si>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</si>
  <si>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</si>
  <si>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</si>
  <si>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</si>
  <si>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</si>
  <si>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</si>
  <si>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</si>
  <si>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</si>
  <si>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</si>
  <si>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</si>
  <si>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</si>
  <si>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</si>
  <si>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</si>
  <si>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</si>
  <si>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</si>
  <si>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</si>
  <si>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</si>
  <si>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</si>
  <si>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</si>
  <si>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</si>
  <si>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</si>
  <si>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</si>
  <si>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</si>
  <si>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</si>
  <si>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</si>
  <si>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</si>
  <si>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</si>
  <si>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</si>
  <si>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</si>
  <si>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</si>
  <si>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</si>
  <si>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</si>
  <si>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</si>
  <si>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</si>
  <si>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</si>
  <si>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</si>
  <si>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</si>
  <si>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</si>
  <si>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</si>
  <si>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</si>
  <si>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</si>
  <si>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</si>
  <si>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</si>
  <si>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</si>
  <si>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</si>
  <si>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</si>
  <si>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</si>
  <si>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</si>
  <si>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</si>
  <si>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</si>
  <si>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</si>
  <si>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</si>
  <si>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</si>
  <si>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</si>
  <si>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</si>
  <si>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</si>
  <si>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</si>
  <si>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</si>
  <si>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</si>
  <si>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</si>
  <si>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</si>
  <si>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</si>
  <si>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</si>
  <si>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</si>
  <si>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</si>
  <si>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</si>
  <si>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</si>
  <si>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</si>
  <si>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</si>
  <si>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</si>
  <si>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</si>
  <si>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</si>
  <si>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</si>
  <si>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</si>
  <si>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</si>
  <si>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</si>
  <si>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</si>
  <si>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</si>
  <si>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</si>
  <si>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</si>
  <si>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</si>
  <si>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</si>
  <si>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</si>
  <si>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</si>
  <si>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</si>
  <si>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</si>
  <si>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</si>
  <si>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</si>
  <si>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</si>
  <si>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</si>
  <si>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</si>
  <si>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</si>
  <si>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</si>
  <si>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</si>
  <si>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</si>
  <si>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</si>
  <si>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</si>
  <si>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</si>
  <si>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</si>
  <si>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</si>
  <si>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</si>
  <si>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</si>
  <si>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</si>
  <si>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</si>
  <si>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</si>
  <si>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</si>
  <si>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</si>
  <si>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</si>
  <si>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</si>
  <si>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</si>
  <si>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</si>
  <si>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</si>
  <si>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</si>
  <si>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</si>
  <si>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</si>
  <si>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</si>
  <si>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</si>
  <si>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</si>
  <si>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</si>
  <si>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</si>
  <si>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</si>
  <si>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</si>
  <si>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</si>
  <si>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</si>
  <si>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</si>
  <si>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</si>
  <si>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</si>
  <si>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</si>
  <si>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</si>
  <si>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</si>
  <si>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</si>
  <si>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</si>
  <si>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</si>
  <si>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</si>
  <si>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</si>
  <si>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</si>
  <si>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</si>
  <si>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</si>
  <si>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</si>
  <si>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</si>
  <si>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</si>
  <si>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</si>
  <si>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</si>
  <si>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</si>
  <si>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</si>
  <si>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</si>
  <si>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</si>
  <si>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</si>
  <si>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</si>
  <si>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</si>
  <si>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</si>
  <si>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</si>
  <si>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</si>
  <si>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</si>
  <si>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</si>
  <si>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</si>
  <si>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</si>
  <si>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</si>
  <si>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</si>
  <si>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</si>
  <si>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</si>
  <si>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</si>
  <si>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</si>
  <si>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</si>
  <si>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</si>
  <si>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</si>
  <si>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</si>
  <si>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</si>
  <si>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</si>
  <si>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</si>
  <si>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</si>
  <si>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</si>
  <si>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</si>
  <si>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</si>
  <si>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</si>
  <si>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</si>
  <si>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</si>
  <si>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</si>
  <si>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</si>
  <si>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</si>
  <si>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</si>
  <si>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</si>
  <si>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</si>
  <si>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</si>
  <si>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</si>
  <si>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</si>
  <si>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</si>
  <si>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</si>
  <si>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</si>
  <si>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</si>
  <si>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</si>
  <si>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</si>
  <si>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</si>
  <si>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</si>
  <si>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</si>
  <si>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</si>
  <si>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</si>
  <si>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</si>
  <si>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</si>
  <si>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</si>
  <si>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</si>
  <si>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</si>
  <si>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</si>
  <si>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</si>
  <si>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</si>
  <si>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</si>
  <si>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</si>
  <si>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</si>
  <si>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</si>
  <si>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</si>
  <si>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</si>
  <si>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</si>
  <si>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</si>
  <si>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</si>
  <si>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</si>
  <si>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</si>
  <si>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</si>
  <si>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</si>
  <si>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</si>
  <si>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</si>
  <si>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</si>
  <si>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</si>
  <si>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</si>
  <si>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</si>
  <si>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</si>
  <si>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</si>
  <si>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</si>
  <si>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</si>
  <si>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</si>
  <si>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</si>
  <si>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</si>
  <si>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</si>
  <si>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</si>
  <si>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</si>
  <si>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</si>
  <si>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</si>
  <si>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</si>
  <si>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</si>
  <si>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</si>
  <si>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</si>
  <si>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</si>
  <si>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</si>
  <si>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</si>
  <si>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</si>
  <si>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</si>
  <si>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</si>
  <si>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</si>
  <si>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</si>
  <si>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</si>
  <si>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</si>
  <si>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</si>
  <si>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</si>
  <si>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</si>
  <si>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</si>
  <si>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</si>
  <si>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</si>
  <si>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</si>
  <si>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</si>
  <si>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</si>
  <si>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</si>
  <si>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</si>
  <si>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</si>
  <si>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</si>
  <si>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</si>
  <si>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</si>
  <si>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</si>
  <si>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</si>
  <si>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</si>
  <si>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</si>
  <si>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</si>
  <si>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</si>
  <si>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</si>
  <si>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</si>
  <si>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</si>
  <si>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</si>
  <si>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</si>
  <si>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</si>
  <si>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</si>
  <si>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</si>
  <si>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</si>
  <si>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</si>
  <si>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</si>
  <si>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</si>
  <si>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</si>
  <si>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</si>
  <si>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</si>
  <si>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</si>
  <si>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</si>
  <si>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</si>
  <si>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</si>
  <si>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</si>
  <si>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</si>
  <si>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</si>
  <si>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</si>
  <si>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</si>
  <si>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</si>
  <si>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</si>
  <si>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</si>
  <si>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</si>
  <si>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</si>
  <si>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</si>
  <si>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</si>
  <si>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</si>
  <si>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</si>
  <si>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</si>
  <si>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</si>
  <si>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</si>
  <si>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</si>
  <si>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</si>
  <si>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</si>
  <si>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</si>
  <si>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</si>
  <si>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</si>
  <si>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</si>
  <si>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</si>
  <si>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</si>
  <si>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</si>
  <si>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</si>
  <si>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</si>
  <si>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</si>
  <si>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</si>
  <si>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</si>
  <si>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</si>
  <si>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</si>
  <si>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</si>
  <si>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</si>
  <si>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</si>
  <si>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</si>
  <si>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</si>
  <si>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</si>
  <si>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</si>
  <si>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</si>
  <si>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</si>
  <si>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</si>
  <si>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</si>
  <si>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</si>
  <si>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</si>
  <si>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</si>
  <si>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</si>
  <si>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</si>
  <si>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</si>
  <si>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</si>
  <si>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</si>
  <si>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</si>
  <si>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</si>
  <si>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</si>
  <si>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</si>
  <si>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</si>
  <si>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</si>
  <si>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</si>
  <si>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</si>
  <si>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</si>
  <si>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</si>
  <si>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</si>
  <si>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</si>
  <si>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</si>
  <si>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</si>
  <si>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</si>
  <si>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</si>
  <si>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</si>
  <si>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</si>
  <si>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</si>
  <si>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</si>
  <si>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</si>
  <si>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</si>
  <si>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</si>
  <si>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</si>
  <si>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</si>
  <si>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</si>
  <si>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</si>
  <si>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</si>
  <si>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</si>
  <si>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</si>
  <si>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</si>
  <si>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</si>
  <si>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</si>
  <si>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</si>
  <si>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</si>
  <si>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</si>
  <si>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</si>
  <si>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</si>
  <si>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</si>
  <si>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</si>
  <si>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</si>
  <si>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</si>
  <si>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</si>
  <si>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</si>
  <si>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</si>
  <si>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</si>
  <si>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</si>
  <si>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</si>
  <si>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</si>
  <si>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</si>
  <si>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</si>
  <si>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</si>
  <si>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</si>
  <si>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</si>
  <si>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</si>
  <si>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</si>
  <si>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</si>
  <si>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</si>
  <si>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</si>
  <si>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</si>
  <si>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</si>
  <si>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</si>
  <si>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</si>
  <si>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</si>
  <si>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</si>
  <si>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</si>
  <si>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</si>
  <si>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</si>
  <si>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</si>
  <si>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</si>
  <si>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</si>
  <si>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</si>
  <si>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</si>
  <si>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</si>
  <si>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</si>
  <si>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</si>
  <si>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</si>
  <si>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</si>
  <si>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</si>
  <si>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</si>
  <si>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</si>
  <si>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</si>
  <si>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</si>
  <si>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</si>
  <si>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</si>
  <si>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</si>
  <si>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</si>
  <si>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</si>
  <si>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</si>
  <si>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</si>
  <si>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</si>
  <si>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</si>
  <si>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</si>
  <si>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</si>
  <si>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</si>
  <si>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</si>
  <si>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</si>
  <si>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</si>
  <si>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</si>
  <si>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</si>
  <si>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</si>
  <si>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</si>
  <si>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</si>
  <si>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</si>
  <si>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</si>
  <si>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</si>
  <si>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</si>
  <si>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</si>
  <si>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</si>
  <si>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</si>
  <si>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</si>
  <si>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</si>
  <si>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</si>
  <si>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</si>
  <si>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</si>
  <si>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</si>
  <si>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</si>
  <si>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</si>
  <si>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</si>
  <si>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</si>
  <si>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</si>
  <si>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</si>
  <si>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</si>
  <si>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</si>
  <si>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</si>
  <si>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</si>
  <si>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</si>
  <si>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</si>
  <si>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</si>
  <si>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</si>
  <si>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</si>
  <si>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</si>
  <si>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</si>
  <si>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</si>
  <si>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</si>
  <si>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</si>
  <si>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</si>
  <si>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</si>
  <si>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</si>
  <si>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</si>
  <si>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</si>
  <si>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</si>
  <si>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</si>
  <si>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</si>
  <si>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</si>
  <si>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</si>
  <si>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</si>
  <si>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</si>
  <si>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</si>
  <si>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</si>
  <si>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</si>
  <si>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</si>
  <si>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</si>
  <si>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</si>
  <si>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</si>
  <si>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</si>
  <si>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</si>
  <si>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</si>
  <si>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</si>
  <si>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</si>
  <si>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</si>
  <si>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</si>
  <si>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</si>
  <si>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</si>
  <si>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</si>
  <si>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</si>
  <si>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</si>
  <si>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</si>
  <si>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</si>
  <si>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</si>
  <si>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</si>
  <si>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</si>
  <si>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</si>
  <si>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</si>
  <si>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</si>
  <si>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</si>
  <si>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</si>
  <si>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</si>
  <si>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</si>
  <si>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</si>
  <si>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</si>
  <si>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</si>
  <si>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</si>
  <si>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</si>
  <si>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</si>
  <si>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</si>
  <si>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</si>
  <si>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</si>
  <si>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</si>
  <si>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</si>
  <si>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</si>
  <si>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</si>
  <si>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</si>
  <si>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</si>
  <si>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</si>
  <si>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</si>
  <si>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</si>
  <si>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</si>
  <si>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</si>
  <si>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</si>
  <si>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</si>
  <si>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</si>
  <si>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</si>
  <si>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</si>
  <si>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</si>
  <si>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</si>
  <si>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</si>
  <si>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</si>
  <si>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</si>
  <si>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</si>
  <si>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</si>
  <si>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</si>
  <si>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</si>
  <si>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</si>
  <si>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</si>
  <si>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</si>
  <si>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</si>
  <si>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</si>
  <si>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</si>
  <si>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</si>
  <si>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</si>
  <si>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</si>
  <si>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</si>
  <si>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</si>
  <si>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</si>
  <si>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</si>
  <si>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</si>
  <si>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</si>
  <si>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</si>
  <si>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</si>
  <si>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</si>
  <si>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</si>
  <si>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</si>
  <si>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</si>
  <si>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</si>
  <si>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</si>
  <si>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</si>
  <si>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</si>
  <si>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</si>
  <si>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</si>
  <si>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</si>
  <si>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</si>
  <si>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</si>
  <si>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</si>
  <si>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</si>
  <si>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</si>
  <si>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</si>
  <si>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</si>
  <si>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</si>
  <si>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</si>
  <si>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</si>
  <si>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</si>
  <si>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</si>
  <si>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</si>
  <si>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</si>
  <si>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</si>
  <si>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</si>
  <si>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</si>
  <si>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</si>
  <si>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</si>
  <si>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</si>
  <si>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</si>
  <si>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</si>
  <si>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</si>
  <si>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</si>
  <si>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</si>
  <si>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</si>
  <si>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</si>
  <si>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</si>
  <si>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</si>
  <si>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</si>
  <si>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</si>
  <si>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</si>
  <si>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</si>
  <si>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</si>
  <si>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</si>
  <si>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</si>
  <si>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</si>
  <si>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</si>
  <si>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</si>
  <si>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</si>
  <si>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</si>
  <si>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</si>
  <si>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</si>
  <si>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</si>
  <si>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</si>
  <si>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</si>
  <si>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</si>
  <si>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</si>
  <si>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</si>
  <si>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</si>
  <si>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</si>
  <si>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</si>
  <si>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</si>
  <si>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</si>
  <si>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</si>
  <si>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</si>
  <si>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</si>
  <si>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</si>
  <si>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</si>
  <si>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</si>
  <si>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</si>
  <si>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</si>
  <si>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</si>
  <si>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</si>
  <si>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</si>
  <si>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</si>
  <si>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</si>
  <si>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</si>
  <si>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</si>
  <si>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</si>
  <si>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</si>
  <si>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</si>
  <si>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</si>
  <si>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</si>
  <si>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</si>
  <si>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</si>
  <si>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</si>
  <si>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</si>
  <si>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</si>
  <si>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</si>
  <si>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</si>
  <si>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</si>
  <si>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</si>
  <si>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</si>
  <si>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</si>
  <si>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</si>
  <si>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</si>
  <si>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</si>
  <si>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</si>
  <si>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</si>
  <si>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</si>
  <si>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</si>
  <si>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</si>
  <si>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</si>
  <si>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</si>
  <si>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</si>
  <si>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</si>
  <si>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</si>
  <si>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</si>
  <si>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</si>
  <si>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</si>
  <si>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</si>
  <si>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</si>
  <si>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</si>
  <si>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</si>
  <si>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</si>
  <si>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</si>
  <si>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</si>
  <si>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</si>
  <si>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</si>
  <si>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</si>
  <si>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</si>
  <si>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</si>
  <si>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</si>
  <si>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</si>
  <si>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</si>
  <si>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</si>
  <si>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</si>
  <si>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</si>
  <si>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</si>
  <si>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</si>
  <si>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</si>
  <si>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</si>
  <si>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</si>
  <si>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</si>
  <si>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</si>
  <si>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</si>
  <si>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</si>
  <si>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</si>
  <si>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</si>
  <si>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</si>
  <si>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</si>
  <si>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</si>
  <si>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</si>
  <si>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</si>
  <si>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</si>
  <si>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</si>
  <si>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</si>
  <si>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</si>
  <si>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</si>
  <si>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</si>
  <si>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</si>
  <si>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</si>
  <si>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</si>
  <si>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</si>
  <si>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</si>
  <si>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</si>
  <si>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</si>
  <si>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</si>
  <si>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</si>
  <si>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</si>
  <si>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</si>
  <si>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</si>
  <si>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</si>
  <si>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</si>
  <si>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</si>
  <si>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</si>
  <si>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</si>
  <si>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</si>
  <si>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</si>
  <si>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</si>
  <si>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</si>
  <si>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</si>
  <si>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</si>
  <si>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</si>
  <si>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</si>
  <si>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</si>
  <si>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</si>
  <si>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</si>
  <si>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</si>
  <si>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</si>
  <si>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</si>
  <si>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</si>
  <si>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</si>
  <si>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</si>
  <si>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</si>
  <si>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</si>
  <si>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</si>
  <si>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</si>
  <si>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</si>
  <si>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</si>
  <si>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</si>
  <si>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</si>
  <si>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</si>
  <si>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</si>
  <si>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</si>
  <si>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</si>
  <si>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</si>
  <si>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</si>
  <si>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</si>
  <si>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</si>
  <si>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</si>
  <si>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</si>
  <si>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</si>
  <si>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</si>
  <si>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</si>
  <si>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</si>
  <si>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</si>
  <si>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</si>
  <si>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</si>
  <si>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</si>
  <si>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</si>
  <si>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</si>
  <si>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</si>
  <si>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</si>
  <si>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</si>
  <si>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</si>
  <si>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</si>
  <si>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</si>
  <si>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</si>
  <si>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</si>
  <si>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</si>
  <si>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</si>
  <si>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</si>
  <si>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</si>
  <si>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</si>
  <si>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</si>
  <si>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</si>
  <si>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</si>
  <si>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</si>
  <si>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</si>
  <si>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</si>
  <si>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</si>
  <si>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</si>
  <si>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</si>
  <si>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</si>
  <si>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</si>
  <si>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</si>
  <si>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</si>
  <si>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</si>
  <si>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</si>
  <si>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</si>
  <si>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</si>
  <si>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</si>
  <si>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</si>
  <si>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</si>
  <si>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</si>
  <si>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</si>
  <si>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</si>
  <si>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</si>
  <si>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</si>
  <si>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</si>
  <si>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</si>
  <si>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</si>
  <si>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</si>
  <si>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</si>
  <si>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</si>
  <si>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</si>
  <si>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</si>
  <si>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</si>
  <si>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</si>
  <si>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</si>
  <si>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</si>
  <si>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</si>
  <si>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</si>
  <si>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</si>
  <si>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</si>
  <si>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</si>
  <si>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</si>
  <si>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</si>
  <si>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</si>
  <si>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</si>
  <si>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</si>
  <si>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</si>
  <si>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</si>
  <si>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</si>
  <si>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</si>
  <si>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</si>
  <si>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</si>
  <si>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</si>
  <si>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</si>
  <si>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</si>
  <si>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</si>
  <si>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</si>
  <si>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</si>
  <si>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</si>
  <si>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</si>
  <si>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</si>
  <si>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</si>
  <si>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</si>
  <si>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</si>
  <si>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</si>
  <si>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</si>
  <si>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</si>
  <si>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</si>
  <si>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</si>
  <si>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</si>
  <si>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</si>
  <si>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</si>
  <si>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</si>
  <si>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</si>
  <si>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</si>
  <si>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</si>
  <si>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</si>
  <si>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</si>
  <si>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</si>
  <si>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</si>
  <si>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</si>
  <si>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</si>
  <si>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</si>
  <si>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</si>
  <si>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</si>
  <si>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</si>
  <si>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</si>
  <si>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</si>
  <si>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</si>
  <si>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</si>
  <si>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</si>
  <si>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</si>
  <si>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</si>
  <si>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</si>
  <si>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</si>
  <si>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</si>
  <si>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</si>
  <si>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</si>
  <si>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</si>
  <si>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</si>
  <si>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</si>
  <si>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</si>
  <si>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</si>
  <si>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</si>
  <si>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</si>
  <si>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</si>
  <si>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</si>
  <si>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</si>
  <si>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</si>
  <si>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</si>
  <si>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</si>
  <si>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</si>
  <si>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</si>
  <si>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</si>
  <si>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</si>
  <si>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</si>
  <si>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</si>
  <si>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</si>
  <si>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</si>
  <si>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</si>
  <si>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</si>
  <si>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</si>
  <si>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</si>
  <si>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</si>
  <si>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</si>
  <si>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</si>
  <si>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</si>
  <si>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</si>
  <si>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</si>
  <si>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</si>
  <si>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</si>
  <si>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</si>
  <si>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</si>
  <si>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</si>
  <si>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</si>
  <si>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</si>
  <si>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</si>
  <si>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</si>
  <si>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</si>
  <si>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</si>
  <si>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</si>
  <si>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</si>
  <si>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</si>
  <si>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</si>
  <si>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</si>
  <si>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</si>
  <si>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</si>
  <si>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</si>
  <si>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</si>
  <si>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</si>
  <si>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</si>
  <si>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</si>
  <si>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</si>
  <si>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</si>
  <si>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</si>
  <si>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</si>
  <si>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</si>
  <si>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</si>
  <si>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</si>
  <si>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</si>
  <si>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</si>
  <si>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</si>
  <si>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</si>
  <si>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</si>
  <si>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</si>
  <si>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</si>
  <si>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</si>
  <si>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</si>
  <si>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</si>
  <si>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</si>
  <si>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</si>
  <si>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</si>
  <si>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</si>
  <si>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</si>
  <si>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</si>
  <si>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</si>
  <si>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</si>
  <si>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</si>
  <si>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</si>
  <si>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</si>
  <si>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</si>
  <si>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</si>
  <si>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</si>
  <si>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</si>
  <si>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</si>
  <si>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</si>
  <si>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</si>
  <si>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</si>
  <si>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</si>
  <si>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</si>
  <si>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</si>
  <si>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</si>
  <si>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</si>
  <si>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</si>
  <si>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</si>
  <si>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</si>
  <si>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</si>
  <si>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</si>
  <si>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</si>
  <si>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</si>
  <si>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</si>
  <si>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</si>
  <si>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</si>
  <si>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</si>
  <si>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</si>
  <si>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</si>
  <si>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</si>
  <si>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</si>
  <si>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</si>
  <si>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</si>
  <si>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</si>
  <si>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</si>
  <si>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</si>
  <si>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</si>
  <si>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</si>
  <si>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</si>
  <si>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</si>
  <si>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</si>
  <si>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</si>
  <si>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</si>
  <si>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</si>
  <si>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</si>
  <si>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</si>
  <si>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</si>
  <si>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</si>
  <si>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</si>
  <si>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</si>
  <si>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</si>
  <si>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</si>
  <si>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</si>
  <si>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</si>
  <si>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</si>
  <si>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</si>
  <si>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</si>
  <si>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</si>
  <si>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</si>
  <si>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</si>
  <si>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</si>
  <si>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</si>
  <si>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</si>
  <si>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</si>
  <si>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</si>
  <si>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</si>
  <si>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</si>
  <si>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</si>
  <si>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</si>
  <si>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</si>
  <si>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</si>
  <si>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</si>
  <si>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</si>
  <si>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</si>
  <si>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</si>
  <si>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</si>
  <si>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</si>
  <si>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</si>
  <si>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</si>
  <si>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</si>
  <si>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</si>
  <si>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</si>
  <si>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</si>
  <si>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</si>
  <si>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</si>
  <si>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</si>
  <si>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</si>
  <si>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</si>
  <si>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</si>
  <si>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</si>
  <si>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</si>
  <si>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</si>
  <si>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</si>
  <si>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</si>
  <si>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</si>
  <si>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</si>
  <si>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</si>
  <si>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</si>
  <si>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</si>
  <si>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</si>
  <si>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</si>
  <si>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</si>
  <si>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</si>
  <si>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</si>
  <si>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</si>
  <si>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</si>
  <si>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</si>
  <si>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</si>
  <si>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</si>
  <si>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</si>
  <si>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</si>
  <si>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</si>
  <si>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</si>
  <si>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</si>
  <si>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</si>
  <si>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</si>
  <si>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</si>
  <si>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</si>
  <si>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</si>
  <si>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</si>
  <si>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</si>
  <si>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</si>
  <si>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</si>
  <si>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</si>
  <si>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</si>
  <si>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</si>
  <si>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</si>
  <si>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</si>
  <si>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</si>
  <si>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</si>
  <si>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</si>
  <si>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</si>
  <si>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</si>
  <si>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</si>
  <si>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</si>
  <si>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</si>
  <si>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</si>
  <si>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</si>
  <si>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</si>
  <si>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</si>
  <si>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</si>
  <si>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</si>
  <si>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</si>
  <si>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</si>
  <si>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</si>
  <si>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</si>
  <si>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</si>
  <si>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</si>
  <si>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</si>
  <si>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</si>
  <si>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</si>
  <si>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</si>
  <si>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</si>
  <si>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</si>
  <si>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</si>
  <si>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</si>
  <si>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</si>
  <si>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</si>
  <si>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</si>
  <si>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</si>
  <si>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</si>
  <si>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</si>
  <si>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</si>
  <si>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</si>
  <si>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</si>
  <si>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</si>
  <si>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</si>
  <si>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</si>
  <si>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</si>
  <si>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</si>
  <si>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</si>
  <si>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</si>
  <si>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</si>
  <si>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</si>
  <si>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</si>
  <si>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</si>
  <si>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</si>
  <si>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</si>
  <si>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</si>
  <si>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</si>
  <si>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</si>
  <si>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</si>
  <si>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</si>
  <si>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</si>
  <si>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</si>
  <si>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</si>
  <si>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</si>
  <si>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</si>
  <si>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</si>
  <si>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</si>
  <si>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</si>
  <si>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</si>
  <si>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</si>
  <si>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</si>
  <si>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</si>
  <si>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</si>
  <si>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</si>
  <si>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</si>
  <si>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</si>
  <si>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</si>
  <si>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</si>
  <si>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</si>
  <si>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</si>
  <si>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</si>
  <si>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</si>
  <si>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</si>
  <si>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</si>
  <si>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</si>
  <si>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</si>
  <si>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</si>
  <si>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</si>
  <si>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</si>
  <si>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</si>
  <si>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</si>
  <si>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</si>
  <si>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</si>
  <si>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</si>
  <si>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</si>
  <si>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</si>
  <si>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</si>
  <si>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</si>
  <si>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</si>
  <si>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</si>
  <si>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</si>
  <si>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</si>
  <si>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</si>
  <si>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</si>
  <si>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</si>
  <si>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</si>
  <si>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</si>
  <si>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</si>
  <si>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</si>
  <si>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</si>
  <si>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</si>
  <si>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</si>
  <si>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</si>
  <si>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</si>
  <si>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</si>
  <si>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</si>
  <si>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</si>
  <si>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</si>
  <si>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</si>
  <si>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</si>
  <si>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</si>
  <si>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</si>
  <si>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</si>
  <si>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</si>
  <si>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</si>
  <si>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</si>
  <si>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</si>
  <si>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</si>
  <si>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</si>
  <si>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</si>
  <si>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</si>
  <si>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</si>
  <si>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</si>
  <si>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</si>
  <si>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</si>
  <si>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</si>
  <si>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</si>
  <si>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</si>
  <si>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</si>
  <si>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</si>
  <si>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</si>
  <si>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</si>
  <si>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</si>
  <si>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</si>
  <si>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</si>
  <si>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</si>
  <si>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</si>
  <si>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</si>
  <si>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</si>
  <si>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</si>
  <si>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</si>
  <si>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</si>
  <si>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</si>
  <si>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</si>
  <si>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</si>
  <si>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</si>
  <si>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</si>
  <si>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</si>
  <si>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</si>
  <si>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</si>
  <si>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</si>
  <si>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</si>
  <si>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</si>
  <si>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</si>
  <si>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</si>
  <si>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</si>
  <si>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</si>
  <si>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</si>
  <si>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</si>
  <si>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</si>
  <si>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</si>
  <si>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</si>
  <si>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</si>
  <si>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</si>
  <si>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</si>
  <si>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</si>
  <si>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</si>
  <si>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</si>
  <si>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</si>
  <si>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</si>
  <si>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</si>
  <si>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</si>
  <si>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</si>
  <si>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</si>
  <si>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</si>
  <si>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</si>
  <si>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</si>
  <si>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</si>
  <si>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</si>
  <si>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</si>
  <si>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</si>
  <si>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</si>
  <si>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</si>
  <si>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</si>
  <si>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</si>
  <si>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</si>
  <si>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</si>
  <si>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</si>
  <si>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</si>
  <si>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</si>
  <si>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</si>
  <si>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</si>
  <si>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</si>
  <si>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</si>
  <si>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</si>
  <si>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</si>
  <si>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</si>
  <si>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</si>
  <si>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</si>
  <si>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</si>
  <si>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</si>
  <si>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</si>
  <si>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</si>
  <si>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</si>
  <si>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</si>
  <si>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</si>
  <si>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</si>
  <si>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</si>
  <si>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</si>
  <si>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</si>
  <si>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</si>
  <si>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</si>
  <si>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</si>
  <si>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</si>
  <si>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</si>
  <si>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</si>
  <si>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</si>
  <si>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</si>
  <si>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</si>
  <si>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</si>
  <si>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</si>
  <si>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</si>
  <si>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</si>
  <si>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</si>
  <si>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</si>
  <si>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</si>
  <si>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</si>
  <si>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</si>
  <si>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</si>
  <si>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</si>
  <si>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</si>
  <si>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</si>
  <si>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</si>
  <si>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</si>
  <si>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</si>
  <si>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</si>
  <si>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</si>
  <si>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</si>
  <si>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</si>
  <si>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</si>
  <si>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</si>
  <si>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</si>
  <si>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</si>
  <si>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</si>
  <si>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</si>
  <si>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</si>
  <si>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</si>
  <si>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</si>
  <si>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</si>
  <si>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</si>
  <si>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</si>
  <si>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</si>
  <si>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</si>
  <si>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</si>
  <si>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</si>
  <si>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</si>
  <si>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</si>
  <si>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</si>
  <si>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</si>
  <si>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</si>
  <si>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</si>
  <si>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</si>
  <si>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</si>
  <si>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</si>
  <si>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</si>
  <si>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</si>
  <si>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</si>
  <si>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</si>
  <si>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</si>
  <si>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</si>
  <si>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</si>
  <si>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</si>
  <si>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</si>
  <si>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</si>
  <si>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</si>
  <si>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</si>
  <si>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</si>
  <si>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</si>
  <si>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</si>
  <si>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</si>
  <si>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</si>
  <si>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</si>
  <si>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</si>
  <si>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</si>
  <si>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</si>
  <si>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</si>
  <si>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</si>
  <si>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</si>
  <si>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</si>
  <si>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</si>
  <si>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</si>
  <si>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</si>
  <si>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</si>
  <si>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</si>
  <si>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</si>
  <si>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</si>
  <si>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</si>
  <si>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</si>
  <si>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</si>
  <si>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</si>
  <si>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</si>
  <si>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</si>
  <si>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</si>
  <si>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</si>
  <si>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</si>
  <si>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</si>
  <si>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</si>
  <si>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</si>
  <si>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</si>
  <si>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</si>
  <si>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</si>
  <si>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</si>
  <si>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</si>
  <si>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</si>
  <si>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</si>
  <si>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</si>
  <si>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</si>
  <si>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</si>
  <si>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</si>
  <si>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</si>
  <si>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</si>
  <si>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</si>
  <si>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</si>
  <si>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</si>
  <si>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</si>
  <si>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</si>
  <si>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</si>
  <si>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</si>
  <si>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</si>
  <si>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</si>
  <si>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</si>
  <si>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</si>
  <si>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</si>
  <si>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</si>
  <si>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</si>
  <si>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</si>
  <si>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</si>
  <si>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</si>
  <si>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</si>
  <si>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</si>
  <si>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</si>
  <si>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</si>
  <si>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</si>
  <si>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</si>
  <si>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</si>
  <si>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</si>
  <si>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</si>
  <si>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</si>
  <si>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</si>
  <si>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</si>
  <si>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</si>
  <si>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</si>
  <si>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</si>
  <si>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</si>
  <si>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</si>
  <si>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</si>
  <si>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</si>
  <si>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</si>
  <si>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</si>
  <si>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</si>
  <si>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</si>
  <si>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</si>
  <si>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</si>
  <si>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</si>
  <si>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</si>
  <si>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</si>
  <si>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</si>
  <si>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</si>
  <si>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</si>
  <si>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</si>
  <si>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</si>
  <si>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</si>
  <si>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</si>
  <si>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</si>
  <si>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</si>
  <si>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</si>
  <si>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</si>
  <si>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</si>
  <si>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</si>
  <si>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</si>
  <si>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</si>
  <si>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</si>
  <si>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</si>
  <si>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</si>
  <si>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</si>
  <si>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</si>
  <si>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</si>
  <si>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</si>
  <si>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</si>
  <si>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</si>
  <si>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</si>
  <si>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</si>
  <si>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</si>
  <si>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</si>
  <si>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</si>
  <si>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</si>
  <si>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</si>
  <si>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</si>
  <si>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</si>
  <si>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</si>
  <si>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</si>
  <si>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</si>
  <si>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</si>
  <si>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</si>
  <si>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</si>
  <si>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</si>
  <si>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</si>
  <si>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</si>
  <si>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</si>
  <si>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</si>
  <si>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</si>
  <si>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</si>
  <si>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</si>
  <si>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</si>
  <si>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</si>
  <si>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</si>
  <si>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</si>
  <si>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</si>
  <si>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</si>
  <si>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</si>
  <si>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</si>
  <si>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</si>
  <si>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</si>
  <si>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</si>
  <si>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</si>
  <si>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</si>
  <si>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</si>
  <si>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</si>
  <si>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</si>
  <si>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</si>
  <si>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</si>
  <si>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</si>
  <si>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</si>
  <si>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</si>
  <si>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</si>
  <si>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</si>
  <si>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</si>
  <si>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</si>
  <si>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</si>
  <si>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</si>
  <si>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</si>
  <si>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</si>
  <si>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</si>
  <si>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</si>
  <si>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</si>
  <si>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</si>
  <si>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</si>
  <si>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</si>
  <si>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</si>
  <si>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</si>
  <si>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</si>
  <si>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</si>
  <si>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</si>
  <si>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</si>
  <si>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</si>
  <si>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</si>
  <si>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</si>
  <si>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</si>
  <si>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</si>
  <si>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</si>
  <si>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</si>
  <si>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</si>
  <si>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</si>
  <si>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</si>
  <si>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</si>
  <si>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</si>
  <si>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</si>
  <si>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</si>
  <si>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</si>
  <si>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</si>
  <si>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</si>
  <si>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</si>
  <si>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</si>
  <si>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</si>
  <si>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</si>
  <si>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</si>
  <si>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</si>
  <si>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</si>
  <si>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</si>
  <si>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</si>
  <si>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</si>
  <si>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</si>
  <si>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</si>
  <si>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</si>
  <si>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</si>
  <si>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</si>
  <si>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</si>
  <si>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</si>
  <si>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</si>
  <si>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</si>
  <si>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</si>
  <si>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</si>
  <si>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</si>
  <si>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</si>
  <si>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</si>
  <si>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</si>
  <si>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</si>
  <si>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</si>
  <si>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</si>
  <si>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</si>
  <si>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</si>
  <si>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</si>
  <si>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</si>
  <si>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</si>
  <si>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</si>
  <si>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</si>
  <si>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</si>
  <si>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</si>
  <si>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</si>
  <si>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</si>
  <si>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</si>
  <si>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</si>
  <si>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</si>
  <si>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</si>
  <si>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</si>
  <si>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</si>
  <si>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</si>
  <si>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</si>
  <si>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</si>
  <si>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</si>
  <si>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</si>
  <si>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</si>
  <si>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</si>
  <si>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</si>
  <si>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</si>
  <si>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</si>
  <si>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</si>
  <si>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</si>
  <si>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</si>
  <si>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</si>
  <si>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</si>
  <si>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</si>
  <si>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</si>
  <si>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</si>
  <si>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</si>
  <si>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</si>
  <si>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</si>
  <si>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</si>
  <si>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</si>
  <si>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</si>
  <si>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</si>
  <si>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</si>
  <si>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</si>
  <si>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</si>
  <si>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</si>
  <si>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</si>
  <si>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</si>
  <si>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</si>
  <si>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</si>
  <si>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</si>
  <si>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</si>
  <si>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</si>
  <si>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</si>
  <si>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</si>
  <si>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</si>
  <si>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</si>
  <si>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</si>
  <si>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</si>
  <si>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</si>
  <si>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</si>
  <si>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</si>
  <si>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</si>
  <si>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</si>
  <si>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</si>
  <si>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</si>
  <si>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</si>
  <si>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</si>
  <si>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</si>
  <si>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</si>
  <si>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</si>
  <si>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</si>
  <si>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</si>
  <si>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</si>
  <si>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</si>
  <si>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</si>
  <si>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</si>
  <si>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</si>
  <si>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</si>
  <si>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</si>
  <si>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</si>
  <si>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</si>
  <si>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</si>
  <si>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</si>
  <si>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</si>
  <si>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</si>
  <si>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</si>
  <si>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</si>
  <si>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</si>
  <si>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</si>
  <si>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</si>
  <si>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</si>
  <si>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</si>
  <si>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</si>
  <si>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</si>
  <si>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</si>
  <si>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</si>
  <si>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</si>
  <si>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</si>
  <si>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</si>
  <si>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</si>
  <si>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</si>
  <si>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</si>
  <si>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</si>
  <si>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Rea Ventures Group, LLC</t>
  </si>
  <si>
    <t>2964 Peachtree Road NW, Suite 200</t>
  </si>
  <si>
    <t>billrea@reaventures.com</t>
  </si>
  <si>
    <t>William J. Rea, Jr.</t>
  </si>
  <si>
    <t>Principal / Manager</t>
  </si>
  <si>
    <t>seanbrady@reaventures.com</t>
  </si>
  <si>
    <t>Sean Brady</t>
  </si>
  <si>
    <t>Abbington at Ormewood Park</t>
  </si>
  <si>
    <t>Within City Limits</t>
  </si>
  <si>
    <t>Mayor</t>
  </si>
  <si>
    <t>1 - Rea GP Holdings Group II / Rea Ventures Group</t>
  </si>
  <si>
    <t>Abbington Sound</t>
  </si>
  <si>
    <t>Direct</t>
  </si>
  <si>
    <t>Manager</t>
  </si>
  <si>
    <t>For Profit</t>
  </si>
  <si>
    <t>www.reaventures.com</t>
  </si>
  <si>
    <t>sbrady820@yahoo.com</t>
  </si>
  <si>
    <t>Brady Development, LLC</t>
  </si>
  <si>
    <t>4625 Jefferson Lane SW</t>
  </si>
  <si>
    <t>Great Southern, LLC</t>
  </si>
  <si>
    <t>2009 Springhill Drive</t>
  </si>
  <si>
    <t>www.greatsouthernllc.com</t>
  </si>
  <si>
    <t>mike@greatsouthernllc.com</t>
  </si>
  <si>
    <t>Mike McGlamry</t>
  </si>
  <si>
    <t>Boyd Management</t>
  </si>
  <si>
    <t>P.O. Box 23589</t>
  </si>
  <si>
    <t>www.boydmanagement.com</t>
  </si>
  <si>
    <t>babbie.jaco@boydmanagement.com</t>
  </si>
  <si>
    <t>Barbara "Babbie" Jaco</t>
  </si>
  <si>
    <t>Vice President</t>
  </si>
  <si>
    <t>Coleman Talley, LLC</t>
  </si>
  <si>
    <t>910 North Patterson Street</t>
  </si>
  <si>
    <t>www.colemantalley.com</t>
  </si>
  <si>
    <t>greg.clark@colemantalley.com</t>
  </si>
  <si>
    <t>Greg Clark</t>
  </si>
  <si>
    <t>Partner</t>
  </si>
  <si>
    <t>Aprio</t>
  </si>
  <si>
    <t>Five Concourse Parkway, Suite 1000</t>
  </si>
  <si>
    <t>www.aprio.com</t>
  </si>
  <si>
    <t>frank.gudger@aprio.com</t>
  </si>
  <si>
    <t xml:space="preserve">Frank Gudger </t>
  </si>
  <si>
    <t>Martin Riley Associates - Architect, P.C.</t>
  </si>
  <si>
    <t>215 Church Street, Suite 200</t>
  </si>
  <si>
    <t>www.martinriley.com</t>
  </si>
  <si>
    <t>mriley@martinriley.com</t>
  </si>
  <si>
    <t>Mike Riley</t>
  </si>
  <si>
    <t>William J. Rea, Jr. owns a 45% interest in the Contractor (Great Southern, LLC) and 58% of the principal Developer (Rea Ventures Group, LLC).</t>
  </si>
  <si>
    <t>William J. Rea, Jr. owns a 45% interest in the Contractor (Great Southern, LLC) and 58% of the General Partner's uppier tier managing entity (Rea GP Holdings Group II, LLC).</t>
  </si>
  <si>
    <t>Amortizing</t>
  </si>
  <si>
    <t>Rea Ventures Group / Brady Development</t>
  </si>
  <si>
    <t>MF</t>
  </si>
  <si>
    <t>Electric Heat Pump</t>
  </si>
  <si>
    <t>This application is for family development.</t>
  </si>
  <si>
    <t>Agree</t>
  </si>
  <si>
    <t>Georgia Power</t>
  </si>
  <si>
    <t>Covered Porch</t>
  </si>
  <si>
    <t>Yes - W&amp;D hookups installed in each unit</t>
  </si>
  <si>
    <t>On-site laundry</t>
  </si>
  <si>
    <t>Zeffert &amp; Associates</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</si>
  <si>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</si>
  <si>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</si>
  <si>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Health Screenings (flu shots, diabetes, blood pressure), Healthy Weigth and Body Assessments, General Risk Assessments, Depression/Abuse</t>
  </si>
  <si>
    <t>Healthy Living and Healthy Eating Seminars</t>
  </si>
  <si>
    <t>Fitness Center and Fitness Classes</t>
  </si>
  <si>
    <t>Community Garden</t>
  </si>
  <si>
    <t>monthly</t>
  </si>
  <si>
    <t>weekly</t>
  </si>
  <si>
    <t>Daily</t>
  </si>
  <si>
    <t>Determining Proper Nutritional Needs for Your Family</t>
  </si>
  <si>
    <t>How to Source Affordable Healthy Food Options</t>
  </si>
  <si>
    <t>Proper Food Storage, Cooking, and Food Cleaning</t>
  </si>
  <si>
    <t>Community Garden Cultivation Encouragement</t>
  </si>
  <si>
    <t>Health Services Coordinator referrals to agricultural extension office for growing tips.</t>
  </si>
  <si>
    <t>9-12</t>
  </si>
  <si>
    <t>PK - 5</t>
  </si>
  <si>
    <t>6 - 8</t>
  </si>
  <si>
    <t>Upper</t>
  </si>
  <si>
    <t>2 - Abbington Sound</t>
  </si>
  <si>
    <t>1 - Abbington at Ormewood Park</t>
  </si>
  <si>
    <t>PA19-057</t>
  </si>
  <si>
    <t>715 Winding Road</t>
  </si>
  <si>
    <t>City of Kingsland</t>
  </si>
  <si>
    <t>1455 Winding Road</t>
  </si>
  <si>
    <t>13039010401</t>
  </si>
  <si>
    <t>107 South Lee Street</t>
  </si>
  <si>
    <t>Dr. C. Grayson Day</t>
  </si>
  <si>
    <t>www.kingslandgeorgia.com</t>
  </si>
  <si>
    <t>gday@kingslandgeorgia.co</t>
  </si>
  <si>
    <t>Kingsland Abbington Sound, LP</t>
  </si>
  <si>
    <t>Abbington Sound Partner, LLC</t>
  </si>
  <si>
    <t>Georgia DCA - South Region (Garden/Walkup)</t>
  </si>
  <si>
    <t>DDA/QCT</t>
  </si>
  <si>
    <t>2-Story Walkup</t>
  </si>
  <si>
    <t>Purchase Contract</t>
  </si>
  <si>
    <t xml:space="preserve">City of Kingsland  </t>
  </si>
  <si>
    <t>https://www.co.camden.ga.us/845/Transportation</t>
  </si>
  <si>
    <t>Coastal Regional Coaches</t>
  </si>
  <si>
    <t>Urgent Care of Coastal Georgia (www.uccgeorgia.com)</t>
  </si>
  <si>
    <t>Monthly seminar discussion provided by Urgent Care of Coastal Georgia</t>
  </si>
  <si>
    <t>Camden County High School</t>
  </si>
  <si>
    <t>Saint Marys Middle School</t>
  </si>
  <si>
    <t>Sugarmill Elementary School</t>
  </si>
  <si>
    <t xml:space="preserve">Applicant has elected to NOT assign its Bonus Point to the Abbington Sound application.       </t>
  </si>
  <si>
    <t>Vice President of Development</t>
  </si>
  <si>
    <t xml:space="preserve">Property will provide Range/Microwave and Refrigerator.  Utilty allowances confirmed most recent and in effect as of January 1, 2019 based on 2018 utility allowance map provided by Georgia Department of Community Affairs.  South Region DCA utility allowance was used (Garden/Walkup).  </t>
  </si>
  <si>
    <t xml:space="preserve">Debt service coverage ratio is at or above 1.20 through Year 15. </t>
  </si>
  <si>
    <t>Real Property Research Group</t>
  </si>
  <si>
    <t>N / A</t>
  </si>
  <si>
    <t>The Village at Winding Road</t>
  </si>
  <si>
    <t>The Preserve at Newport</t>
  </si>
  <si>
    <t>Projected demand for affordable product is high and capture rates are low.  There is one affordable development in the primary market area that has not yet reached stabilization.  The Village at Winding Road is still under construction, although 45 units have been leased.</t>
  </si>
  <si>
    <t>Reserve at Sugar Mill</t>
  </si>
  <si>
    <t>Royal Point</t>
  </si>
  <si>
    <t>Ashton Cove</t>
  </si>
  <si>
    <t>An appraisal is not required because there is not an identity of interest between the buyer and seller of the property.</t>
  </si>
  <si>
    <t>N/Ap</t>
  </si>
  <si>
    <t>The site is zoned appropriately for its intended use.  The site is zoned C-2 (Highway Commerical).  Multi-family residential is a permitted use within this district and the conditions do not impede the proposed development.</t>
  </si>
  <si>
    <t xml:space="preserve">No Gas will be utilitzed on the subject development as the property will be all electric.  A letter from Georgia Power (signed and on letterhead) is included in the application to verify electricity service and capacity.  </t>
  </si>
  <si>
    <t>Site is new construction and therefore will not involve rehabilitation of existing structures.</t>
  </si>
  <si>
    <t xml:space="preserve">Applicant is not requesting consideration under the non-profit set aside.         </t>
  </si>
  <si>
    <t xml:space="preserve">Applicant is not requesting consideration under the rural HOME preservation set aside.       </t>
  </si>
  <si>
    <t xml:space="preserve">Applicant is not requesting consideration under the CHDO set aside. </t>
  </si>
  <si>
    <t>There are no required legal opinions for this development.</t>
  </si>
  <si>
    <t>Our team has and will continue to facilitie AFFH.  We have evidence of our commitment to AFFH throughout the many states we work in and our consistent track record.</t>
  </si>
  <si>
    <t>N/a</t>
  </si>
  <si>
    <t>Disagree</t>
  </si>
  <si>
    <t>Not Applicable</t>
  </si>
  <si>
    <t>Geotechnical &amp; Environmental Consultants, Inc. (GEC)</t>
  </si>
  <si>
    <t>The site is already accessible by paved public roads (Winding Road and Laurel Island Parkway).  No documentation is needed evidencing approval to pave any additional roads.</t>
  </si>
  <si>
    <t>Site plan shows all relevant information required by QAP and are produced by Martin Riley Associates.  This is a perfect use for this particular property.</t>
  </si>
  <si>
    <t>The applicant will prioritize the sustainability of the affordable housing development.  Applicant plans to pursue Earth Craft Multifamily certification.</t>
  </si>
  <si>
    <t xml:space="preserve">There are no structures on this development site and no displacements would occur as a result of this development.    </t>
  </si>
  <si>
    <t>Development will accept Section 811 PBRA on 10% of the total units.  Applicant and management company have experience with the requirements of HUD's Section 811 renal assistance program on previous affordable developments.  The property would not have rental assistance on all the units.</t>
  </si>
  <si>
    <t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t>
  </si>
  <si>
    <t>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t>
  </si>
  <si>
    <t>This development is not pursuing points under Revitalization/Redevelopment Plans.</t>
  </si>
  <si>
    <t>This development is not pursuing points under Community Transformation.</t>
  </si>
  <si>
    <t>The development site is not located within a HUD Choise Neighborhood or Purpose Built Community.</t>
  </si>
  <si>
    <t>The development site is located within the boundary of the City of Kingsland, which last received a 9% Georgia Housing Credit award in 2016.  Therefore, it is not eligible for any points in this category.</t>
  </si>
  <si>
    <t>Development site is located within a GICH alumni community (Camden County), but this community has not maintained the requirements necessary to be a current team.</t>
  </si>
  <si>
    <t>This development is new construction and does not preserve a historic structure.</t>
  </si>
  <si>
    <t>Federal Investor - Churchill Stateside</t>
  </si>
  <si>
    <t>State Investor - Churchill Stateside</t>
  </si>
  <si>
    <t>Churchill Stateside Group, LLC</t>
  </si>
  <si>
    <t>915 Chestnut Street</t>
  </si>
  <si>
    <t>Clearwater</t>
  </si>
  <si>
    <t>Dan Duda</t>
  </si>
  <si>
    <t>Dduda@csgfirst.com</t>
  </si>
  <si>
    <t>www.csgfirst.com</t>
  </si>
  <si>
    <t>City of Kingsland will provide public water and sewer to the development.  Existing water and sewer lines are located in the public right away along Laurel Island Parkway which is adjacent to the site.  The cost of connecting to this existing water and sewer is included in the developmnt budget as an offsite expense.  The City has verified that sufficient capacity exists to support the development.</t>
  </si>
  <si>
    <t>2016-003</t>
  </si>
  <si>
    <t>2016-010</t>
  </si>
  <si>
    <t>1996-010</t>
  </si>
  <si>
    <t>1998-022</t>
  </si>
  <si>
    <t>Churchill Stateside - Constructon Bridge Loan</t>
  </si>
  <si>
    <t>CDBG-DR Construction-to-Perm Loan</t>
  </si>
  <si>
    <t xml:space="preserve">Churchill Stateside Group has executed a LOI to be the Federal Investor at a syndication rate of $0.80 for an allocation of 99.99% ($823,917 annually) of the Federal Credits.
Churchill Stateside Group has executed a LOI to be the State Investor at a syndication rate of $0.44 for an allocation of 100% ($824,000 annually) of the State Credits.
Federal and State Equity included in in Construction Financing above are equal to the first two contributions.
Churchill Stateside Group has executed a Commitment for Construction and Permanent Financing.
</t>
  </si>
  <si>
    <t>Tenants will also be encouraged to utilize the community spaces for daily functions in addition to the above programs and enrichment classes.  Tenants will be encouraged to utilize on-site seminars, fitness center, and garden.</t>
  </si>
  <si>
    <t>The amenities are appropriatly geared towards a family tenancy.  Property will include a fenced community garden.</t>
  </si>
  <si>
    <t>Applicant provided current compliance history summary, along with good standing letters for all out of state projects and role/interest letters on all projects claimed for experience, in its 2019 pre-application submittal to DCA.  DCA determined Rea Ventures and Paladin project teams to be "Qualified" for 2019.</t>
  </si>
  <si>
    <t>The development would provide 100% of its units at affordable rates of 60% AMI or less.  The use of DCA resources was minimized through incorporation of CDBG-DR debt.  The development would be an excellent opportunity to leverage resources to meet the housing needs of Kingsland, Georgia in a disaster recovery zone (Zip Code 31548).</t>
  </si>
  <si>
    <t>6 months</t>
  </si>
  <si>
    <t>19-069</t>
  </si>
  <si>
    <t>9% Credit &amp; HOME</t>
  </si>
  <si>
    <t>40% of Units at 60% of AMI</t>
  </si>
  <si>
    <t>3 -  W.J. Rea / E. Buffenbarger / G. Coogle III</t>
  </si>
  <si>
    <t>5 -  Brady Communities / Brady Development</t>
  </si>
  <si>
    <t>7 - Sean Brady</t>
  </si>
  <si>
    <t>9 - Paladin, Inc.</t>
  </si>
  <si>
    <t>Legacy Villas</t>
  </si>
  <si>
    <t>Paladin, Inc.</t>
  </si>
  <si>
    <t>745 Ponce de Leon Terrace NE</t>
  </si>
  <si>
    <t>phillipellen@aol.com</t>
  </si>
  <si>
    <t>Phillip Ellen</t>
  </si>
  <si>
    <t>Executive Director</t>
  </si>
  <si>
    <t xml:space="preserve">All development team members are experienced in multifamily LIHTC housing.   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information required at pre-application for experience determination is resubmitted under Tab 19 of this application.      </t>
  </si>
  <si>
    <t>All development team members are experienced in multifamily LIHTC housing.  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information required at pre-application for experience determination is resubmitted under Tab 19 of this application.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t>
  </si>
  <si>
    <t xml:space="preserve">Hard Costs estimated by the construction company that has decades of experience building this type of mulitfamily housing.
Offsite Cost to extend the sewer is estimated by the contractor in the amount of $350,000 and is being excluded from basis.  The related contractors fees have been removed from basis as well.
Permit, Imapact, Water and Sewer Tap Fees were calculated based on current rates and verified by correspondence with the City of Kingsland Finance Director (See tab 1).  The meters referenced in the email are included in the construction contract.
</t>
  </si>
  <si>
    <t>The Applicant has submitted an proposal which conforms to the 2019 QAP and requirements of the CDBG-DR NOFA.   All costs for Development and Construction have been carefully underwritten by experienced estimators.  Federal ($0.80) and State ($0.44)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relative to 2018 maximum allowable rents as these were what was in effect on January 1, 2019 (per DCA instructions) but the most current utility allowances from DCA for the South Region have been used as those have been confirmed to be in effect on January 1, 2019.  Total Developer Fee and Deferred Developer Fee are within 2019 QAP limits.  This property is ideally situated for a market starving for workforce housing and is located within a disaster recovery location (Zip Code 31548) in great need for new affordable housing stock.</t>
  </si>
  <si>
    <t>The property consists of four (4) residential walk-up buildings and one (1) non-residential clubhouse.  Hard costs were determined by an experienced contractor and are within 2018 HUD cost limits as these were in effect on January 1, 2019 per DCA instructions.  Project total development costs do not exceed the HUD cost limits for its type.</t>
  </si>
  <si>
    <t>No wetlands or 100-year floodplain were identified on the property.  Noise levels were projected above the 65 dB mitigation level but below the 75 dB avoidane level.  All recommended mitigation measures will be followed and no outdoor amenities will be located within the 65 dB noise line on the property.  Phase 1 site assessment was conducted to HOME/HUD standards.</t>
  </si>
  <si>
    <t>Racially mixed</t>
  </si>
  <si>
    <t>The ownership entity has been assigned the contract for the development site.  Site control is provided through November 30, 2019 in the form of a valid purchase contract.  There is no identity of interest between the buyer and seller.  HOME pre-contract agreement is included in site control documentation.</t>
  </si>
  <si>
    <t>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required Qualification Determination documentation is included in Tab 19 for Information.  William J. Rea, Jr. will serve as the Certifying entity for both the General Partner and Developer entities.</t>
  </si>
  <si>
    <t>The development team has agreed to defer $805,706 of developer fee, which is a qualifying source of favorable financing under the scoring criteria of the CDBG-DR NOFA.  This deferred fee amount represents 5.0661% of the total development cost.</t>
  </si>
  <si>
    <t>The applicant will make a submission to the CDBG-DR RFP for the property as it is in one of the specific zip codes (31548) included in the RFP</t>
  </si>
  <si>
    <t xml:space="preserve">Abbington Sound apartments, located at the intersection of Laurel Island Parkway and Winding Road at approximately 1455 Winding Road, Kingsland, GA 31548, in Camden County, will consist of 84 rental apartments for working families.  The site is located in an area experiencing high growth in between downtown Kingsland and St. Mary’s, and within 4 miles of Kings Bay Naval base. The market demand numbers show a huge need for workforce housing units to be included in these communities and the site is within a zip code (31548) targeted as a 2019 disaster relief area. 
The development unit mix will comprise twelve (12) 1-bedroom/1 bathroom; thirty-six (36) 2-bedroom/2-bathroom; and thirty-six (36) 3-bedroom/2-bathroom units in four (4) garden style apartment buildings with a separate community center. The development will feature free surface parking for all residents.  The development will be 100% affordable, with below-market affordable rents at or below an average 58% area median income levels.  
The property will achieve a DCA approved green building certification standard (to be determined). Units will be well furnished with EnergyStar appliances, washer/dryer hookups, low flow plumbing fixtures and high efficiency lighting and HVAC.  Site amenities will include a fitness center, playground, furnished arts and craft/activity center, laundry facility, and picnic pavilion with grills.  Security cameras would also be installed at key common area locations.  The property landscaping would be fully irrigated.  Abbington Sound would be professionally managed by Boyd Management and have full-time on-site office and maintenance staff.
Abbington Sound is located in Zip Code 31548 within the City limits of Kingsland, Georgia.  The development site is in a priority location for the City’s disaster rebuilding initiative and adjacent to the main municipal capital investment project in the area, the Kingsland Bypass.  Rea Ventures Group is partnering with Paladin, Inc., an experienced non-profit CHDO affordable housing developer, to jointly develop and own Abbington Sound.  In order to finance Abbington Sound, Rea Ventures and Paladin are requesting an annual 9% housing tax credit allocation of $883,000 and a Community Development Block Grant – Disaster Recovery loan of $4,150,000 with an amortization period and term of 20 years and a construction-period and permanent-period interest rate of 1.0%.  </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</si>
  <si>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2018 rents for the Camden County limits. The utility allowances and rents utilized are the ones effective as of January 1, 2019, per the QAP.  Applicant is pursuing deeper targeting through 40% at 60% AMI minimum set aside to achieve an overall area median income targeting less than 58% AMI.  Actual AMI averages to 57.5% AMI.</t>
  </si>
  <si>
    <t>Georgia Department of Transportation</t>
  </si>
  <si>
    <t>Government</t>
  </si>
  <si>
    <t>Fall 2020</t>
  </si>
  <si>
    <t>Camden County Board of Commissioners / Georgia Department of Transportation</t>
  </si>
  <si>
    <t>Widening and reconstruction of existing 5-mile segment of Colerain Road from I-95 to Kings Bay Road to include sidewalks would allow better pedestrian and vehicle mobility and safety for residents at Abbington Sound.</t>
  </si>
  <si>
    <t>Project is under construction and would enhance the development site's ability to handle the increased traffic from Abbington Sound.  Project would also encourage other development along Colerain Road/Kingsland Bypass and bring other amenities closer to future Abbinton Sound residents.</t>
  </si>
  <si>
    <t>2019-078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</si>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</sst>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9"/>
      <color rgb="FF000000"/>
      <name val="Tahoma"/>
      <family val="2"/>
    </font>
    <font>
      <sz val="9"/>
      <color rgb="FF000000"/>
      <name val="Tahoma"/>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CCFFFF"/>
        <bgColor rgb="FF000000"/>
      </patternFill>
    </fill>
  </fills>
  <borders count="145">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style="thin">
        <color auto="1"/>
      </right>
      <top style="medium">
        <color auto="1"/>
      </top>
      <bottom style="thin">
        <color auto="1"/>
      </bottom>
      <diagonal/>
    </border>
    <border>
      <left style="thin">
        <color auto="1"/>
      </left>
      <right style="thin">
        <color auto="1"/>
      </right>
      <top style="hair">
        <color auto="1"/>
      </top>
      <bottom style="medium">
        <color auto="1"/>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thin">
        <color auto="1"/>
      </right>
      <top style="hair">
        <color auto="1"/>
      </top>
      <bottom/>
      <diagonal/>
    </border>
    <border>
      <left style="thin">
        <color auto="1"/>
      </left>
      <right style="thin">
        <color auto="1"/>
      </right>
      <top style="medium">
        <color auto="1"/>
      </top>
      <bottom/>
      <diagonal/>
    </border>
    <border>
      <left style="thin">
        <color auto="1"/>
      </left>
      <right style="thin">
        <color auto="1"/>
      </right>
      <top style="hair">
        <color auto="1"/>
      </top>
      <bottom style="double">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top style="hair">
        <color auto="1"/>
      </top>
      <bottom style="thin">
        <color rgb="FF000000"/>
      </bottom>
      <diagonal/>
    </border>
    <border>
      <left/>
      <right style="thin">
        <color rgb="FF000000"/>
      </right>
      <top style="hair">
        <color auto="1"/>
      </top>
      <bottom style="thin">
        <color rgb="FF000000"/>
      </bottom>
      <diagonal/>
    </border>
    <border>
      <left/>
      <right/>
      <top style="hair">
        <color auto="1"/>
      </top>
      <bottom style="thin">
        <color rgb="FF00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6">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117" fillId="0" borderId="0" xfId="0" applyFont="1" applyFill="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284"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4"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5"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6"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7"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6"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9"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6"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91"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9"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5"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5"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3" fillId="0" borderId="0" xfId="0" applyFont="1" applyFill="1" applyBorder="1" applyAlignment="1" applyProtection="1">
      <alignment horizontal="right" vertical="center"/>
    </xf>
    <xf numFmtId="0" fontId="291"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8"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27" borderId="142" xfId="0" applyFont="1" applyFill="1" applyBorder="1" applyAlignment="1" applyProtection="1">
      <alignment horizontal="left" vertical="center"/>
    </xf>
    <xf numFmtId="0" fontId="45" fillId="27" borderId="144" xfId="0" applyFont="1" applyFill="1" applyBorder="1" applyAlignment="1" applyProtection="1">
      <alignment horizontal="left" vertical="center"/>
    </xf>
    <xf numFmtId="0" fontId="45" fillId="27" borderId="143" xfId="0" applyFont="1" applyFill="1" applyBorder="1" applyAlignment="1" applyProtection="1">
      <alignment horizontal="lef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4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Abbington Sound</v>
      </c>
    </row>
    <row r="3" spans="1:6" ht="15" customHeight="1">
      <c r="A3" s="863" t="str">
        <f>CONCATENATE('Part I-Project Information'!F38,", ", 'Part I-Project Information'!J39," County")</f>
        <v>Kingsland, Camden County</v>
      </c>
    </row>
    <row r="4" spans="1:6" ht="12" customHeight="1">
      <c r="A4" s="1982"/>
    </row>
    <row r="5" spans="1:6" ht="72" customHeight="1">
      <c r="A5" s="2321" t="s">
        <v>5316</v>
      </c>
      <c r="B5" s="2322" t="s">
        <v>5042</v>
      </c>
      <c r="C5" s="2322"/>
      <c r="D5" s="2322"/>
      <c r="E5" s="2322"/>
      <c r="F5" s="2322"/>
    </row>
    <row r="6" spans="1:6" ht="6.4" customHeight="1">
      <c r="A6" s="2321"/>
      <c r="B6" s="2322"/>
      <c r="C6" s="2322"/>
      <c r="D6" s="2322"/>
      <c r="E6" s="2322"/>
      <c r="F6" s="2322"/>
    </row>
    <row r="7" spans="1:6" ht="72" customHeight="1">
      <c r="A7" s="2321"/>
      <c r="B7" s="2322"/>
      <c r="C7" s="2322"/>
      <c r="D7" s="2322"/>
      <c r="E7" s="2322"/>
      <c r="F7" s="2322"/>
    </row>
    <row r="8" spans="1:6" ht="6.4" customHeight="1">
      <c r="A8" s="2321"/>
    </row>
    <row r="9" spans="1:6" ht="72" customHeight="1">
      <c r="A9" s="2321"/>
    </row>
    <row r="10" spans="1:6" ht="6.4" customHeight="1">
      <c r="A10" s="2321"/>
    </row>
    <row r="11" spans="1:6" ht="72" customHeight="1">
      <c r="A11" s="2321"/>
    </row>
    <row r="12" spans="1:6" ht="6.4" customHeight="1">
      <c r="A12" s="2321"/>
    </row>
    <row r="13" spans="1:6" ht="72" customHeight="1">
      <c r="A13" s="2321"/>
    </row>
    <row r="14" spans="1:6" ht="6.4" customHeight="1">
      <c r="A14" s="2321"/>
    </row>
    <row r="15" spans="1:6" ht="72" customHeight="1">
      <c r="A15" s="2321"/>
    </row>
    <row r="16" spans="1:6" ht="6.4" customHeight="1">
      <c r="A16" s="2321"/>
    </row>
    <row r="17" spans="1:1" ht="72" customHeight="1">
      <c r="A17" s="2321"/>
    </row>
    <row r="18" spans="1:1" ht="6.4" customHeight="1">
      <c r="A18" s="2321"/>
    </row>
    <row r="19" spans="1:1" ht="72" customHeight="1">
      <c r="A19" s="2321"/>
    </row>
    <row r="20" spans="1:1" ht="6.4" customHeight="1">
      <c r="A20" s="2321"/>
    </row>
    <row r="21" spans="1:1" ht="72" customHeight="1">
      <c r="A21" s="2321"/>
    </row>
    <row r="22" spans="1:1" ht="6.4" customHeight="1">
      <c r="A22" s="2321"/>
    </row>
    <row r="23" spans="1:1" ht="72" customHeight="1">
      <c r="A23" s="2321"/>
    </row>
  </sheetData>
  <sheetProtection algorithmName="SHA-512" hashValue="y9L9kQBBjQaUzzuwA+3PVyb06xvWMQ005vMb2hIl+ZMJERG3YpVEvqeAgrjdNW8BGK7Gy6O06cTiJrX1B724iw==" saltValue="IZDA0QQz4RMkYWXcp7gs0Q==" spinCount="100000" sheet="1" objects="1" scenarios="1" selectLockedCells="1" selectUnlockedCells="1"/>
  <mergeCells count="2">
    <mergeCell ref="A5:A23"/>
    <mergeCell ref="B5:F7"/>
  </mergeCells>
  <printOptions horizontalCentered="1"/>
  <pageMargins left="0.25" right="0.25" top="0.5" bottom="0.5" header="0.25" footer="0.3"/>
  <pageSetup scale="64"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5" workbookViewId="0">
      <selection activeCell="A45" sqref="A1:XFD1048576"/>
    </sheetView>
  </sheetViews>
  <sheetFormatPr defaultColWidth="9.140625" defaultRowHeight="12.75"/>
  <cols>
    <col min="1" max="1" width="2.7109375" style="7" customWidth="1"/>
    <col min="2" max="2" width="10" style="7" customWidth="1"/>
    <col min="3" max="3" width="7.42578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140625" style="82" customWidth="1"/>
    <col min="22" max="22" width="47.7109375" style="82" customWidth="1"/>
    <col min="23" max="136" width="9.140625" style="448" customWidth="1"/>
    <col min="137" max="137" width="12.42578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42578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3.9" customHeight="1">
      <c r="A1" s="2446" t="str">
        <f>CONCATENATE("PART SIX - PROJECTED REVENUES &amp; EXPENSES","  -  ",'Part I-Project Information'!$O$6," ",'Part I-Project Information'!$F$34,", ",'Part I-Project Information'!F38,", ",'Part I-Project Information'!J39," County")</f>
        <v>PART SIX - PROJECTED REVENUES &amp; EXPENSES  -  2019-078 Abbington Sound, Kingsland, Camden County</v>
      </c>
      <c r="B1" s="2447"/>
      <c r="C1" s="2447"/>
      <c r="D1" s="2447"/>
      <c r="E1" s="2447"/>
      <c r="F1" s="2447"/>
      <c r="G1" s="2447"/>
      <c r="H1" s="2447"/>
      <c r="I1" s="2447"/>
      <c r="J1" s="2447"/>
      <c r="K1" s="2447"/>
      <c r="L1" s="2447"/>
      <c r="M1" s="2447"/>
      <c r="N1" s="2447"/>
      <c r="O1" s="2447"/>
      <c r="P1" s="2448"/>
      <c r="U1" s="2599" t="str">
        <f>A1</f>
        <v>PART SIX - PROJECTED REVENUES &amp; EXPENSES  -  2019-078 Abbington Sound, Kingsland, Camden County</v>
      </c>
      <c r="V1" s="259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9"/>
      <c r="HX1" s="2249"/>
      <c r="HY1" s="2249"/>
      <c r="HZ1" s="2249"/>
      <c r="IA1" s="2249"/>
      <c r="IB1" s="2249"/>
      <c r="IC1" s="2249"/>
      <c r="ID1" s="2249"/>
      <c r="IE1" s="2249"/>
      <c r="IF1" s="2249"/>
      <c r="IG1" s="2249"/>
      <c r="IH1" s="2249"/>
      <c r="II1" s="2249"/>
      <c r="IJ1" s="2249"/>
      <c r="IK1" s="2249"/>
      <c r="IL1" s="2249"/>
      <c r="IM1" s="2249"/>
      <c r="IN1" s="2249"/>
      <c r="IO1" s="2249"/>
      <c r="IP1" s="2249"/>
      <c r="IQ1" s="2249"/>
      <c r="IR1" s="2249"/>
      <c r="IS1" s="2249"/>
      <c r="IT1" s="2249"/>
      <c r="IU1" s="2249"/>
      <c r="IV1" s="2249"/>
      <c r="IW1" s="2249"/>
      <c r="IX1" s="2249"/>
      <c r="IY1" s="2249"/>
      <c r="IZ1" s="2249"/>
      <c r="JA1" s="2249"/>
      <c r="JB1" s="2249"/>
      <c r="JC1" s="2249"/>
      <c r="JD1" s="2249"/>
      <c r="JE1" s="2249"/>
      <c r="JF1" s="2249"/>
      <c r="JG1" s="2249"/>
      <c r="JH1" s="2249"/>
      <c r="JI1" s="2249"/>
      <c r="JJ1" s="2249"/>
      <c r="JK1" s="2249"/>
      <c r="JL1" s="2249"/>
      <c r="JM1" s="2249"/>
      <c r="JN1" s="2249"/>
      <c r="JO1" s="2249"/>
      <c r="JP1" s="2249"/>
      <c r="JQ1" s="2249"/>
      <c r="JR1" s="2249"/>
      <c r="JS1" s="2249"/>
      <c r="JT1" s="2249"/>
      <c r="JU1" s="2249"/>
      <c r="JV1" s="2249"/>
      <c r="JW1" s="2249"/>
      <c r="JX1" s="2249"/>
      <c r="JY1" s="2249"/>
      <c r="JZ1" s="2249"/>
      <c r="KA1" s="2249"/>
      <c r="KB1" s="2249"/>
      <c r="KC1" s="2249"/>
      <c r="KD1" s="2249"/>
      <c r="KE1" s="2249"/>
      <c r="KF1" s="2249"/>
      <c r="KG1" s="2249"/>
      <c r="KH1" s="2249"/>
      <c r="KI1" s="2249"/>
      <c r="KJ1" s="2249"/>
      <c r="KK1" s="2249"/>
      <c r="KL1" s="2249"/>
      <c r="KM1" s="2249"/>
      <c r="KN1" s="2249"/>
      <c r="KO1" s="450"/>
      <c r="KP1" s="450"/>
      <c r="KQ1" s="2249"/>
      <c r="KR1" s="2249"/>
      <c r="KS1" s="2249"/>
      <c r="KT1" s="450"/>
      <c r="KU1" s="450"/>
      <c r="KV1" s="450"/>
      <c r="KW1" s="450"/>
      <c r="KX1" s="2250"/>
      <c r="KY1" s="450"/>
      <c r="KZ1" s="450"/>
      <c r="LA1" s="450"/>
      <c r="LB1" s="450"/>
      <c r="LC1" s="2250"/>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4" customHeight="1">
      <c r="A3" s="3" t="s">
        <v>616</v>
      </c>
      <c r="B3" s="3" t="s">
        <v>2367</v>
      </c>
      <c r="C3" s="1"/>
      <c r="D3" s="924" t="s">
        <v>3569</v>
      </c>
      <c r="F3" s="1"/>
      <c r="G3" s="121"/>
      <c r="H3" s="121"/>
      <c r="I3" s="121"/>
      <c r="J3" s="121"/>
      <c r="K3" s="121"/>
      <c r="L3" s="121"/>
      <c r="S3" s="290"/>
      <c r="T3" s="290"/>
      <c r="U3" s="3" t="str">
        <f>B3</f>
        <v>RENT SCHEDULE</v>
      </c>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c r="BP3" s="2251"/>
      <c r="BQ3" s="2251"/>
      <c r="BR3" s="2251"/>
      <c r="BS3" s="2251"/>
      <c r="BT3" s="2251"/>
      <c r="BU3" s="2251"/>
      <c r="BV3" s="2251"/>
      <c r="BW3" s="2251"/>
      <c r="BX3" s="2251"/>
      <c r="BY3" s="2251"/>
      <c r="BZ3" s="2251"/>
      <c r="CA3" s="2251"/>
      <c r="CB3" s="2251"/>
      <c r="CC3" s="2251"/>
      <c r="CD3" s="2251"/>
      <c r="CE3" s="2251"/>
      <c r="CF3" s="2251"/>
      <c r="CG3" s="2251"/>
      <c r="CH3" s="2251"/>
      <c r="CI3" s="2251"/>
      <c r="CJ3" s="2251"/>
      <c r="CK3" s="2251"/>
      <c r="CL3" s="2251"/>
      <c r="CM3" s="2251"/>
      <c r="CN3" s="2251"/>
      <c r="CO3" s="2251"/>
      <c r="CP3" s="2251"/>
      <c r="CQ3" s="2251"/>
      <c r="CR3" s="2251"/>
      <c r="CS3" s="2251"/>
      <c r="CT3" s="2251"/>
      <c r="CU3" s="2251"/>
      <c r="CV3" s="2251"/>
      <c r="CW3" s="2251"/>
      <c r="CX3" s="2251"/>
      <c r="CY3" s="2251"/>
      <c r="CZ3" s="2251"/>
      <c r="DA3" s="2251"/>
      <c r="DB3" s="2251"/>
      <c r="DC3" s="2251"/>
      <c r="DD3" s="2251"/>
      <c r="DE3" s="2251"/>
      <c r="DF3" s="2251"/>
      <c r="DG3" s="2251"/>
      <c r="DH3" s="2251"/>
      <c r="DI3" s="2251"/>
      <c r="DJ3" s="2251"/>
      <c r="DK3" s="2251"/>
      <c r="DL3" s="2251"/>
      <c r="DM3" s="2251"/>
      <c r="DN3" s="2251"/>
      <c r="DO3" s="2251"/>
      <c r="DP3" s="2251"/>
      <c r="DQ3" s="2251"/>
      <c r="DR3" s="2251"/>
      <c r="DS3" s="2251"/>
      <c r="DT3" s="2251"/>
      <c r="DU3" s="2251"/>
      <c r="DV3" s="2251"/>
      <c r="DW3" s="2251"/>
      <c r="DX3" s="2251"/>
      <c r="DY3" s="2251"/>
      <c r="DZ3" s="2251"/>
      <c r="EA3" s="2251"/>
      <c r="EB3" s="2251"/>
      <c r="EC3" s="2251"/>
      <c r="ED3" s="2251"/>
      <c r="EE3" s="2251"/>
      <c r="EF3" s="2251"/>
      <c r="EG3" s="2251"/>
      <c r="EH3" s="2251"/>
      <c r="EI3" s="2251"/>
      <c r="EJ3" s="2251"/>
      <c r="EK3" s="2251"/>
      <c r="EL3" s="2251"/>
      <c r="EM3" s="2251"/>
      <c r="EN3" s="2251"/>
      <c r="EO3" s="2251"/>
      <c r="EP3" s="2251"/>
      <c r="EQ3" s="2251"/>
      <c r="ER3" s="2251"/>
      <c r="ES3" s="2251"/>
      <c r="ET3" s="2251"/>
      <c r="EU3" s="2251"/>
      <c r="EV3" s="2251"/>
      <c r="EW3" s="2251"/>
      <c r="EX3" s="2251"/>
      <c r="EY3" s="2251"/>
      <c r="EZ3" s="2251"/>
      <c r="FA3" s="2251"/>
      <c r="FB3" s="2251"/>
      <c r="FC3" s="2251"/>
      <c r="FD3" s="2251"/>
      <c r="FE3" s="2251"/>
      <c r="FF3" s="2251"/>
      <c r="FG3" s="2251"/>
      <c r="FH3" s="2251"/>
      <c r="FI3" s="2251"/>
      <c r="FJ3" s="2251"/>
      <c r="FK3" s="2251"/>
      <c r="FL3" s="2251"/>
      <c r="FM3" s="2251"/>
      <c r="FN3" s="2251"/>
      <c r="FO3" s="2251"/>
      <c r="FP3" s="2251"/>
      <c r="FQ3" s="2251"/>
      <c r="FR3" s="2251"/>
      <c r="FS3" s="2251"/>
      <c r="FT3" s="2251"/>
      <c r="FU3" s="2251"/>
      <c r="FV3" s="2251"/>
      <c r="FW3" s="2251"/>
      <c r="FX3" s="2251"/>
      <c r="FY3" s="2251"/>
      <c r="FZ3" s="2251"/>
      <c r="GA3" s="2251"/>
      <c r="GB3" s="2251"/>
      <c r="GC3" s="2251"/>
      <c r="GD3" s="2251"/>
      <c r="GE3" s="2251"/>
      <c r="GF3" s="2251"/>
      <c r="GG3" s="2251"/>
      <c r="GH3" s="2251"/>
      <c r="GI3" s="2251"/>
      <c r="GJ3" s="2251"/>
      <c r="GK3" s="2251"/>
      <c r="GL3" s="2251"/>
      <c r="GM3" s="2251"/>
      <c r="GN3" s="2251"/>
      <c r="GO3" s="2251"/>
      <c r="GP3" s="2251"/>
      <c r="GQ3" s="2251"/>
      <c r="GR3" s="2251"/>
      <c r="GS3" s="2251"/>
      <c r="GT3" s="2251"/>
      <c r="GU3" s="2251"/>
      <c r="GV3" s="2251"/>
      <c r="GW3" s="2251"/>
      <c r="GX3" s="2251"/>
      <c r="GY3" s="2251"/>
      <c r="GZ3" s="2251"/>
      <c r="HA3" s="2251"/>
      <c r="HB3" s="2251"/>
      <c r="HC3" s="2251"/>
      <c r="HD3" s="2251"/>
      <c r="HE3" s="2251"/>
      <c r="HF3" s="2251"/>
      <c r="HG3" s="2251"/>
      <c r="HH3" s="2251"/>
      <c r="HI3" s="2251"/>
      <c r="HJ3" s="2251"/>
      <c r="HK3" s="2251"/>
      <c r="HL3" s="2251"/>
      <c r="HM3" s="2251"/>
      <c r="HN3" s="2251"/>
      <c r="HO3" s="2251"/>
      <c r="HP3" s="2251"/>
      <c r="HQ3" s="2251"/>
      <c r="HR3" s="2251"/>
      <c r="HS3" s="2251"/>
      <c r="HT3" s="2251"/>
      <c r="HU3" s="2251"/>
      <c r="HV3" s="2251"/>
      <c r="HW3" s="2251"/>
      <c r="HX3" s="2251"/>
      <c r="HY3" s="2252"/>
      <c r="HZ3" s="2252"/>
      <c r="IA3" s="2252"/>
      <c r="IB3" s="2252"/>
      <c r="IC3" s="2252"/>
      <c r="ID3" s="452" t="s">
        <v>485</v>
      </c>
      <c r="IE3" s="452" t="s">
        <v>2441</v>
      </c>
      <c r="IF3" s="452" t="s">
        <v>2442</v>
      </c>
      <c r="IG3" s="452" t="s">
        <v>2443</v>
      </c>
      <c r="IH3" s="452" t="s">
        <v>2444</v>
      </c>
      <c r="II3" s="452" t="s">
        <v>485</v>
      </c>
      <c r="IJ3" s="452" t="s">
        <v>2441</v>
      </c>
      <c r="IK3" s="452" t="s">
        <v>2442</v>
      </c>
      <c r="IL3" s="452" t="s">
        <v>2443</v>
      </c>
      <c r="IM3" s="452" t="s">
        <v>2444</v>
      </c>
      <c r="IN3" s="2252"/>
      <c r="IO3" s="2252"/>
      <c r="IP3" s="2252"/>
      <c r="IQ3" s="2252"/>
      <c r="IR3" s="2252"/>
      <c r="IS3" s="2252"/>
      <c r="IT3" s="2252"/>
      <c r="IU3" s="2252"/>
      <c r="IV3" s="2252"/>
      <c r="IW3" s="2252"/>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1"/>
      <c r="LL3" s="2251"/>
      <c r="LM3" s="2251"/>
      <c r="LN3" s="2251"/>
      <c r="LO3" s="2251"/>
      <c r="LP3" s="2251"/>
      <c r="LQ3" s="2251"/>
      <c r="LR3" s="2251"/>
      <c r="LS3" s="2251"/>
      <c r="LT3" s="2251"/>
      <c r="LU3" s="2251"/>
      <c r="LV3" s="2251"/>
      <c r="LW3" s="2251"/>
      <c r="LX3" s="2251"/>
      <c r="LY3" s="2251"/>
      <c r="LZ3" s="2251"/>
      <c r="MA3" s="2251"/>
      <c r="MB3" s="2251"/>
      <c r="MC3" s="2251"/>
      <c r="MD3" s="2251"/>
      <c r="ME3" s="2586" t="s">
        <v>3423</v>
      </c>
      <c r="MF3" s="2586" t="s">
        <v>3424</v>
      </c>
      <c r="MG3" s="2586" t="s">
        <v>3425</v>
      </c>
      <c r="MH3" s="2586" t="s">
        <v>3426</v>
      </c>
      <c r="MI3" s="258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95" t="s">
        <v>3697</v>
      </c>
      <c r="Q4" s="2284"/>
      <c r="R4" s="416"/>
      <c r="S4" s="416"/>
      <c r="T4" s="416"/>
      <c r="U4" s="416"/>
      <c r="V4" s="417"/>
      <c r="W4" s="2571" t="s">
        <v>4620</v>
      </c>
      <c r="X4" s="2571" t="s">
        <v>4621</v>
      </c>
      <c r="Y4" s="2571" t="s">
        <v>4622</v>
      </c>
      <c r="Z4" s="2571" t="s">
        <v>4623</v>
      </c>
      <c r="AA4" s="2571" t="s">
        <v>4624</v>
      </c>
      <c r="AB4" s="2571" t="s">
        <v>4625</v>
      </c>
      <c r="AC4" s="2571" t="s">
        <v>4626</v>
      </c>
      <c r="AD4" s="2571" t="s">
        <v>4627</v>
      </c>
      <c r="AE4" s="2571" t="s">
        <v>4628</v>
      </c>
      <c r="AF4" s="2571" t="s">
        <v>4629</v>
      </c>
      <c r="AG4" s="2571" t="s">
        <v>919</v>
      </c>
      <c r="AH4" s="2571" t="s">
        <v>756</v>
      </c>
      <c r="AI4" s="2571" t="s">
        <v>757</v>
      </c>
      <c r="AJ4" s="2571" t="s">
        <v>758</v>
      </c>
      <c r="AK4" s="2571" t="s">
        <v>759</v>
      </c>
      <c r="AL4" s="2571" t="s">
        <v>920</v>
      </c>
      <c r="AM4" s="2571" t="s">
        <v>2311</v>
      </c>
      <c r="AN4" s="2571" t="s">
        <v>2312</v>
      </c>
      <c r="AO4" s="2571" t="s">
        <v>2313</v>
      </c>
      <c r="AP4" s="2571" t="s">
        <v>2314</v>
      </c>
      <c r="AQ4" s="2571" t="s">
        <v>4631</v>
      </c>
      <c r="AR4" s="2571" t="s">
        <v>4632</v>
      </c>
      <c r="AS4" s="2571" t="s">
        <v>4633</v>
      </c>
      <c r="AT4" s="2571" t="s">
        <v>4634</v>
      </c>
      <c r="AU4" s="2571" t="s">
        <v>4630</v>
      </c>
      <c r="AV4" s="2571" t="s">
        <v>921</v>
      </c>
      <c r="AW4" s="2571" t="s">
        <v>2315</v>
      </c>
      <c r="AX4" s="2571" t="s">
        <v>2316</v>
      </c>
      <c r="AY4" s="2571" t="s">
        <v>2317</v>
      </c>
      <c r="AZ4" s="2571" t="s">
        <v>2318</v>
      </c>
      <c r="BA4" s="2571" t="s">
        <v>4635</v>
      </c>
      <c r="BB4" s="2571" t="s">
        <v>4636</v>
      </c>
      <c r="BC4" s="2571" t="s">
        <v>4637</v>
      </c>
      <c r="BD4" s="2571" t="s">
        <v>4638</v>
      </c>
      <c r="BE4" s="2571" t="s">
        <v>4639</v>
      </c>
      <c r="BF4" s="2571" t="s">
        <v>129</v>
      </c>
      <c r="BG4" s="2571" t="s">
        <v>2319</v>
      </c>
      <c r="BH4" s="2571" t="s">
        <v>2320</v>
      </c>
      <c r="BI4" s="2571" t="s">
        <v>2321</v>
      </c>
      <c r="BJ4" s="2571" t="s">
        <v>1148</v>
      </c>
      <c r="BK4" s="2571" t="s">
        <v>4640</v>
      </c>
      <c r="BL4" s="2571" t="s">
        <v>4641</v>
      </c>
      <c r="BM4" s="2571" t="s">
        <v>4642</v>
      </c>
      <c r="BN4" s="2571" t="s">
        <v>4643</v>
      </c>
      <c r="BO4" s="2571" t="s">
        <v>4644</v>
      </c>
      <c r="BP4" s="2571" t="s">
        <v>556</v>
      </c>
      <c r="BQ4" s="2571" t="s">
        <v>557</v>
      </c>
      <c r="BR4" s="2571" t="s">
        <v>577</v>
      </c>
      <c r="BS4" s="2571" t="s">
        <v>578</v>
      </c>
      <c r="BT4" s="2571" t="s">
        <v>579</v>
      </c>
      <c r="BU4" s="2571" t="s">
        <v>4645</v>
      </c>
      <c r="BV4" s="2571" t="s">
        <v>4646</v>
      </c>
      <c r="BW4" s="2571" t="s">
        <v>4647</v>
      </c>
      <c r="BX4" s="2571" t="s">
        <v>4648</v>
      </c>
      <c r="BY4" s="2571" t="s">
        <v>4649</v>
      </c>
      <c r="BZ4" s="2571" t="s">
        <v>580</v>
      </c>
      <c r="CA4" s="2571" t="s">
        <v>581</v>
      </c>
      <c r="CB4" s="2571" t="s">
        <v>582</v>
      </c>
      <c r="CC4" s="2571" t="s">
        <v>583</v>
      </c>
      <c r="CD4" s="2571" t="s">
        <v>584</v>
      </c>
      <c r="CE4" s="2571" t="s">
        <v>585</v>
      </c>
      <c r="CF4" s="2571" t="s">
        <v>586</v>
      </c>
      <c r="CG4" s="2571" t="s">
        <v>931</v>
      </c>
      <c r="CH4" s="2571" t="s">
        <v>932</v>
      </c>
      <c r="CI4" s="2571" t="s">
        <v>933</v>
      </c>
      <c r="CJ4" s="2571" t="s">
        <v>4655</v>
      </c>
      <c r="CK4" s="2571" t="s">
        <v>4656</v>
      </c>
      <c r="CL4" s="2571" t="s">
        <v>4657</v>
      </c>
      <c r="CM4" s="2571" t="s">
        <v>4658</v>
      </c>
      <c r="CN4" s="2571" t="s">
        <v>4659</v>
      </c>
      <c r="CO4" s="2571" t="s">
        <v>4650</v>
      </c>
      <c r="CP4" s="2571" t="s">
        <v>4651</v>
      </c>
      <c r="CQ4" s="2571" t="s">
        <v>4652</v>
      </c>
      <c r="CR4" s="2571" t="s">
        <v>4653</v>
      </c>
      <c r="CS4" s="2571" t="s">
        <v>4654</v>
      </c>
      <c r="CT4" s="2571" t="s">
        <v>4660</v>
      </c>
      <c r="CU4" s="2571" t="s">
        <v>4661</v>
      </c>
      <c r="CV4" s="2571" t="s">
        <v>4662</v>
      </c>
      <c r="CW4" s="2571" t="s">
        <v>4663</v>
      </c>
      <c r="CX4" s="2571" t="s">
        <v>4664</v>
      </c>
      <c r="CY4" s="2571" t="s">
        <v>496</v>
      </c>
      <c r="CZ4" s="2571" t="s">
        <v>497</v>
      </c>
      <c r="DA4" s="2571" t="s">
        <v>498</v>
      </c>
      <c r="DB4" s="2571" t="s">
        <v>499</v>
      </c>
      <c r="DC4" s="2571" t="s">
        <v>500</v>
      </c>
      <c r="DD4" s="2571" t="s">
        <v>4665</v>
      </c>
      <c r="DE4" s="2571" t="s">
        <v>4666</v>
      </c>
      <c r="DF4" s="2571" t="s">
        <v>4667</v>
      </c>
      <c r="DG4" s="2571" t="s">
        <v>4668</v>
      </c>
      <c r="DH4" s="2571" t="s">
        <v>4669</v>
      </c>
      <c r="DI4" s="2571" t="s">
        <v>880</v>
      </c>
      <c r="DJ4" s="2571" t="s">
        <v>881</v>
      </c>
      <c r="DK4" s="2571" t="s">
        <v>882</v>
      </c>
      <c r="DL4" s="2571" t="s">
        <v>883</v>
      </c>
      <c r="DM4" s="2571" t="s">
        <v>884</v>
      </c>
      <c r="DN4" s="2571" t="s">
        <v>885</v>
      </c>
      <c r="DO4" s="2571" t="s">
        <v>886</v>
      </c>
      <c r="DP4" s="2571" t="s">
        <v>887</v>
      </c>
      <c r="DQ4" s="2571" t="s">
        <v>888</v>
      </c>
      <c r="DR4" s="2571" t="s">
        <v>889</v>
      </c>
      <c r="DS4" s="2571" t="s">
        <v>4670</v>
      </c>
      <c r="DT4" s="2571" t="s">
        <v>4671</v>
      </c>
      <c r="DU4" s="2571" t="s">
        <v>4672</v>
      </c>
      <c r="DV4" s="2571" t="s">
        <v>4673</v>
      </c>
      <c r="DW4" s="2571" t="s">
        <v>4674</v>
      </c>
      <c r="DX4" s="2571" t="s">
        <v>4675</v>
      </c>
      <c r="DY4" s="2571" t="s">
        <v>4676</v>
      </c>
      <c r="DZ4" s="2571" t="s">
        <v>4677</v>
      </c>
      <c r="EA4" s="2571" t="s">
        <v>4678</v>
      </c>
      <c r="EB4" s="2571" t="s">
        <v>4679</v>
      </c>
      <c r="EC4" s="2571" t="s">
        <v>2431</v>
      </c>
      <c r="ED4" s="2571" t="s">
        <v>2432</v>
      </c>
      <c r="EE4" s="2571" t="s">
        <v>2433</v>
      </c>
      <c r="EF4" s="2571" t="s">
        <v>2434</v>
      </c>
      <c r="EG4" s="2571" t="s">
        <v>2435</v>
      </c>
      <c r="EH4" s="2571" t="s">
        <v>4680</v>
      </c>
      <c r="EI4" s="2571" t="s">
        <v>4681</v>
      </c>
      <c r="EJ4" s="2571" t="s">
        <v>4682</v>
      </c>
      <c r="EK4" s="2571" t="s">
        <v>4683</v>
      </c>
      <c r="EL4" s="2571" t="s">
        <v>4684</v>
      </c>
      <c r="EM4" s="2571" t="s">
        <v>4685</v>
      </c>
      <c r="EN4" s="2571" t="s">
        <v>4686</v>
      </c>
      <c r="EO4" s="2571" t="s">
        <v>4687</v>
      </c>
      <c r="EP4" s="2571" t="s">
        <v>4688</v>
      </c>
      <c r="EQ4" s="2571" t="s">
        <v>4689</v>
      </c>
      <c r="ER4" s="2586" t="s">
        <v>117</v>
      </c>
      <c r="ES4" s="2586" t="s">
        <v>1151</v>
      </c>
      <c r="ET4" s="2586" t="s">
        <v>1152</v>
      </c>
      <c r="EU4" s="2586" t="s">
        <v>1213</v>
      </c>
      <c r="EV4" s="2586" t="s">
        <v>1214</v>
      </c>
      <c r="EW4" s="2586" t="s">
        <v>132</v>
      </c>
      <c r="EX4" s="2586" t="s">
        <v>1215</v>
      </c>
      <c r="EY4" s="2586" t="s">
        <v>1216</v>
      </c>
      <c r="EZ4" s="2586" t="s">
        <v>1217</v>
      </c>
      <c r="FA4" s="2586" t="s">
        <v>1218</v>
      </c>
      <c r="FB4" s="2571" t="s">
        <v>4690</v>
      </c>
      <c r="FC4" s="2571" t="s">
        <v>4691</v>
      </c>
      <c r="FD4" s="2571" t="s">
        <v>4692</v>
      </c>
      <c r="FE4" s="2571" t="s">
        <v>4693</v>
      </c>
      <c r="FF4" s="2571" t="s">
        <v>4694</v>
      </c>
      <c r="FG4" s="2586" t="s">
        <v>131</v>
      </c>
      <c r="FH4" s="2586" t="s">
        <v>911</v>
      </c>
      <c r="FI4" s="2586" t="s">
        <v>912</v>
      </c>
      <c r="FJ4" s="2586" t="s">
        <v>913</v>
      </c>
      <c r="FK4" s="2586" t="s">
        <v>914</v>
      </c>
      <c r="FL4" s="2571" t="s">
        <v>4695</v>
      </c>
      <c r="FM4" s="2571" t="s">
        <v>4696</v>
      </c>
      <c r="FN4" s="2571" t="s">
        <v>4697</v>
      </c>
      <c r="FO4" s="2571" t="s">
        <v>4698</v>
      </c>
      <c r="FP4" s="2571" t="s">
        <v>4699</v>
      </c>
      <c r="FQ4" s="2586" t="s">
        <v>130</v>
      </c>
      <c r="FR4" s="2586" t="s">
        <v>915</v>
      </c>
      <c r="FS4" s="2586" t="s">
        <v>916</v>
      </c>
      <c r="FT4" s="2586" t="s">
        <v>917</v>
      </c>
      <c r="FU4" s="2586" t="s">
        <v>918</v>
      </c>
      <c r="FV4" s="2586" t="s">
        <v>809</v>
      </c>
      <c r="FW4" s="2586" t="s">
        <v>810</v>
      </c>
      <c r="FX4" s="2586" t="s">
        <v>811</v>
      </c>
      <c r="FY4" s="2586" t="s">
        <v>812</v>
      </c>
      <c r="FZ4" s="2586" t="s">
        <v>813</v>
      </c>
      <c r="GA4" s="2586" t="s">
        <v>957</v>
      </c>
      <c r="GB4" s="2586" t="s">
        <v>958</v>
      </c>
      <c r="GC4" s="2586" t="s">
        <v>959</v>
      </c>
      <c r="GD4" s="2586" t="s">
        <v>960</v>
      </c>
      <c r="GE4" s="2586" t="s">
        <v>2430</v>
      </c>
      <c r="GF4" s="2586" t="s">
        <v>1433</v>
      </c>
      <c r="GG4" s="2586" t="s">
        <v>1434</v>
      </c>
      <c r="GH4" s="2586" t="s">
        <v>1435</v>
      </c>
      <c r="GI4" s="2586" t="s">
        <v>1436</v>
      </c>
      <c r="GJ4" s="2586" t="s">
        <v>1437</v>
      </c>
      <c r="GK4" s="2586" t="s">
        <v>436</v>
      </c>
      <c r="GL4" s="2586" t="s">
        <v>437</v>
      </c>
      <c r="GM4" s="2586" t="s">
        <v>438</v>
      </c>
      <c r="GN4" s="2586" t="s">
        <v>439</v>
      </c>
      <c r="GO4" s="2586" t="s">
        <v>440</v>
      </c>
      <c r="GP4" s="2586" t="s">
        <v>17</v>
      </c>
      <c r="GQ4" s="2586" t="s">
        <v>18</v>
      </c>
      <c r="GR4" s="2586" t="s">
        <v>19</v>
      </c>
      <c r="GS4" s="2586" t="s">
        <v>20</v>
      </c>
      <c r="GT4" s="2586" t="s">
        <v>21</v>
      </c>
      <c r="GU4" s="2586" t="s">
        <v>222</v>
      </c>
      <c r="GV4" s="2586" t="s">
        <v>223</v>
      </c>
      <c r="GW4" s="2586" t="s">
        <v>224</v>
      </c>
      <c r="GX4" s="2586" t="s">
        <v>1811</v>
      </c>
      <c r="GY4" s="2586" t="s">
        <v>1812</v>
      </c>
      <c r="GZ4" s="2586" t="s">
        <v>1813</v>
      </c>
      <c r="HA4" s="2586" t="s">
        <v>592</v>
      </c>
      <c r="HB4" s="2586" t="s">
        <v>593</v>
      </c>
      <c r="HC4" s="2586" t="s">
        <v>594</v>
      </c>
      <c r="HD4" s="2586" t="s">
        <v>595</v>
      </c>
      <c r="HE4" s="2586" t="s">
        <v>22</v>
      </c>
      <c r="HF4" s="2586" t="s">
        <v>23</v>
      </c>
      <c r="HG4" s="2586" t="s">
        <v>24</v>
      </c>
      <c r="HH4" s="2586" t="s">
        <v>25</v>
      </c>
      <c r="HI4" s="2586" t="s">
        <v>26</v>
      </c>
      <c r="HJ4" s="2586" t="s">
        <v>495</v>
      </c>
      <c r="HK4" s="2586" t="s">
        <v>432</v>
      </c>
      <c r="HL4" s="2586" t="s">
        <v>433</v>
      </c>
      <c r="HM4" s="2586" t="s">
        <v>434</v>
      </c>
      <c r="HN4" s="2586" t="s">
        <v>435</v>
      </c>
      <c r="HO4" s="2586" t="s">
        <v>2209</v>
      </c>
      <c r="HP4" s="2586" t="s">
        <v>2210</v>
      </c>
      <c r="HQ4" s="2586" t="s">
        <v>2211</v>
      </c>
      <c r="HR4" s="2586" t="s">
        <v>1479</v>
      </c>
      <c r="HS4" s="2586" t="s">
        <v>1480</v>
      </c>
      <c r="HT4" s="2586" t="s">
        <v>27</v>
      </c>
      <c r="HU4" s="2586" t="s">
        <v>28</v>
      </c>
      <c r="HV4" s="2586" t="s">
        <v>29</v>
      </c>
      <c r="HW4" s="2586" t="s">
        <v>30</v>
      </c>
      <c r="HX4" s="2586" t="s">
        <v>31</v>
      </c>
      <c r="HY4" s="2249"/>
      <c r="HZ4" s="2249"/>
      <c r="IA4" s="2249"/>
      <c r="IB4" s="2249"/>
      <c r="IC4" s="2249"/>
      <c r="ID4" s="2249"/>
      <c r="IE4" s="2249"/>
      <c r="IF4" s="2249"/>
      <c r="IG4" s="2249"/>
      <c r="IH4" s="2249"/>
      <c r="II4" s="2249"/>
      <c r="IJ4" s="2249"/>
      <c r="IK4" s="2249"/>
      <c r="IL4" s="2249"/>
      <c r="IM4" s="2249"/>
      <c r="IN4" s="2249"/>
      <c r="IO4" s="2249"/>
      <c r="IP4" s="2249"/>
      <c r="IQ4" s="2249"/>
      <c r="IR4" s="2249"/>
      <c r="IS4" s="2249"/>
      <c r="IT4" s="2249"/>
      <c r="IU4" s="2249"/>
      <c r="IV4" s="2249"/>
      <c r="IW4" s="2249"/>
      <c r="IX4" s="2249"/>
      <c r="IY4" s="2249"/>
      <c r="IZ4" s="2249"/>
      <c r="JA4" s="2249"/>
      <c r="JB4" s="2249"/>
      <c r="JC4" s="2249"/>
      <c r="JD4" s="2249"/>
      <c r="JE4" s="2249"/>
      <c r="JF4" s="2249"/>
      <c r="JG4" s="2249"/>
      <c r="JH4" s="2249"/>
      <c r="JI4" s="2249"/>
      <c r="JJ4" s="2249"/>
      <c r="JK4" s="2249"/>
      <c r="JL4" s="2249"/>
      <c r="JM4" s="2249"/>
      <c r="JN4" s="2249"/>
      <c r="JO4" s="2249"/>
      <c r="JP4" s="2249"/>
      <c r="JQ4" s="2249"/>
      <c r="JR4" s="2249"/>
      <c r="JS4" s="2249"/>
      <c r="JT4" s="2249"/>
      <c r="JU4" s="2249"/>
      <c r="JV4" s="2249"/>
      <c r="JW4" s="2249"/>
      <c r="JX4" s="2249"/>
      <c r="JY4" s="2249"/>
      <c r="JZ4" s="2249"/>
      <c r="KA4" s="2249"/>
      <c r="KB4" s="2249"/>
      <c r="KC4" s="2249"/>
      <c r="KD4" s="2249"/>
      <c r="KE4" s="2249"/>
      <c r="KF4" s="2249"/>
      <c r="KG4" s="2249"/>
      <c r="KH4" s="2249"/>
      <c r="KI4" s="2249"/>
      <c r="KJ4" s="2249"/>
      <c r="KK4" s="2249"/>
      <c r="KL4" s="2249"/>
      <c r="KM4" s="2249"/>
      <c r="KN4" s="2249"/>
      <c r="KO4" s="2249"/>
      <c r="KP4" s="2249"/>
      <c r="KQ4" s="2249"/>
      <c r="KR4" s="2249"/>
      <c r="KS4" s="2249"/>
      <c r="KT4" s="2249"/>
      <c r="KU4" s="2249"/>
      <c r="KV4" s="450"/>
      <c r="KW4" s="450"/>
      <c r="KX4" s="450"/>
      <c r="KY4" s="450"/>
      <c r="KZ4" s="450"/>
      <c r="LA4" s="450"/>
      <c r="LB4" s="450"/>
      <c r="LC4" s="450"/>
      <c r="LD4" s="450"/>
      <c r="LE4" s="450"/>
      <c r="LF4" s="2586" t="s">
        <v>1625</v>
      </c>
      <c r="LG4" s="2586" t="s">
        <v>2524</v>
      </c>
      <c r="LH4" s="2586" t="s">
        <v>2525</v>
      </c>
      <c r="LI4" s="2586" t="s">
        <v>386</v>
      </c>
      <c r="LJ4" s="2586" t="s">
        <v>387</v>
      </c>
      <c r="LK4" s="2586" t="s">
        <v>388</v>
      </c>
      <c r="LL4" s="2586" t="s">
        <v>389</v>
      </c>
      <c r="LM4" s="2586" t="s">
        <v>390</v>
      </c>
      <c r="LN4" s="2586" t="s">
        <v>391</v>
      </c>
      <c r="LO4" s="2586" t="s">
        <v>392</v>
      </c>
      <c r="LP4" s="2586" t="s">
        <v>202</v>
      </c>
      <c r="LQ4" s="2586" t="s">
        <v>203</v>
      </c>
      <c r="LR4" s="2586" t="s">
        <v>204</v>
      </c>
      <c r="LS4" s="2586" t="s">
        <v>205</v>
      </c>
      <c r="LT4" s="2586" t="s">
        <v>206</v>
      </c>
      <c r="LU4" s="2586" t="s">
        <v>207</v>
      </c>
      <c r="LV4" s="2586" t="s">
        <v>208</v>
      </c>
      <c r="LW4" s="2586" t="s">
        <v>209</v>
      </c>
      <c r="LX4" s="2586" t="s">
        <v>210</v>
      </c>
      <c r="LY4" s="2586" t="s">
        <v>211</v>
      </c>
      <c r="LZ4" s="2586" t="s">
        <v>212</v>
      </c>
      <c r="MA4" s="2586" t="s">
        <v>213</v>
      </c>
      <c r="MB4" s="2586" t="s">
        <v>214</v>
      </c>
      <c r="MC4" s="2586" t="s">
        <v>215</v>
      </c>
      <c r="MD4" s="2586" t="s">
        <v>216</v>
      </c>
      <c r="ME4" s="2586"/>
      <c r="MF4" s="2586"/>
      <c r="MG4" s="2586"/>
      <c r="MH4" s="2586"/>
      <c r="MI4" s="25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2602" t="str">
        <f>IF(A48&gt;0,"Finish Row!","")</f>
        <v/>
      </c>
      <c r="B5" s="3" t="s">
        <v>1847</v>
      </c>
      <c r="D5" s="1"/>
      <c r="E5" s="3"/>
      <c r="F5" s="1"/>
      <c r="G5" s="3752" t="s">
        <v>201</v>
      </c>
      <c r="J5" s="2286" t="s">
        <v>3564</v>
      </c>
      <c r="K5" s="2603" t="str">
        <f>'Part I-Project Information'!$B$6</f>
        <v>April 2019 Final</v>
      </c>
      <c r="L5" s="2604"/>
      <c r="M5" s="2283" t="s">
        <v>576</v>
      </c>
      <c r="O5" s="2285" t="s">
        <v>4715</v>
      </c>
      <c r="P5" s="2595"/>
      <c r="Q5" s="2284"/>
      <c r="R5" s="94"/>
      <c r="S5" s="94"/>
      <c r="T5" s="94"/>
      <c r="W5" s="2571"/>
      <c r="X5" s="2571"/>
      <c r="Y5" s="2571"/>
      <c r="Z5" s="2571"/>
      <c r="AA5" s="2571"/>
      <c r="AB5" s="2571"/>
      <c r="AC5" s="2571"/>
      <c r="AD5" s="2571"/>
      <c r="AE5" s="2571"/>
      <c r="AF5" s="2571"/>
      <c r="AG5" s="2571"/>
      <c r="AH5" s="2571"/>
      <c r="AI5" s="2571"/>
      <c r="AJ5" s="2571"/>
      <c r="AK5" s="2571"/>
      <c r="AL5" s="2571"/>
      <c r="AM5" s="2571"/>
      <c r="AN5" s="2571"/>
      <c r="AO5" s="2571"/>
      <c r="AP5" s="2571"/>
      <c r="AQ5" s="2571"/>
      <c r="AR5" s="2571"/>
      <c r="AS5" s="2571"/>
      <c r="AT5" s="2571"/>
      <c r="AU5" s="2571"/>
      <c r="AV5" s="2571"/>
      <c r="AW5" s="2571"/>
      <c r="AX5" s="2571"/>
      <c r="AY5" s="2571"/>
      <c r="AZ5" s="2571"/>
      <c r="BA5" s="2571"/>
      <c r="BB5" s="2571"/>
      <c r="BC5" s="2571"/>
      <c r="BD5" s="2571"/>
      <c r="BE5" s="2571"/>
      <c r="BF5" s="2571"/>
      <c r="BG5" s="2571"/>
      <c r="BH5" s="2571"/>
      <c r="BI5" s="2571"/>
      <c r="BJ5" s="2571"/>
      <c r="BK5" s="2571"/>
      <c r="BL5" s="2571"/>
      <c r="BM5" s="2571"/>
      <c r="BN5" s="2571"/>
      <c r="BO5" s="2571"/>
      <c r="BP5" s="2571"/>
      <c r="BQ5" s="2571"/>
      <c r="BR5" s="2571"/>
      <c r="BS5" s="2571"/>
      <c r="BT5" s="2571"/>
      <c r="BU5" s="2571"/>
      <c r="BV5" s="2571"/>
      <c r="BW5" s="2571"/>
      <c r="BX5" s="2571"/>
      <c r="BY5" s="2571"/>
      <c r="BZ5" s="2571"/>
      <c r="CA5" s="2571"/>
      <c r="CB5" s="2571"/>
      <c r="CC5" s="2571"/>
      <c r="CD5" s="2571"/>
      <c r="CE5" s="2571"/>
      <c r="CF5" s="2571"/>
      <c r="CG5" s="2571"/>
      <c r="CH5" s="2571"/>
      <c r="CI5" s="2571"/>
      <c r="CJ5" s="2571"/>
      <c r="CK5" s="2571"/>
      <c r="CL5" s="2571"/>
      <c r="CM5" s="2571"/>
      <c r="CN5" s="2571"/>
      <c r="CO5" s="2571"/>
      <c r="CP5" s="2571"/>
      <c r="CQ5" s="2571"/>
      <c r="CR5" s="2571"/>
      <c r="CS5" s="2571"/>
      <c r="CT5" s="2571"/>
      <c r="CU5" s="2571"/>
      <c r="CV5" s="2571"/>
      <c r="CW5" s="2571"/>
      <c r="CX5" s="2571"/>
      <c r="CY5" s="2571"/>
      <c r="CZ5" s="2571"/>
      <c r="DA5" s="2571"/>
      <c r="DB5" s="2571"/>
      <c r="DC5" s="2571"/>
      <c r="DD5" s="2571"/>
      <c r="DE5" s="2571"/>
      <c r="DF5" s="2571"/>
      <c r="DG5" s="2571"/>
      <c r="DH5" s="2571"/>
      <c r="DI5" s="2571"/>
      <c r="DJ5" s="2571"/>
      <c r="DK5" s="2571"/>
      <c r="DL5" s="2571"/>
      <c r="DM5" s="2571"/>
      <c r="DN5" s="2571"/>
      <c r="DO5" s="2571"/>
      <c r="DP5" s="2571"/>
      <c r="DQ5" s="2571"/>
      <c r="DR5" s="2571"/>
      <c r="DS5" s="2571"/>
      <c r="DT5" s="2571"/>
      <c r="DU5" s="2571"/>
      <c r="DV5" s="2571"/>
      <c r="DW5" s="2571"/>
      <c r="DX5" s="2571"/>
      <c r="DY5" s="2571"/>
      <c r="DZ5" s="2571"/>
      <c r="EA5" s="2571"/>
      <c r="EB5" s="2571"/>
      <c r="EC5" s="2571"/>
      <c r="ED5" s="2571"/>
      <c r="EE5" s="2571"/>
      <c r="EF5" s="2571"/>
      <c r="EG5" s="2571"/>
      <c r="EH5" s="2571"/>
      <c r="EI5" s="2571"/>
      <c r="EJ5" s="2571"/>
      <c r="EK5" s="2571"/>
      <c r="EL5" s="2571"/>
      <c r="EM5" s="2571"/>
      <c r="EN5" s="2571"/>
      <c r="EO5" s="2571"/>
      <c r="EP5" s="2571"/>
      <c r="EQ5" s="2571"/>
      <c r="ER5" s="2586"/>
      <c r="ES5" s="2586"/>
      <c r="ET5" s="2586"/>
      <c r="EU5" s="2586"/>
      <c r="EV5" s="2586"/>
      <c r="EW5" s="2586"/>
      <c r="EX5" s="2586"/>
      <c r="EY5" s="2586"/>
      <c r="EZ5" s="2586"/>
      <c r="FA5" s="2586"/>
      <c r="FB5" s="2571"/>
      <c r="FC5" s="2571"/>
      <c r="FD5" s="2571"/>
      <c r="FE5" s="2571"/>
      <c r="FF5" s="2571"/>
      <c r="FG5" s="2586"/>
      <c r="FH5" s="2586"/>
      <c r="FI5" s="2586"/>
      <c r="FJ5" s="2586"/>
      <c r="FK5" s="2586"/>
      <c r="FL5" s="2571"/>
      <c r="FM5" s="2571"/>
      <c r="FN5" s="2571"/>
      <c r="FO5" s="2571"/>
      <c r="FP5" s="2571"/>
      <c r="FQ5" s="2586"/>
      <c r="FR5" s="2586"/>
      <c r="FS5" s="2586"/>
      <c r="FT5" s="2586"/>
      <c r="FU5" s="2586"/>
      <c r="FV5" s="2586"/>
      <c r="FW5" s="2586"/>
      <c r="FX5" s="2586"/>
      <c r="FY5" s="2586"/>
      <c r="FZ5" s="2586"/>
      <c r="GA5" s="2586"/>
      <c r="GB5" s="2586"/>
      <c r="GC5" s="2586"/>
      <c r="GD5" s="2586"/>
      <c r="GE5" s="2586"/>
      <c r="GF5" s="2586"/>
      <c r="GG5" s="2586"/>
      <c r="GH5" s="2586"/>
      <c r="GI5" s="2586"/>
      <c r="GJ5" s="2586"/>
      <c r="GK5" s="2586"/>
      <c r="GL5" s="2586"/>
      <c r="GM5" s="2586"/>
      <c r="GN5" s="2586"/>
      <c r="GO5" s="2586"/>
      <c r="GP5" s="2586"/>
      <c r="GQ5" s="2586"/>
      <c r="GR5" s="2586"/>
      <c r="GS5" s="2586"/>
      <c r="GT5" s="2586"/>
      <c r="GU5" s="2586"/>
      <c r="GV5" s="2586"/>
      <c r="GW5" s="2586"/>
      <c r="GX5" s="2586"/>
      <c r="GY5" s="2586"/>
      <c r="GZ5" s="2586"/>
      <c r="HA5" s="2586"/>
      <c r="HB5" s="2586"/>
      <c r="HC5" s="2586"/>
      <c r="HD5" s="2586"/>
      <c r="HE5" s="2586"/>
      <c r="HF5" s="2586"/>
      <c r="HG5" s="2586"/>
      <c r="HH5" s="2586"/>
      <c r="HI5" s="2586"/>
      <c r="HJ5" s="2586"/>
      <c r="HK5" s="2586"/>
      <c r="HL5" s="2586"/>
      <c r="HM5" s="2586"/>
      <c r="HN5" s="2586"/>
      <c r="HO5" s="2586"/>
      <c r="HP5" s="2586"/>
      <c r="HQ5" s="2586"/>
      <c r="HR5" s="2586"/>
      <c r="HS5" s="2586"/>
      <c r="HT5" s="2586"/>
      <c r="HU5" s="2586"/>
      <c r="HV5" s="2586"/>
      <c r="HW5" s="2586"/>
      <c r="HX5" s="2586"/>
      <c r="HY5" s="2249"/>
      <c r="HZ5" s="2249"/>
      <c r="IA5" s="2249"/>
      <c r="IB5" s="2249"/>
      <c r="IC5" s="2249"/>
      <c r="ID5" s="2249"/>
      <c r="IE5" s="2249"/>
      <c r="IF5" s="2249"/>
      <c r="IG5" s="2249"/>
      <c r="IH5" s="2249"/>
      <c r="II5" s="2249"/>
      <c r="IJ5" s="2249"/>
      <c r="IK5" s="2249"/>
      <c r="IL5" s="2249"/>
      <c r="IM5" s="2249"/>
      <c r="IN5" s="2249"/>
      <c r="IO5" s="2249"/>
      <c r="IP5" s="2249"/>
      <c r="IQ5" s="2249"/>
      <c r="IR5" s="2249"/>
      <c r="IS5" s="2249"/>
      <c r="IT5" s="2249"/>
      <c r="IU5" s="2249"/>
      <c r="IV5" s="2249"/>
      <c r="IW5" s="2249"/>
      <c r="IX5" s="2249"/>
      <c r="IY5" s="2249"/>
      <c r="IZ5" s="2249"/>
      <c r="JA5" s="2249"/>
      <c r="JB5" s="2249"/>
      <c r="JC5" s="2249"/>
      <c r="JD5" s="2249"/>
      <c r="JE5" s="2249"/>
      <c r="JF5" s="2249"/>
      <c r="JG5" s="2249"/>
      <c r="JH5" s="2249"/>
      <c r="JI5" s="2249"/>
      <c r="JJ5" s="2249"/>
      <c r="JK5" s="2249"/>
      <c r="JL5" s="2249"/>
      <c r="JM5" s="2249"/>
      <c r="JN5" s="2249"/>
      <c r="JO5" s="2249"/>
      <c r="JP5" s="2249"/>
      <c r="JQ5" s="2249"/>
      <c r="JR5" s="2249"/>
      <c r="JS5" s="2249"/>
      <c r="JT5" s="2249"/>
      <c r="JU5" s="2249"/>
      <c r="JV5" s="2249"/>
      <c r="JW5" s="2249"/>
      <c r="JX5" s="2249"/>
      <c r="JY5" s="2249"/>
      <c r="JZ5" s="2249"/>
      <c r="KA5" s="2249"/>
      <c r="KB5" s="2249"/>
      <c r="KC5" s="2249"/>
      <c r="KD5" s="2249"/>
      <c r="KE5" s="2249"/>
      <c r="KF5" s="2249"/>
      <c r="KG5" s="2249"/>
      <c r="KH5" s="2249"/>
      <c r="KI5" s="2249"/>
      <c r="KJ5" s="2249"/>
      <c r="KK5" s="2249"/>
      <c r="KL5" s="2249"/>
      <c r="KM5" s="2249"/>
      <c r="KN5" s="2249"/>
      <c r="KO5" s="2249"/>
      <c r="KP5" s="2249"/>
      <c r="KQ5" s="2249"/>
      <c r="KR5" s="2249"/>
      <c r="KS5" s="2249"/>
      <c r="KT5" s="2249"/>
      <c r="KU5" s="2249"/>
      <c r="KV5" s="450"/>
      <c r="KW5" s="450"/>
      <c r="KX5" s="450"/>
      <c r="KY5" s="450"/>
      <c r="KZ5" s="450"/>
      <c r="LA5" s="450"/>
      <c r="LB5" s="450"/>
      <c r="LC5" s="450"/>
      <c r="LD5" s="450"/>
      <c r="LE5" s="450"/>
      <c r="LF5" s="2586"/>
      <c r="LG5" s="2586"/>
      <c r="LH5" s="2586"/>
      <c r="LI5" s="2586"/>
      <c r="LJ5" s="2586"/>
      <c r="LK5" s="2586"/>
      <c r="LL5" s="2586"/>
      <c r="LM5" s="2586"/>
      <c r="LN5" s="2586"/>
      <c r="LO5" s="2586"/>
      <c r="LP5" s="2586"/>
      <c r="LQ5" s="2586"/>
      <c r="LR5" s="2586"/>
      <c r="LS5" s="2586"/>
      <c r="LT5" s="2586"/>
      <c r="LU5" s="2586"/>
      <c r="LV5" s="2586"/>
      <c r="LW5" s="2586"/>
      <c r="LX5" s="2586"/>
      <c r="LY5" s="2586"/>
      <c r="LZ5" s="2586"/>
      <c r="MA5" s="2586"/>
      <c r="MB5" s="2586"/>
      <c r="MC5" s="2586"/>
      <c r="MD5" s="2586"/>
      <c r="ME5" s="2586"/>
      <c r="MF5" s="2586"/>
      <c r="MG5" s="2586"/>
      <c r="MH5" s="2586"/>
      <c r="MI5" s="2586"/>
      <c r="MJ5" s="2598" t="s">
        <v>3418</v>
      </c>
      <c r="MK5" s="2598" t="s">
        <v>3419</v>
      </c>
      <c r="ML5" s="2598" t="s">
        <v>3420</v>
      </c>
      <c r="MM5" s="2598" t="s">
        <v>3421</v>
      </c>
      <c r="MN5" s="2598" t="s">
        <v>3422</v>
      </c>
      <c r="MO5" s="2586" t="s">
        <v>3432</v>
      </c>
      <c r="MP5" s="2586" t="s">
        <v>3434</v>
      </c>
      <c r="MQ5" s="2586" t="s">
        <v>3435</v>
      </c>
      <c r="MR5" s="2586" t="s">
        <v>3436</v>
      </c>
      <c r="MS5" s="258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2602"/>
      <c r="B6" s="28" t="s">
        <v>1805</v>
      </c>
      <c r="D6" s="1"/>
      <c r="E6" s="3"/>
      <c r="F6" s="3753" t="s">
        <v>2993</v>
      </c>
      <c r="G6" s="2286" t="s">
        <v>3662</v>
      </c>
      <c r="H6" s="2595" t="s">
        <v>3885</v>
      </c>
      <c r="I6" s="2286" t="s">
        <v>798</v>
      </c>
      <c r="J6" s="2286" t="s">
        <v>3665</v>
      </c>
      <c r="K6" s="2604"/>
      <c r="L6" s="2604"/>
      <c r="M6" s="2600" t="str">
        <f>'Part I-Project Information'!$O$40</f>
        <v>Camden Co.</v>
      </c>
      <c r="N6" s="2600"/>
      <c r="O6" s="875">
        <f>VLOOKUP('Part I-Project Information'!$O$40,'DCA Underwriting Assumptions'!$C$158:$D$268,2)</f>
        <v>63800</v>
      </c>
      <c r="P6" s="2595"/>
      <c r="Q6" s="2284"/>
      <c r="R6" s="94"/>
      <c r="S6" s="2596" t="s">
        <v>2699</v>
      </c>
      <c r="T6" s="2596"/>
      <c r="W6" s="2571"/>
      <c r="X6" s="2571"/>
      <c r="Y6" s="2571"/>
      <c r="Z6" s="2571"/>
      <c r="AA6" s="2571"/>
      <c r="AB6" s="2571"/>
      <c r="AC6" s="2571"/>
      <c r="AD6" s="2571"/>
      <c r="AE6" s="2571"/>
      <c r="AF6" s="2571"/>
      <c r="AG6" s="2571"/>
      <c r="AH6" s="2571"/>
      <c r="AI6" s="2571"/>
      <c r="AJ6" s="2571"/>
      <c r="AK6" s="2571"/>
      <c r="AL6" s="2571"/>
      <c r="AM6" s="2571"/>
      <c r="AN6" s="2571"/>
      <c r="AO6" s="2571"/>
      <c r="AP6" s="2571"/>
      <c r="AQ6" s="2571"/>
      <c r="AR6" s="2571"/>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c r="BP6" s="2571"/>
      <c r="BQ6" s="2571"/>
      <c r="BR6" s="2571"/>
      <c r="BS6" s="2571"/>
      <c r="BT6" s="2571"/>
      <c r="BU6" s="2571"/>
      <c r="BV6" s="2571"/>
      <c r="BW6" s="2571"/>
      <c r="BX6" s="2571"/>
      <c r="BY6" s="2571"/>
      <c r="BZ6" s="2571"/>
      <c r="CA6" s="2571"/>
      <c r="CB6" s="2571"/>
      <c r="CC6" s="2571"/>
      <c r="CD6" s="2571"/>
      <c r="CE6" s="2571"/>
      <c r="CF6" s="2571"/>
      <c r="CG6" s="2571"/>
      <c r="CH6" s="2571"/>
      <c r="CI6" s="2571"/>
      <c r="CJ6" s="2571"/>
      <c r="CK6" s="2571"/>
      <c r="CL6" s="2571"/>
      <c r="CM6" s="2571"/>
      <c r="CN6" s="2571"/>
      <c r="CO6" s="2571"/>
      <c r="CP6" s="2571"/>
      <c r="CQ6" s="2571"/>
      <c r="CR6" s="2571"/>
      <c r="CS6" s="2571"/>
      <c r="CT6" s="2571"/>
      <c r="CU6" s="2571"/>
      <c r="CV6" s="2571"/>
      <c r="CW6" s="2571"/>
      <c r="CX6" s="2571"/>
      <c r="CY6" s="2571"/>
      <c r="CZ6" s="2571"/>
      <c r="DA6" s="2571"/>
      <c r="DB6" s="2571"/>
      <c r="DC6" s="2571"/>
      <c r="DD6" s="2571"/>
      <c r="DE6" s="2571"/>
      <c r="DF6" s="2571"/>
      <c r="DG6" s="2571"/>
      <c r="DH6" s="2571"/>
      <c r="DI6" s="2571"/>
      <c r="DJ6" s="2571"/>
      <c r="DK6" s="2571"/>
      <c r="DL6" s="2571"/>
      <c r="DM6" s="2571"/>
      <c r="DN6" s="2571"/>
      <c r="DO6" s="2571"/>
      <c r="DP6" s="2571"/>
      <c r="DQ6" s="2571"/>
      <c r="DR6" s="2571"/>
      <c r="DS6" s="2571"/>
      <c r="DT6" s="2571"/>
      <c r="DU6" s="2571"/>
      <c r="DV6" s="2571"/>
      <c r="DW6" s="2571"/>
      <c r="DX6" s="2571"/>
      <c r="DY6" s="2571"/>
      <c r="DZ6" s="2571"/>
      <c r="EA6" s="2571"/>
      <c r="EB6" s="2571"/>
      <c r="EC6" s="2571"/>
      <c r="ED6" s="2571"/>
      <c r="EE6" s="2571"/>
      <c r="EF6" s="2571"/>
      <c r="EG6" s="2571"/>
      <c r="EH6" s="2571"/>
      <c r="EI6" s="2571"/>
      <c r="EJ6" s="2571"/>
      <c r="EK6" s="2571"/>
      <c r="EL6" s="2571"/>
      <c r="EM6" s="2571"/>
      <c r="EN6" s="2571"/>
      <c r="EO6" s="2571"/>
      <c r="EP6" s="2571"/>
      <c r="EQ6" s="2571"/>
      <c r="ER6" s="2586"/>
      <c r="ES6" s="2586"/>
      <c r="ET6" s="2586"/>
      <c r="EU6" s="2586"/>
      <c r="EV6" s="2586"/>
      <c r="EW6" s="2586"/>
      <c r="EX6" s="2586"/>
      <c r="EY6" s="2586"/>
      <c r="EZ6" s="2586"/>
      <c r="FA6" s="2586"/>
      <c r="FB6" s="2571"/>
      <c r="FC6" s="2571"/>
      <c r="FD6" s="2571"/>
      <c r="FE6" s="2571"/>
      <c r="FF6" s="2571"/>
      <c r="FG6" s="2586"/>
      <c r="FH6" s="2586"/>
      <c r="FI6" s="2586"/>
      <c r="FJ6" s="2586"/>
      <c r="FK6" s="2586"/>
      <c r="FL6" s="2571"/>
      <c r="FM6" s="2571"/>
      <c r="FN6" s="2571"/>
      <c r="FO6" s="2571"/>
      <c r="FP6" s="2571"/>
      <c r="FQ6" s="2586"/>
      <c r="FR6" s="2586"/>
      <c r="FS6" s="2586"/>
      <c r="FT6" s="2586"/>
      <c r="FU6" s="2586"/>
      <c r="FV6" s="2586"/>
      <c r="FW6" s="2586"/>
      <c r="FX6" s="2586"/>
      <c r="FY6" s="2586"/>
      <c r="FZ6" s="2586"/>
      <c r="GA6" s="2586"/>
      <c r="GB6" s="2586"/>
      <c r="GC6" s="2586"/>
      <c r="GD6" s="2586"/>
      <c r="GE6" s="2586"/>
      <c r="GF6" s="2586"/>
      <c r="GG6" s="2586"/>
      <c r="GH6" s="2586"/>
      <c r="GI6" s="2586"/>
      <c r="GJ6" s="2586"/>
      <c r="GK6" s="2586"/>
      <c r="GL6" s="2586"/>
      <c r="GM6" s="2586"/>
      <c r="GN6" s="2586"/>
      <c r="GO6" s="2586"/>
      <c r="GP6" s="2586"/>
      <c r="GQ6" s="2586"/>
      <c r="GR6" s="2586"/>
      <c r="GS6" s="2586"/>
      <c r="GT6" s="2586"/>
      <c r="GU6" s="2586"/>
      <c r="GV6" s="2586"/>
      <c r="GW6" s="2586"/>
      <c r="GX6" s="2586"/>
      <c r="GY6" s="2586"/>
      <c r="GZ6" s="2586"/>
      <c r="HA6" s="2586"/>
      <c r="HB6" s="2586"/>
      <c r="HC6" s="2586"/>
      <c r="HD6" s="2586"/>
      <c r="HE6" s="2586"/>
      <c r="HF6" s="2586"/>
      <c r="HG6" s="2586"/>
      <c r="HH6" s="2586"/>
      <c r="HI6" s="2586"/>
      <c r="HJ6" s="2586"/>
      <c r="HK6" s="2586"/>
      <c r="HL6" s="2586"/>
      <c r="HM6" s="2586"/>
      <c r="HN6" s="2586"/>
      <c r="HO6" s="2586"/>
      <c r="HP6" s="2586"/>
      <c r="HQ6" s="2586"/>
      <c r="HR6" s="2586"/>
      <c r="HS6" s="2586"/>
      <c r="HT6" s="2586"/>
      <c r="HU6" s="2586"/>
      <c r="HV6" s="2586"/>
      <c r="HW6" s="2586"/>
      <c r="HX6" s="2586"/>
      <c r="HY6" s="2249"/>
      <c r="HZ6" s="2249"/>
      <c r="IA6" s="2249"/>
      <c r="IB6" s="2249"/>
      <c r="IC6" s="2249"/>
      <c r="ID6" s="2249"/>
      <c r="IE6" s="2249"/>
      <c r="IF6" s="2249"/>
      <c r="IG6" s="2249"/>
      <c r="IH6" s="2249"/>
      <c r="II6" s="2249"/>
      <c r="IJ6" s="2249"/>
      <c r="IK6" s="2249"/>
      <c r="IL6" s="2249"/>
      <c r="IM6" s="2249"/>
      <c r="IN6" s="2249"/>
      <c r="IO6" s="2249"/>
      <c r="IP6" s="2249"/>
      <c r="IQ6" s="2249"/>
      <c r="IR6" s="2249"/>
      <c r="IS6" s="2249"/>
      <c r="IT6" s="2249"/>
      <c r="IU6" s="2249"/>
      <c r="IV6" s="2249"/>
      <c r="IW6" s="2249"/>
      <c r="IX6" s="2249"/>
      <c r="IY6" s="2249"/>
      <c r="IZ6" s="2249"/>
      <c r="JA6" s="2249"/>
      <c r="JB6" s="2249"/>
      <c r="JC6" s="2249"/>
      <c r="JD6" s="2249"/>
      <c r="JE6" s="2249"/>
      <c r="JF6" s="2249"/>
      <c r="JG6" s="2249"/>
      <c r="JH6" s="2249"/>
      <c r="JI6" s="2249"/>
      <c r="JJ6" s="2249"/>
      <c r="JK6" s="2249"/>
      <c r="JL6" s="2249"/>
      <c r="JM6" s="2249"/>
      <c r="JN6" s="2249"/>
      <c r="JO6" s="2249"/>
      <c r="JP6" s="2249"/>
      <c r="JQ6" s="2249"/>
      <c r="JR6" s="2249"/>
      <c r="JS6" s="2249"/>
      <c r="JT6" s="2249"/>
      <c r="JU6" s="2249"/>
      <c r="JV6" s="2249"/>
      <c r="JW6" s="2249"/>
      <c r="JX6" s="2249"/>
      <c r="JY6" s="2249"/>
      <c r="JZ6" s="2249"/>
      <c r="KA6" s="2249"/>
      <c r="KB6" s="2249"/>
      <c r="KC6" s="2249"/>
      <c r="KD6" s="2249"/>
      <c r="KE6" s="2249"/>
      <c r="KF6" s="2249"/>
      <c r="KG6" s="2249"/>
      <c r="KH6" s="2249"/>
      <c r="KI6" s="2249"/>
      <c r="KJ6" s="2249"/>
      <c r="KK6" s="2249"/>
      <c r="KL6" s="2249"/>
      <c r="KM6" s="2249"/>
      <c r="KN6" s="2249"/>
      <c r="KO6" s="2249"/>
      <c r="KP6" s="2249"/>
      <c r="KQ6" s="2249"/>
      <c r="KR6" s="2249"/>
      <c r="KS6" s="2249"/>
      <c r="KT6" s="2249"/>
      <c r="KU6" s="2249"/>
      <c r="KV6" s="450"/>
      <c r="KW6" s="450"/>
      <c r="KX6" s="450"/>
      <c r="KY6" s="450"/>
      <c r="KZ6" s="450"/>
      <c r="LA6" s="450"/>
      <c r="LB6" s="450"/>
      <c r="LC6" s="450"/>
      <c r="LD6" s="450"/>
      <c r="LE6" s="450"/>
      <c r="LF6" s="2586"/>
      <c r="LG6" s="2586"/>
      <c r="LH6" s="2586"/>
      <c r="LI6" s="2586"/>
      <c r="LJ6" s="2586"/>
      <c r="LK6" s="2586"/>
      <c r="LL6" s="2586"/>
      <c r="LM6" s="2586"/>
      <c r="LN6" s="2586"/>
      <c r="LO6" s="2586"/>
      <c r="LP6" s="2586"/>
      <c r="LQ6" s="2586"/>
      <c r="LR6" s="2586"/>
      <c r="LS6" s="2586"/>
      <c r="LT6" s="2586"/>
      <c r="LU6" s="2586"/>
      <c r="LV6" s="2586"/>
      <c r="LW6" s="2586"/>
      <c r="LX6" s="2586"/>
      <c r="LY6" s="2586"/>
      <c r="LZ6" s="2586"/>
      <c r="MA6" s="2586"/>
      <c r="MB6" s="2586"/>
      <c r="MC6" s="2586"/>
      <c r="MD6" s="2586"/>
      <c r="ME6" s="2586"/>
      <c r="MF6" s="2586"/>
      <c r="MG6" s="2586"/>
      <c r="MH6" s="2586"/>
      <c r="MI6" s="2586"/>
      <c r="MJ6" s="2598"/>
      <c r="MK6" s="2598"/>
      <c r="ML6" s="2598"/>
      <c r="MM6" s="2598"/>
      <c r="MN6" s="2598"/>
      <c r="MO6" s="2586"/>
      <c r="MP6" s="2586"/>
      <c r="MQ6" s="2586"/>
      <c r="MR6" s="2586"/>
      <c r="MS6" s="25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602"/>
      <c r="B7" s="1055" t="s">
        <v>4702</v>
      </c>
      <c r="C7" s="1"/>
      <c r="D7" s="3"/>
      <c r="E7" s="1"/>
      <c r="F7" s="1"/>
      <c r="G7" s="2286" t="s">
        <v>3663</v>
      </c>
      <c r="H7" s="2595"/>
      <c r="I7" s="2286" t="s">
        <v>799</v>
      </c>
      <c r="J7" s="2286" t="s">
        <v>3666</v>
      </c>
      <c r="K7" s="867"/>
      <c r="L7" s="867"/>
      <c r="M7" s="2600"/>
      <c r="N7" s="2600"/>
      <c r="P7" s="2595"/>
      <c r="Q7" s="2284"/>
      <c r="R7" s="867"/>
      <c r="S7" s="868"/>
      <c r="T7" s="872" t="s">
        <v>2696</v>
      </c>
      <c r="U7" s="416"/>
      <c r="V7" s="417"/>
      <c r="W7" s="2571"/>
      <c r="X7" s="2571"/>
      <c r="Y7" s="2571"/>
      <c r="Z7" s="2571"/>
      <c r="AA7" s="2571"/>
      <c r="AB7" s="2571"/>
      <c r="AC7" s="2571"/>
      <c r="AD7" s="2571"/>
      <c r="AE7" s="2571"/>
      <c r="AF7" s="2571"/>
      <c r="AG7" s="2571"/>
      <c r="AH7" s="2571"/>
      <c r="AI7" s="2571"/>
      <c r="AJ7" s="2571"/>
      <c r="AK7" s="2571"/>
      <c r="AL7" s="2571"/>
      <c r="AM7" s="2571"/>
      <c r="AN7" s="2571"/>
      <c r="AO7" s="2571"/>
      <c r="AP7" s="2571"/>
      <c r="AQ7" s="2571"/>
      <c r="AR7" s="2571"/>
      <c r="AS7" s="2571"/>
      <c r="AT7" s="2571"/>
      <c r="AU7" s="2571"/>
      <c r="AV7" s="2571"/>
      <c r="AW7" s="2571"/>
      <c r="AX7" s="2571"/>
      <c r="AY7" s="2571"/>
      <c r="AZ7" s="2571"/>
      <c r="BA7" s="2571"/>
      <c r="BB7" s="2571"/>
      <c r="BC7" s="2571"/>
      <c r="BD7" s="2571"/>
      <c r="BE7" s="2571"/>
      <c r="BF7" s="2571"/>
      <c r="BG7" s="2571"/>
      <c r="BH7" s="2571"/>
      <c r="BI7" s="2571"/>
      <c r="BJ7" s="2571"/>
      <c r="BK7" s="2571"/>
      <c r="BL7" s="2571"/>
      <c r="BM7" s="2571"/>
      <c r="BN7" s="2571"/>
      <c r="BO7" s="2571"/>
      <c r="BP7" s="2571"/>
      <c r="BQ7" s="2571"/>
      <c r="BR7" s="2571"/>
      <c r="BS7" s="2571"/>
      <c r="BT7" s="2571"/>
      <c r="BU7" s="2571"/>
      <c r="BV7" s="2571"/>
      <c r="BW7" s="2571"/>
      <c r="BX7" s="2571"/>
      <c r="BY7" s="2571"/>
      <c r="BZ7" s="2571"/>
      <c r="CA7" s="2571"/>
      <c r="CB7" s="2571"/>
      <c r="CC7" s="2571"/>
      <c r="CD7" s="2571"/>
      <c r="CE7" s="2571"/>
      <c r="CF7" s="2571"/>
      <c r="CG7" s="2571"/>
      <c r="CH7" s="2571"/>
      <c r="CI7" s="2571"/>
      <c r="CJ7" s="2571"/>
      <c r="CK7" s="2571"/>
      <c r="CL7" s="2571"/>
      <c r="CM7" s="2571"/>
      <c r="CN7" s="2571"/>
      <c r="CO7" s="2571"/>
      <c r="CP7" s="2571"/>
      <c r="CQ7" s="2571"/>
      <c r="CR7" s="2571"/>
      <c r="CS7" s="2571"/>
      <c r="CT7" s="2571"/>
      <c r="CU7" s="2571"/>
      <c r="CV7" s="2571"/>
      <c r="CW7" s="2571"/>
      <c r="CX7" s="2571"/>
      <c r="CY7" s="2571"/>
      <c r="CZ7" s="2571"/>
      <c r="DA7" s="2571"/>
      <c r="DB7" s="2571"/>
      <c r="DC7" s="2571"/>
      <c r="DD7" s="2571"/>
      <c r="DE7" s="2571"/>
      <c r="DF7" s="2571"/>
      <c r="DG7" s="2571"/>
      <c r="DH7" s="2571"/>
      <c r="DI7" s="2571"/>
      <c r="DJ7" s="2571"/>
      <c r="DK7" s="2571"/>
      <c r="DL7" s="2571"/>
      <c r="DM7" s="2571"/>
      <c r="DN7" s="2571"/>
      <c r="DO7" s="2571"/>
      <c r="DP7" s="2571"/>
      <c r="DQ7" s="2571"/>
      <c r="DR7" s="2571"/>
      <c r="DS7" s="2571"/>
      <c r="DT7" s="2571"/>
      <c r="DU7" s="2571"/>
      <c r="DV7" s="2571"/>
      <c r="DW7" s="2571"/>
      <c r="DX7" s="2571"/>
      <c r="DY7" s="2571"/>
      <c r="DZ7" s="2571"/>
      <c r="EA7" s="2571"/>
      <c r="EB7" s="2571"/>
      <c r="EC7" s="2571"/>
      <c r="ED7" s="2571"/>
      <c r="EE7" s="2571"/>
      <c r="EF7" s="2571"/>
      <c r="EG7" s="2571"/>
      <c r="EH7" s="2571"/>
      <c r="EI7" s="2571"/>
      <c r="EJ7" s="2571"/>
      <c r="EK7" s="2571"/>
      <c r="EL7" s="2571"/>
      <c r="EM7" s="2571"/>
      <c r="EN7" s="2571"/>
      <c r="EO7" s="2571"/>
      <c r="EP7" s="2571"/>
      <c r="EQ7" s="2571"/>
      <c r="ER7" s="2586"/>
      <c r="ES7" s="2586"/>
      <c r="ET7" s="2586"/>
      <c r="EU7" s="2586"/>
      <c r="EV7" s="2586"/>
      <c r="EW7" s="2586"/>
      <c r="EX7" s="2586"/>
      <c r="EY7" s="2586"/>
      <c r="EZ7" s="2586"/>
      <c r="FA7" s="2586"/>
      <c r="FB7" s="2571"/>
      <c r="FC7" s="2571"/>
      <c r="FD7" s="2571"/>
      <c r="FE7" s="2571"/>
      <c r="FF7" s="2571"/>
      <c r="FG7" s="2586"/>
      <c r="FH7" s="2586"/>
      <c r="FI7" s="2586"/>
      <c r="FJ7" s="2586"/>
      <c r="FK7" s="2586"/>
      <c r="FL7" s="2571"/>
      <c r="FM7" s="2571"/>
      <c r="FN7" s="2571"/>
      <c r="FO7" s="2571"/>
      <c r="FP7" s="2571"/>
      <c r="FQ7" s="2586"/>
      <c r="FR7" s="2586"/>
      <c r="FS7" s="2586"/>
      <c r="FT7" s="2586"/>
      <c r="FU7" s="2586"/>
      <c r="FV7" s="2586"/>
      <c r="FW7" s="2586"/>
      <c r="FX7" s="2586"/>
      <c r="FY7" s="2586"/>
      <c r="FZ7" s="2586"/>
      <c r="GA7" s="2586"/>
      <c r="GB7" s="2586"/>
      <c r="GC7" s="2586"/>
      <c r="GD7" s="2586"/>
      <c r="GE7" s="2586"/>
      <c r="GF7" s="2586"/>
      <c r="GG7" s="2586"/>
      <c r="GH7" s="2586"/>
      <c r="GI7" s="2586"/>
      <c r="GJ7" s="2586"/>
      <c r="GK7" s="2586"/>
      <c r="GL7" s="2586"/>
      <c r="GM7" s="2586"/>
      <c r="GN7" s="2586"/>
      <c r="GO7" s="2586"/>
      <c r="GP7" s="2586"/>
      <c r="GQ7" s="2586"/>
      <c r="GR7" s="2586"/>
      <c r="GS7" s="2586"/>
      <c r="GT7" s="2586"/>
      <c r="GU7" s="2586"/>
      <c r="GV7" s="2586"/>
      <c r="GW7" s="2586"/>
      <c r="GX7" s="2586"/>
      <c r="GY7" s="2586"/>
      <c r="GZ7" s="2586"/>
      <c r="HA7" s="2586"/>
      <c r="HB7" s="2586"/>
      <c r="HC7" s="2586"/>
      <c r="HD7" s="2586"/>
      <c r="HE7" s="2586"/>
      <c r="HF7" s="2586"/>
      <c r="HG7" s="2586"/>
      <c r="HH7" s="2586"/>
      <c r="HI7" s="2586"/>
      <c r="HJ7" s="2586"/>
      <c r="HK7" s="2586"/>
      <c r="HL7" s="2586"/>
      <c r="HM7" s="2586"/>
      <c r="HN7" s="2586"/>
      <c r="HO7" s="2586"/>
      <c r="HP7" s="2586"/>
      <c r="HQ7" s="2586"/>
      <c r="HR7" s="2586"/>
      <c r="HS7" s="2586"/>
      <c r="HT7" s="2586"/>
      <c r="HU7" s="2586"/>
      <c r="HV7" s="2586"/>
      <c r="HW7" s="2586"/>
      <c r="HX7" s="2586"/>
      <c r="HY7" s="2249"/>
      <c r="HZ7" s="2249"/>
      <c r="IA7" s="2249"/>
      <c r="IB7" s="2249"/>
      <c r="IC7" s="2249"/>
      <c r="ID7" s="2249"/>
      <c r="IE7" s="2249"/>
      <c r="IF7" s="2249"/>
      <c r="IG7" s="2249"/>
      <c r="IH7" s="2249"/>
      <c r="II7" s="2249"/>
      <c r="IJ7" s="2249"/>
      <c r="IK7" s="2249"/>
      <c r="IL7" s="2249"/>
      <c r="IM7" s="2249"/>
      <c r="IN7" s="2249"/>
      <c r="IO7" s="2249"/>
      <c r="IP7" s="2249"/>
      <c r="IQ7" s="2249"/>
      <c r="IR7" s="2249"/>
      <c r="IS7" s="2249"/>
      <c r="IT7" s="2249"/>
      <c r="IU7" s="2249"/>
      <c r="IV7" s="2249"/>
      <c r="IW7" s="2249"/>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86"/>
      <c r="LG7" s="2586"/>
      <c r="LH7" s="2586"/>
      <c r="LI7" s="2586"/>
      <c r="LJ7" s="2586"/>
      <c r="LK7" s="2586"/>
      <c r="LL7" s="2586"/>
      <c r="LM7" s="2586"/>
      <c r="LN7" s="2586"/>
      <c r="LO7" s="2586"/>
      <c r="LP7" s="2586"/>
      <c r="LQ7" s="2586"/>
      <c r="LR7" s="2586"/>
      <c r="LS7" s="2586"/>
      <c r="LT7" s="2586"/>
      <c r="LU7" s="2586"/>
      <c r="LV7" s="2586"/>
      <c r="LW7" s="2586"/>
      <c r="LX7" s="2586"/>
      <c r="LY7" s="2586"/>
      <c r="LZ7" s="2586"/>
      <c r="MA7" s="2586"/>
      <c r="MB7" s="2586"/>
      <c r="MC7" s="2586"/>
      <c r="MD7" s="2586"/>
      <c r="ME7" s="2586"/>
      <c r="MF7" s="2586"/>
      <c r="MG7" s="2586"/>
      <c r="MH7" s="2586"/>
      <c r="MI7" s="2586"/>
      <c r="MJ7" s="2598"/>
      <c r="MK7" s="2598"/>
      <c r="ML7" s="2598"/>
      <c r="MM7" s="2598"/>
      <c r="MN7" s="2598"/>
      <c r="MO7" s="2586"/>
      <c r="MP7" s="2586"/>
      <c r="MQ7" s="2586"/>
      <c r="MR7" s="2586"/>
      <c r="MS7" s="25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602"/>
      <c r="B8" s="1971" t="s">
        <v>4703</v>
      </c>
      <c r="C8" s="2286" t="s">
        <v>172</v>
      </c>
      <c r="D8" s="2286" t="s">
        <v>545</v>
      </c>
      <c r="E8" s="2286" t="s">
        <v>1476</v>
      </c>
      <c r="F8" s="2286" t="s">
        <v>1476</v>
      </c>
      <c r="G8" s="2286" t="s">
        <v>1478</v>
      </c>
      <c r="H8" s="2286" t="s">
        <v>3663</v>
      </c>
      <c r="I8" s="2605" t="s">
        <v>5063</v>
      </c>
      <c r="J8" s="2286" t="s">
        <v>2407</v>
      </c>
      <c r="K8" s="2597" t="s">
        <v>145</v>
      </c>
      <c r="L8" s="2597"/>
      <c r="M8" s="2286" t="s">
        <v>2368</v>
      </c>
      <c r="N8" s="2286" t="s">
        <v>532</v>
      </c>
      <c r="O8" s="2286" t="s">
        <v>383</v>
      </c>
      <c r="P8" s="2595"/>
      <c r="Q8" s="2597" t="s">
        <v>3573</v>
      </c>
      <c r="R8" s="2597"/>
      <c r="S8" s="2286" t="s">
        <v>2695</v>
      </c>
      <c r="T8" s="2286" t="s">
        <v>2697</v>
      </c>
      <c r="U8" s="418"/>
      <c r="V8" s="419"/>
      <c r="W8" s="2571"/>
      <c r="X8" s="2571"/>
      <c r="Y8" s="2571"/>
      <c r="Z8" s="2571"/>
      <c r="AA8" s="2571"/>
      <c r="AB8" s="2571"/>
      <c r="AC8" s="2571"/>
      <c r="AD8" s="2571"/>
      <c r="AE8" s="2571"/>
      <c r="AF8" s="2571"/>
      <c r="AG8" s="2571"/>
      <c r="AH8" s="2571"/>
      <c r="AI8" s="2571"/>
      <c r="AJ8" s="2571"/>
      <c r="AK8" s="2571"/>
      <c r="AL8" s="2571"/>
      <c r="AM8" s="2571"/>
      <c r="AN8" s="2571"/>
      <c r="AO8" s="2571"/>
      <c r="AP8" s="2571"/>
      <c r="AQ8" s="2571"/>
      <c r="AR8" s="2571"/>
      <c r="AS8" s="2571"/>
      <c r="AT8" s="2571"/>
      <c r="AU8" s="2571"/>
      <c r="AV8" s="2571"/>
      <c r="AW8" s="2571"/>
      <c r="AX8" s="2571"/>
      <c r="AY8" s="2571"/>
      <c r="AZ8" s="2571"/>
      <c r="BA8" s="2571"/>
      <c r="BB8" s="2571"/>
      <c r="BC8" s="2571"/>
      <c r="BD8" s="2571"/>
      <c r="BE8" s="2571"/>
      <c r="BF8" s="2571"/>
      <c r="BG8" s="2571"/>
      <c r="BH8" s="2571"/>
      <c r="BI8" s="2571"/>
      <c r="BJ8" s="2571"/>
      <c r="BK8" s="2571"/>
      <c r="BL8" s="2571"/>
      <c r="BM8" s="2571"/>
      <c r="BN8" s="2571"/>
      <c r="BO8" s="2571"/>
      <c r="BP8" s="2571"/>
      <c r="BQ8" s="2571"/>
      <c r="BR8" s="2571"/>
      <c r="BS8" s="2571"/>
      <c r="BT8" s="2571"/>
      <c r="BU8" s="2571"/>
      <c r="BV8" s="2571"/>
      <c r="BW8" s="2571"/>
      <c r="BX8" s="2571"/>
      <c r="BY8" s="2571"/>
      <c r="BZ8" s="2571"/>
      <c r="CA8" s="2571"/>
      <c r="CB8" s="2571"/>
      <c r="CC8" s="2571"/>
      <c r="CD8" s="2571"/>
      <c r="CE8" s="2571"/>
      <c r="CF8" s="2571"/>
      <c r="CG8" s="2571"/>
      <c r="CH8" s="2571"/>
      <c r="CI8" s="2571"/>
      <c r="CJ8" s="2571"/>
      <c r="CK8" s="2571"/>
      <c r="CL8" s="2571"/>
      <c r="CM8" s="2571"/>
      <c r="CN8" s="2571"/>
      <c r="CO8" s="2571"/>
      <c r="CP8" s="2571"/>
      <c r="CQ8" s="2571"/>
      <c r="CR8" s="2571"/>
      <c r="CS8" s="2571"/>
      <c r="CT8" s="2571"/>
      <c r="CU8" s="2571"/>
      <c r="CV8" s="2571"/>
      <c r="CW8" s="2571"/>
      <c r="CX8" s="2571"/>
      <c r="CY8" s="2571"/>
      <c r="CZ8" s="2571"/>
      <c r="DA8" s="2571"/>
      <c r="DB8" s="2571"/>
      <c r="DC8" s="2571"/>
      <c r="DD8" s="2571"/>
      <c r="DE8" s="2571"/>
      <c r="DF8" s="2571"/>
      <c r="DG8" s="2571"/>
      <c r="DH8" s="2571"/>
      <c r="DI8" s="2571"/>
      <c r="DJ8" s="2571"/>
      <c r="DK8" s="2571"/>
      <c r="DL8" s="2571"/>
      <c r="DM8" s="2571"/>
      <c r="DN8" s="2571"/>
      <c r="DO8" s="2571"/>
      <c r="DP8" s="2571"/>
      <c r="DQ8" s="2571"/>
      <c r="DR8" s="2571"/>
      <c r="DS8" s="2571"/>
      <c r="DT8" s="2571"/>
      <c r="DU8" s="2571"/>
      <c r="DV8" s="2571"/>
      <c r="DW8" s="2571"/>
      <c r="DX8" s="2571"/>
      <c r="DY8" s="2571"/>
      <c r="DZ8" s="2571"/>
      <c r="EA8" s="2571"/>
      <c r="EB8" s="2571"/>
      <c r="EC8" s="2571"/>
      <c r="ED8" s="2571"/>
      <c r="EE8" s="2571"/>
      <c r="EF8" s="2571"/>
      <c r="EG8" s="2571"/>
      <c r="EH8" s="2571"/>
      <c r="EI8" s="2571"/>
      <c r="EJ8" s="2571"/>
      <c r="EK8" s="2571"/>
      <c r="EL8" s="2571"/>
      <c r="EM8" s="2571"/>
      <c r="EN8" s="2571"/>
      <c r="EO8" s="2571"/>
      <c r="EP8" s="2571"/>
      <c r="EQ8" s="2571"/>
      <c r="ER8" s="2586"/>
      <c r="ES8" s="2586"/>
      <c r="ET8" s="2586"/>
      <c r="EU8" s="2586"/>
      <c r="EV8" s="2586"/>
      <c r="EW8" s="2586"/>
      <c r="EX8" s="2586"/>
      <c r="EY8" s="2586"/>
      <c r="EZ8" s="2586"/>
      <c r="FA8" s="2586"/>
      <c r="FB8" s="2571"/>
      <c r="FC8" s="2571"/>
      <c r="FD8" s="2571"/>
      <c r="FE8" s="2571"/>
      <c r="FF8" s="2571"/>
      <c r="FG8" s="2586"/>
      <c r="FH8" s="2586"/>
      <c r="FI8" s="2586"/>
      <c r="FJ8" s="2586"/>
      <c r="FK8" s="2586"/>
      <c r="FL8" s="2571"/>
      <c r="FM8" s="2571"/>
      <c r="FN8" s="2571"/>
      <c r="FO8" s="2571"/>
      <c r="FP8" s="2571"/>
      <c r="FQ8" s="2586"/>
      <c r="FR8" s="2586"/>
      <c r="FS8" s="2586"/>
      <c r="FT8" s="2586"/>
      <c r="FU8" s="2586"/>
      <c r="FV8" s="2586"/>
      <c r="FW8" s="2586"/>
      <c r="FX8" s="2586"/>
      <c r="FY8" s="2586"/>
      <c r="FZ8" s="2586"/>
      <c r="GA8" s="2586"/>
      <c r="GB8" s="2586"/>
      <c r="GC8" s="2586"/>
      <c r="GD8" s="2586"/>
      <c r="GE8" s="2586"/>
      <c r="GF8" s="2586"/>
      <c r="GG8" s="2586"/>
      <c r="GH8" s="2586"/>
      <c r="GI8" s="2586"/>
      <c r="GJ8" s="2586"/>
      <c r="GK8" s="2586"/>
      <c r="GL8" s="2586"/>
      <c r="GM8" s="2586"/>
      <c r="GN8" s="2586"/>
      <c r="GO8" s="2586"/>
      <c r="GP8" s="2586"/>
      <c r="GQ8" s="2586"/>
      <c r="GR8" s="2586"/>
      <c r="GS8" s="2586"/>
      <c r="GT8" s="2586"/>
      <c r="GU8" s="2586"/>
      <c r="GV8" s="2586"/>
      <c r="GW8" s="2586"/>
      <c r="GX8" s="2586"/>
      <c r="GY8" s="2586"/>
      <c r="GZ8" s="2586"/>
      <c r="HA8" s="2586"/>
      <c r="HB8" s="2586"/>
      <c r="HC8" s="2586"/>
      <c r="HD8" s="2586"/>
      <c r="HE8" s="2586"/>
      <c r="HF8" s="2586"/>
      <c r="HG8" s="2586"/>
      <c r="HH8" s="2586"/>
      <c r="HI8" s="2586"/>
      <c r="HJ8" s="2586"/>
      <c r="HK8" s="2586"/>
      <c r="HL8" s="2586"/>
      <c r="HM8" s="2586"/>
      <c r="HN8" s="2586"/>
      <c r="HO8" s="2586"/>
      <c r="HP8" s="2586"/>
      <c r="HQ8" s="2586"/>
      <c r="HR8" s="2586"/>
      <c r="HS8" s="2586"/>
      <c r="HT8" s="2586"/>
      <c r="HU8" s="2586"/>
      <c r="HV8" s="2586"/>
      <c r="HW8" s="2586"/>
      <c r="HX8" s="2586"/>
      <c r="HY8" s="2586" t="s">
        <v>1462</v>
      </c>
      <c r="HZ8" s="453" t="s">
        <v>2441</v>
      </c>
      <c r="IA8" s="453" t="s">
        <v>2442</v>
      </c>
      <c r="IB8" s="453" t="s">
        <v>2443</v>
      </c>
      <c r="IC8" s="453" t="s">
        <v>2444</v>
      </c>
      <c r="ID8" s="2586" t="s">
        <v>2498</v>
      </c>
      <c r="IE8" s="2586" t="s">
        <v>2498</v>
      </c>
      <c r="IF8" s="2586" t="s">
        <v>2498</v>
      </c>
      <c r="IG8" s="2586" t="s">
        <v>2498</v>
      </c>
      <c r="IH8" s="2586" t="s">
        <v>2498</v>
      </c>
      <c r="II8" s="2586" t="s">
        <v>3366</v>
      </c>
      <c r="IJ8" s="2586" t="s">
        <v>3366</v>
      </c>
      <c r="IK8" s="2586" t="s">
        <v>3366</v>
      </c>
      <c r="IL8" s="2586" t="s">
        <v>3366</v>
      </c>
      <c r="IM8" s="2586" t="s">
        <v>3366</v>
      </c>
      <c r="IN8" s="453" t="s">
        <v>568</v>
      </c>
      <c r="IO8" s="453" t="s">
        <v>2441</v>
      </c>
      <c r="IP8" s="453" t="s">
        <v>2442</v>
      </c>
      <c r="IQ8" s="453" t="s">
        <v>2443</v>
      </c>
      <c r="IR8" s="453" t="s">
        <v>2444</v>
      </c>
      <c r="IS8" s="453" t="s">
        <v>568</v>
      </c>
      <c r="IT8" s="453" t="s">
        <v>2441</v>
      </c>
      <c r="IU8" s="453" t="s">
        <v>2442</v>
      </c>
      <c r="IV8" s="453" t="s">
        <v>2443</v>
      </c>
      <c r="IW8" s="453" t="s">
        <v>2444</v>
      </c>
      <c r="IX8" s="2586" t="s">
        <v>2500</v>
      </c>
      <c r="IY8" s="2586" t="s">
        <v>2500</v>
      </c>
      <c r="IZ8" s="2586" t="s">
        <v>2500</v>
      </c>
      <c r="JA8" s="2586" t="s">
        <v>2500</v>
      </c>
      <c r="JB8" s="2586" t="s">
        <v>2500</v>
      </c>
      <c r="JC8" s="2586" t="s">
        <v>3362</v>
      </c>
      <c r="JD8" s="2586" t="s">
        <v>3362</v>
      </c>
      <c r="JE8" s="2586" t="s">
        <v>3362</v>
      </c>
      <c r="JF8" s="2586" t="s">
        <v>3362</v>
      </c>
      <c r="JG8" s="2586" t="s">
        <v>3362</v>
      </c>
      <c r="JH8" s="2586" t="s">
        <v>358</v>
      </c>
      <c r="JI8" s="2586" t="s">
        <v>358</v>
      </c>
      <c r="JJ8" s="2586" t="s">
        <v>358</v>
      </c>
      <c r="JK8" s="2586" t="s">
        <v>358</v>
      </c>
      <c r="JL8" s="2586" t="s">
        <v>358</v>
      </c>
      <c r="JM8" s="2586" t="s">
        <v>3361</v>
      </c>
      <c r="JN8" s="2586" t="s">
        <v>3361</v>
      </c>
      <c r="JO8" s="2586" t="s">
        <v>3361</v>
      </c>
      <c r="JP8" s="2586" t="s">
        <v>3361</v>
      </c>
      <c r="JQ8" s="2586" t="s">
        <v>3361</v>
      </c>
      <c r="JR8" s="2586" t="s">
        <v>359</v>
      </c>
      <c r="JS8" s="2586" t="s">
        <v>359</v>
      </c>
      <c r="JT8" s="2586" t="s">
        <v>359</v>
      </c>
      <c r="JU8" s="2586" t="s">
        <v>359</v>
      </c>
      <c r="JV8" s="2586" t="s">
        <v>359</v>
      </c>
      <c r="JW8" s="2586" t="s">
        <v>3360</v>
      </c>
      <c r="JX8" s="2586" t="s">
        <v>3360</v>
      </c>
      <c r="JY8" s="2586" t="s">
        <v>3360</v>
      </c>
      <c r="JZ8" s="2586" t="s">
        <v>3360</v>
      </c>
      <c r="KA8" s="2586" t="s">
        <v>3360</v>
      </c>
      <c r="KB8" s="2586" t="s">
        <v>360</v>
      </c>
      <c r="KC8" s="2586" t="s">
        <v>360</v>
      </c>
      <c r="KD8" s="2586" t="s">
        <v>360</v>
      </c>
      <c r="KE8" s="2586" t="s">
        <v>360</v>
      </c>
      <c r="KF8" s="2586" t="s">
        <v>360</v>
      </c>
      <c r="KG8" s="2586" t="s">
        <v>3363</v>
      </c>
      <c r="KH8" s="2586" t="s">
        <v>3363</v>
      </c>
      <c r="KI8" s="2586" t="s">
        <v>3363</v>
      </c>
      <c r="KJ8" s="2586" t="s">
        <v>3363</v>
      </c>
      <c r="KK8" s="2586" t="s">
        <v>3363</v>
      </c>
      <c r="KL8" s="2586" t="s">
        <v>361</v>
      </c>
      <c r="KM8" s="2586" t="s">
        <v>361</v>
      </c>
      <c r="KN8" s="2586" t="s">
        <v>361</v>
      </c>
      <c r="KO8" s="2586" t="s">
        <v>361</v>
      </c>
      <c r="KP8" s="2586" t="s">
        <v>361</v>
      </c>
      <c r="KQ8" s="2586" t="s">
        <v>3364</v>
      </c>
      <c r="KR8" s="2586" t="s">
        <v>3364</v>
      </c>
      <c r="KS8" s="2586" t="s">
        <v>3364</v>
      </c>
      <c r="KT8" s="2586" t="s">
        <v>3364</v>
      </c>
      <c r="KU8" s="2586" t="s">
        <v>3364</v>
      </c>
      <c r="KV8" s="2586" t="s">
        <v>1461</v>
      </c>
      <c r="KW8" s="2586" t="s">
        <v>1461</v>
      </c>
      <c r="KX8" s="2586" t="s">
        <v>1461</v>
      </c>
      <c r="KY8" s="2586" t="s">
        <v>1461</v>
      </c>
      <c r="KZ8" s="2586" t="s">
        <v>1461</v>
      </c>
      <c r="LA8" s="2586" t="s">
        <v>3365</v>
      </c>
      <c r="LB8" s="2586" t="s">
        <v>3365</v>
      </c>
      <c r="LC8" s="2586" t="s">
        <v>3365</v>
      </c>
      <c r="LD8" s="2586" t="s">
        <v>3365</v>
      </c>
      <c r="LE8" s="2586" t="s">
        <v>3365</v>
      </c>
      <c r="LF8" s="2586"/>
      <c r="LG8" s="2586"/>
      <c r="LH8" s="2586"/>
      <c r="LI8" s="2586"/>
      <c r="LJ8" s="2586"/>
      <c r="LK8" s="2586"/>
      <c r="LL8" s="2586"/>
      <c r="LM8" s="2586"/>
      <c r="LN8" s="2586"/>
      <c r="LO8" s="2586"/>
      <c r="LP8" s="2586"/>
      <c r="LQ8" s="2586"/>
      <c r="LR8" s="2586"/>
      <c r="LS8" s="2586"/>
      <c r="LT8" s="2586"/>
      <c r="LU8" s="2586"/>
      <c r="LV8" s="2586"/>
      <c r="LW8" s="2586"/>
      <c r="LX8" s="2586"/>
      <c r="LY8" s="2586"/>
      <c r="LZ8" s="2586"/>
      <c r="MA8" s="2586"/>
      <c r="MB8" s="2586"/>
      <c r="MC8" s="2586"/>
      <c r="MD8" s="2586"/>
      <c r="ME8" s="2586"/>
      <c r="MF8" s="2586"/>
      <c r="MG8" s="2586"/>
      <c r="MH8" s="2586"/>
      <c r="MI8" s="2586"/>
      <c r="MJ8" s="2598"/>
      <c r="MK8" s="2598"/>
      <c r="ML8" s="2598"/>
      <c r="MM8" s="2598"/>
      <c r="MN8" s="2598"/>
      <c r="MO8" s="2586"/>
      <c r="MP8" s="2586"/>
      <c r="MQ8" s="2586"/>
      <c r="MR8" s="2586"/>
      <c r="MS8" s="25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602"/>
      <c r="B9" s="2233" t="s">
        <v>5066</v>
      </c>
      <c r="C9" s="2286" t="s">
        <v>171</v>
      </c>
      <c r="D9" s="2286" t="s">
        <v>173</v>
      </c>
      <c r="E9" s="2286" t="s">
        <v>1477</v>
      </c>
      <c r="F9" s="2286" t="s">
        <v>1279</v>
      </c>
      <c r="G9" s="2286" t="s">
        <v>3664</v>
      </c>
      <c r="H9" s="2286" t="s">
        <v>1478</v>
      </c>
      <c r="I9" s="2606"/>
      <c r="J9" s="449" t="s">
        <v>350</v>
      </c>
      <c r="K9" s="2286" t="s">
        <v>1530</v>
      </c>
      <c r="L9" s="2286" t="s">
        <v>539</v>
      </c>
      <c r="M9" s="2286" t="s">
        <v>1476</v>
      </c>
      <c r="N9" s="2286" t="s">
        <v>3315</v>
      </c>
      <c r="O9" s="2286" t="s">
        <v>384</v>
      </c>
      <c r="P9" s="2601"/>
      <c r="Q9" s="2286" t="s">
        <v>3574</v>
      </c>
      <c r="R9" s="2286" t="s">
        <v>1040</v>
      </c>
      <c r="S9" s="2286" t="s">
        <v>1478</v>
      </c>
      <c r="T9" s="2286" t="s">
        <v>2698</v>
      </c>
      <c r="U9" s="2429" t="s">
        <v>1846</v>
      </c>
      <c r="V9" s="2429"/>
      <c r="W9" s="2571"/>
      <c r="X9" s="2571"/>
      <c r="Y9" s="2571"/>
      <c r="Z9" s="2571"/>
      <c r="AA9" s="2571"/>
      <c r="AB9" s="2571"/>
      <c r="AC9" s="2571"/>
      <c r="AD9" s="2571"/>
      <c r="AE9" s="2571"/>
      <c r="AF9" s="2571"/>
      <c r="AG9" s="2571"/>
      <c r="AH9" s="2571"/>
      <c r="AI9" s="2571"/>
      <c r="AJ9" s="2571"/>
      <c r="AK9" s="2571"/>
      <c r="AL9" s="2571"/>
      <c r="AM9" s="2571"/>
      <c r="AN9" s="2571"/>
      <c r="AO9" s="2571"/>
      <c r="AP9" s="2571"/>
      <c r="AQ9" s="2571"/>
      <c r="AR9" s="2571"/>
      <c r="AS9" s="2571"/>
      <c r="AT9" s="2571"/>
      <c r="AU9" s="2571"/>
      <c r="AV9" s="2571"/>
      <c r="AW9" s="2571"/>
      <c r="AX9" s="2571"/>
      <c r="AY9" s="2571"/>
      <c r="AZ9" s="2571"/>
      <c r="BA9" s="2571"/>
      <c r="BB9" s="2571"/>
      <c r="BC9" s="2571"/>
      <c r="BD9" s="2571"/>
      <c r="BE9" s="2571"/>
      <c r="BF9" s="2571"/>
      <c r="BG9" s="2571"/>
      <c r="BH9" s="2571"/>
      <c r="BI9" s="2571"/>
      <c r="BJ9" s="2571"/>
      <c r="BK9" s="2571"/>
      <c r="BL9" s="2571"/>
      <c r="BM9" s="2571"/>
      <c r="BN9" s="2571"/>
      <c r="BO9" s="2571"/>
      <c r="BP9" s="2571"/>
      <c r="BQ9" s="2571"/>
      <c r="BR9" s="2571"/>
      <c r="BS9" s="2571"/>
      <c r="BT9" s="2571"/>
      <c r="BU9" s="2571"/>
      <c r="BV9" s="2571"/>
      <c r="BW9" s="2571"/>
      <c r="BX9" s="2571"/>
      <c r="BY9" s="2571"/>
      <c r="BZ9" s="2571"/>
      <c r="CA9" s="2571"/>
      <c r="CB9" s="2571"/>
      <c r="CC9" s="2571"/>
      <c r="CD9" s="2571"/>
      <c r="CE9" s="2571"/>
      <c r="CF9" s="2571"/>
      <c r="CG9" s="2571"/>
      <c r="CH9" s="2571"/>
      <c r="CI9" s="2571"/>
      <c r="CJ9" s="2571"/>
      <c r="CK9" s="2571"/>
      <c r="CL9" s="2571"/>
      <c r="CM9" s="2571"/>
      <c r="CN9" s="2571"/>
      <c r="CO9" s="2571"/>
      <c r="CP9" s="2571"/>
      <c r="CQ9" s="2571"/>
      <c r="CR9" s="2571"/>
      <c r="CS9" s="2571"/>
      <c r="CT9" s="2571"/>
      <c r="CU9" s="2571"/>
      <c r="CV9" s="2571"/>
      <c r="CW9" s="2571"/>
      <c r="CX9" s="2571"/>
      <c r="CY9" s="2571"/>
      <c r="CZ9" s="2571"/>
      <c r="DA9" s="2571"/>
      <c r="DB9" s="2571"/>
      <c r="DC9" s="2571"/>
      <c r="DD9" s="2571"/>
      <c r="DE9" s="2571"/>
      <c r="DF9" s="2571"/>
      <c r="DG9" s="2571"/>
      <c r="DH9" s="2571"/>
      <c r="DI9" s="2571"/>
      <c r="DJ9" s="2571"/>
      <c r="DK9" s="2571"/>
      <c r="DL9" s="2571"/>
      <c r="DM9" s="2571"/>
      <c r="DN9" s="2571"/>
      <c r="DO9" s="2571"/>
      <c r="DP9" s="2571"/>
      <c r="DQ9" s="2571"/>
      <c r="DR9" s="2571"/>
      <c r="DS9" s="2571"/>
      <c r="DT9" s="2571"/>
      <c r="DU9" s="2571"/>
      <c r="DV9" s="2571"/>
      <c r="DW9" s="2571"/>
      <c r="DX9" s="2571"/>
      <c r="DY9" s="2571"/>
      <c r="DZ9" s="2571"/>
      <c r="EA9" s="2571"/>
      <c r="EB9" s="2571"/>
      <c r="EC9" s="2571"/>
      <c r="ED9" s="2571"/>
      <c r="EE9" s="2571"/>
      <c r="EF9" s="2571"/>
      <c r="EG9" s="2571"/>
      <c r="EH9" s="2571"/>
      <c r="EI9" s="2571"/>
      <c r="EJ9" s="2571"/>
      <c r="EK9" s="2571"/>
      <c r="EL9" s="2571"/>
      <c r="EM9" s="2571"/>
      <c r="EN9" s="2571"/>
      <c r="EO9" s="2571"/>
      <c r="EP9" s="2571"/>
      <c r="EQ9" s="2571"/>
      <c r="ER9" s="2586"/>
      <c r="ES9" s="2586"/>
      <c r="ET9" s="2586"/>
      <c r="EU9" s="2586"/>
      <c r="EV9" s="2586"/>
      <c r="EW9" s="2586"/>
      <c r="EX9" s="2586"/>
      <c r="EY9" s="2586"/>
      <c r="EZ9" s="2586"/>
      <c r="FA9" s="2586"/>
      <c r="FB9" s="2571"/>
      <c r="FC9" s="2571"/>
      <c r="FD9" s="2571"/>
      <c r="FE9" s="2571"/>
      <c r="FF9" s="2571"/>
      <c r="FG9" s="2586"/>
      <c r="FH9" s="2586"/>
      <c r="FI9" s="2586"/>
      <c r="FJ9" s="2586"/>
      <c r="FK9" s="2586"/>
      <c r="FL9" s="2571"/>
      <c r="FM9" s="2571"/>
      <c r="FN9" s="2571"/>
      <c r="FO9" s="2571"/>
      <c r="FP9" s="2571"/>
      <c r="FQ9" s="2586"/>
      <c r="FR9" s="2586"/>
      <c r="FS9" s="2586"/>
      <c r="FT9" s="2586"/>
      <c r="FU9" s="2586"/>
      <c r="FV9" s="2586"/>
      <c r="FW9" s="2586"/>
      <c r="FX9" s="2586"/>
      <c r="FY9" s="2586"/>
      <c r="FZ9" s="2586"/>
      <c r="GA9" s="2586"/>
      <c r="GB9" s="2586"/>
      <c r="GC9" s="2586"/>
      <c r="GD9" s="2586"/>
      <c r="GE9" s="2586"/>
      <c r="GF9" s="2586"/>
      <c r="GG9" s="2586"/>
      <c r="GH9" s="2586"/>
      <c r="GI9" s="2586"/>
      <c r="GJ9" s="2586"/>
      <c r="GK9" s="2586"/>
      <c r="GL9" s="2586"/>
      <c r="GM9" s="2586"/>
      <c r="GN9" s="2586"/>
      <c r="GO9" s="2586"/>
      <c r="GP9" s="2586"/>
      <c r="GQ9" s="2586"/>
      <c r="GR9" s="2586"/>
      <c r="GS9" s="2586"/>
      <c r="GT9" s="2586"/>
      <c r="GU9" s="2586"/>
      <c r="GV9" s="2586"/>
      <c r="GW9" s="2586"/>
      <c r="GX9" s="2586"/>
      <c r="GY9" s="2586"/>
      <c r="GZ9" s="2586"/>
      <c r="HA9" s="2586"/>
      <c r="HB9" s="2586"/>
      <c r="HC9" s="2586"/>
      <c r="HD9" s="2586"/>
      <c r="HE9" s="2586"/>
      <c r="HF9" s="2586"/>
      <c r="HG9" s="2586"/>
      <c r="HH9" s="2586"/>
      <c r="HI9" s="2586"/>
      <c r="HJ9" s="2586"/>
      <c r="HK9" s="2586"/>
      <c r="HL9" s="2586"/>
      <c r="HM9" s="2586"/>
      <c r="HN9" s="2586"/>
      <c r="HO9" s="2586"/>
      <c r="HP9" s="2586"/>
      <c r="HQ9" s="2586"/>
      <c r="HR9" s="2586"/>
      <c r="HS9" s="2586"/>
      <c r="HT9" s="2586"/>
      <c r="HU9" s="2586"/>
      <c r="HV9" s="2586"/>
      <c r="HW9" s="2586"/>
      <c r="HX9" s="2586"/>
      <c r="HY9" s="2586"/>
      <c r="HZ9" s="453" t="s">
        <v>2497</v>
      </c>
      <c r="IA9" s="453" t="s">
        <v>2497</v>
      </c>
      <c r="IB9" s="453" t="s">
        <v>2497</v>
      </c>
      <c r="IC9" s="453" t="s">
        <v>2497</v>
      </c>
      <c r="ID9" s="2586"/>
      <c r="IE9" s="2586"/>
      <c r="IF9" s="2586"/>
      <c r="IG9" s="2586"/>
      <c r="IH9" s="2586"/>
      <c r="II9" s="2586"/>
      <c r="IJ9" s="2586"/>
      <c r="IK9" s="2586"/>
      <c r="IL9" s="2586"/>
      <c r="IM9" s="2586"/>
      <c r="IN9" s="453" t="s">
        <v>2499</v>
      </c>
      <c r="IO9" s="453" t="s">
        <v>2499</v>
      </c>
      <c r="IP9" s="453" t="s">
        <v>2499</v>
      </c>
      <c r="IQ9" s="453" t="s">
        <v>2499</v>
      </c>
      <c r="IR9" s="453" t="s">
        <v>2499</v>
      </c>
      <c r="IS9" s="453" t="s">
        <v>3367</v>
      </c>
      <c r="IT9" s="453" t="s">
        <v>3367</v>
      </c>
      <c r="IU9" s="453" t="s">
        <v>3367</v>
      </c>
      <c r="IV9" s="453" t="s">
        <v>3367</v>
      </c>
      <c r="IW9" s="453" t="s">
        <v>3367</v>
      </c>
      <c r="IX9" s="2586"/>
      <c r="IY9" s="2586"/>
      <c r="IZ9" s="2586"/>
      <c r="JA9" s="2586"/>
      <c r="JB9" s="2586"/>
      <c r="JC9" s="2586"/>
      <c r="JD9" s="2586"/>
      <c r="JE9" s="2586"/>
      <c r="JF9" s="2586"/>
      <c r="JG9" s="2586"/>
      <c r="JH9" s="2586"/>
      <c r="JI9" s="2586"/>
      <c r="JJ9" s="2586"/>
      <c r="JK9" s="2586"/>
      <c r="JL9" s="2586"/>
      <c r="JM9" s="2586"/>
      <c r="JN9" s="2586"/>
      <c r="JO9" s="2586"/>
      <c r="JP9" s="2586"/>
      <c r="JQ9" s="2586"/>
      <c r="JR9" s="2586"/>
      <c r="JS9" s="2586"/>
      <c r="JT9" s="2586"/>
      <c r="JU9" s="2586"/>
      <c r="JV9" s="2586"/>
      <c r="JW9" s="2586"/>
      <c r="JX9" s="2586"/>
      <c r="JY9" s="2586"/>
      <c r="JZ9" s="2586"/>
      <c r="KA9" s="2586"/>
      <c r="KB9" s="2586"/>
      <c r="KC9" s="2586"/>
      <c r="KD9" s="2586"/>
      <c r="KE9" s="2586"/>
      <c r="KF9" s="2586"/>
      <c r="KG9" s="2586"/>
      <c r="KH9" s="2586"/>
      <c r="KI9" s="2586"/>
      <c r="KJ9" s="2586"/>
      <c r="KK9" s="2586"/>
      <c r="KL9" s="2586"/>
      <c r="KM9" s="2586"/>
      <c r="KN9" s="2586"/>
      <c r="KO9" s="2586"/>
      <c r="KP9" s="2586"/>
      <c r="KQ9" s="2586"/>
      <c r="KR9" s="2586"/>
      <c r="KS9" s="2586"/>
      <c r="KT9" s="2586"/>
      <c r="KU9" s="2586"/>
      <c r="KV9" s="2586"/>
      <c r="KW9" s="2586"/>
      <c r="KX9" s="2586"/>
      <c r="KY9" s="2586"/>
      <c r="KZ9" s="2586"/>
      <c r="LA9" s="2586"/>
      <c r="LB9" s="2586"/>
      <c r="LC9" s="2586"/>
      <c r="LD9" s="2586"/>
      <c r="LE9" s="2586"/>
      <c r="LF9" s="2586"/>
      <c r="LG9" s="2586"/>
      <c r="LH9" s="2586"/>
      <c r="LI9" s="2586"/>
      <c r="LJ9" s="2586"/>
      <c r="LK9" s="2586"/>
      <c r="LL9" s="2586"/>
      <c r="LM9" s="2586"/>
      <c r="LN9" s="2586"/>
      <c r="LO9" s="2586"/>
      <c r="LP9" s="2586"/>
      <c r="LQ9" s="2586"/>
      <c r="LR9" s="2586"/>
      <c r="LS9" s="2586"/>
      <c r="LT9" s="2586"/>
      <c r="LU9" s="2586"/>
      <c r="LV9" s="2586"/>
      <c r="LW9" s="2586"/>
      <c r="LX9" s="2586"/>
      <c r="LY9" s="2586"/>
      <c r="LZ9" s="2586"/>
      <c r="MA9" s="2586"/>
      <c r="MB9" s="2586"/>
      <c r="MC9" s="2586"/>
      <c r="MD9" s="2586"/>
      <c r="ME9" s="2586"/>
      <c r="MF9" s="2586"/>
      <c r="MG9" s="2586"/>
      <c r="MH9" s="2586"/>
      <c r="MI9" s="2586"/>
      <c r="MJ9" s="2598"/>
      <c r="MK9" s="2598"/>
      <c r="ML9" s="2598"/>
      <c r="MM9" s="2598"/>
      <c r="MN9" s="2598"/>
      <c r="MO9" s="2586"/>
      <c r="MP9" s="2586"/>
      <c r="MQ9" s="2586"/>
      <c r="MR9" s="2586"/>
      <c r="MS9" s="25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54" t="s">
        <v>4613</v>
      </c>
      <c r="C10" s="3755"/>
      <c r="D10" s="3756"/>
      <c r="E10" s="3757"/>
      <c r="F10" s="3757"/>
      <c r="G10" s="3757"/>
      <c r="H10" s="3757"/>
      <c r="I10" s="3758">
        <f>IF(C10="",0,HLOOKUP(C10,'Part V-Utility Allowances'!$I$11:$M$22,12))</f>
        <v>0</v>
      </c>
      <c r="J10" s="3759"/>
      <c r="K10" s="592">
        <f t="shared" ref="K10:K47" si="1">MAX(0,H10-I10)</f>
        <v>0</v>
      </c>
      <c r="L10" s="592">
        <f t="shared" ref="L10:L47" si="2">MAX(0,E10*K10)</f>
        <v>0</v>
      </c>
      <c r="M10" s="3760"/>
      <c r="N10" s="3760"/>
      <c r="O10" s="3760"/>
      <c r="P10" s="3761"/>
      <c r="Q10" s="3762" t="str">
        <f t="shared" ref="Q10:Q47" si="3">IF(H10="","",H10*12/0.3)</f>
        <v/>
      </c>
      <c r="R10" s="3763" t="str">
        <f>IF(H10="","",IF(C10="Efficiency",Q10/($O$6*VLOOKUP(0,'DCA Underwriting Assumptions'!$J$146:$K$151,2,FALSE)),Q10/($O$6*VLOOKUP(C10,'DCA Underwriting Assumptions'!$J$146:$K$151,2,FALSE))))</f>
        <v/>
      </c>
      <c r="S10" s="3764"/>
      <c r="T10" s="3765"/>
      <c r="U10" s="3766"/>
      <c r="V10" s="376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8" t="s">
        <v>4613</v>
      </c>
      <c r="C11" s="3769"/>
      <c r="D11" s="3770"/>
      <c r="E11" s="3771"/>
      <c r="F11" s="3771"/>
      <c r="G11" s="3771"/>
      <c r="H11" s="3771"/>
      <c r="I11" s="3772">
        <f>IF(C11="",0,HLOOKUP(C11,'Part V-Utility Allowances'!$I$11:$M$22,12))</f>
        <v>0</v>
      </c>
      <c r="J11" s="3773"/>
      <c r="K11" s="593">
        <f t="shared" si="1"/>
        <v>0</v>
      </c>
      <c r="L11" s="593">
        <f t="shared" si="2"/>
        <v>0</v>
      </c>
      <c r="M11" s="3774"/>
      <c r="N11" s="3774"/>
      <c r="O11" s="3774"/>
      <c r="P11" s="3775"/>
      <c r="Q11" s="3776" t="str">
        <f t="shared" si="3"/>
        <v/>
      </c>
      <c r="R11" s="3777" t="str">
        <f>IF(H11="","",IF(C11="Efficiency",Q11/($O$6*VLOOKUP(0,'DCA Underwriting Assumptions'!$J$146:$K$151,2,FALSE)),Q11/($O$6*VLOOKUP(C11,'DCA Underwriting Assumptions'!$J$146:$K$151,2,FALSE))))</f>
        <v/>
      </c>
      <c r="S11" s="3778"/>
      <c r="T11" s="3779"/>
      <c r="U11" s="3780"/>
      <c r="V11" s="378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8" t="s">
        <v>303</v>
      </c>
      <c r="C12" s="3769"/>
      <c r="D12" s="3770"/>
      <c r="E12" s="3771"/>
      <c r="F12" s="3771"/>
      <c r="G12" s="3771"/>
      <c r="H12" s="3771"/>
      <c r="I12" s="3772">
        <f>IF(C12="",0,HLOOKUP(C12,'Part V-Utility Allowances'!$I$11:$M$22,12))</f>
        <v>0</v>
      </c>
      <c r="J12" s="3773"/>
      <c r="K12" s="593">
        <f t="shared" si="1"/>
        <v>0</v>
      </c>
      <c r="L12" s="593">
        <f t="shared" si="2"/>
        <v>0</v>
      </c>
      <c r="M12" s="3774"/>
      <c r="N12" s="3774"/>
      <c r="O12" s="3774"/>
      <c r="P12" s="3775"/>
      <c r="Q12" s="3776" t="str">
        <f t="shared" si="3"/>
        <v/>
      </c>
      <c r="R12" s="3777" t="str">
        <f>IF(H12="","",IF(C12="Efficiency",Q12/($O$6*VLOOKUP(0,'DCA Underwriting Assumptions'!$J$146:$K$151,2,FALSE)),Q12/($O$6*VLOOKUP(C12,'DCA Underwriting Assumptions'!$J$146:$K$151,2,FALSE))))</f>
        <v/>
      </c>
      <c r="S12" s="3778"/>
      <c r="T12" s="3779"/>
      <c r="U12" s="3780"/>
      <c r="V12" s="378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8" t="s">
        <v>303</v>
      </c>
      <c r="C13" s="3769"/>
      <c r="D13" s="3770"/>
      <c r="E13" s="3771"/>
      <c r="F13" s="3771"/>
      <c r="G13" s="3771"/>
      <c r="H13" s="3771"/>
      <c r="I13" s="3772">
        <f>IF(C13="",0,HLOOKUP(C13,'Part V-Utility Allowances'!$I$11:$M$22,12))</f>
        <v>0</v>
      </c>
      <c r="J13" s="3773"/>
      <c r="K13" s="593">
        <f t="shared" si="1"/>
        <v>0</v>
      </c>
      <c r="L13" s="593">
        <f t="shared" si="2"/>
        <v>0</v>
      </c>
      <c r="M13" s="3774"/>
      <c r="N13" s="3774"/>
      <c r="O13" s="3774"/>
      <c r="P13" s="3775"/>
      <c r="Q13" s="3776" t="str">
        <f t="shared" si="3"/>
        <v/>
      </c>
      <c r="R13" s="3777" t="str">
        <f>IF(H13="","",IF(C13="Efficiency",Q13/($O$6*VLOOKUP(0,'DCA Underwriting Assumptions'!$J$146:$K$151,2,FALSE)),Q13/($O$6*VLOOKUP(C13,'DCA Underwriting Assumptions'!$J$146:$K$151,2,FALSE))))</f>
        <v/>
      </c>
      <c r="S13" s="3778"/>
      <c r="T13" s="3779"/>
      <c r="U13" s="3780"/>
      <c r="V13" s="378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8" t="s">
        <v>303</v>
      </c>
      <c r="C14" s="3769"/>
      <c r="D14" s="3770"/>
      <c r="E14" s="3771"/>
      <c r="F14" s="3771"/>
      <c r="G14" s="3771"/>
      <c r="H14" s="3771"/>
      <c r="I14" s="3772">
        <f>IF(C14="",0,HLOOKUP(C14,'Part V-Utility Allowances'!$I$11:$M$22,12))</f>
        <v>0</v>
      </c>
      <c r="J14" s="3773"/>
      <c r="K14" s="593">
        <f t="shared" si="1"/>
        <v>0</v>
      </c>
      <c r="L14" s="593">
        <f t="shared" si="2"/>
        <v>0</v>
      </c>
      <c r="M14" s="3774"/>
      <c r="N14" s="3774"/>
      <c r="O14" s="3774"/>
      <c r="P14" s="3775"/>
      <c r="Q14" s="3776" t="str">
        <f t="shared" si="3"/>
        <v/>
      </c>
      <c r="R14" s="3777" t="str">
        <f>IF(H14="","",IF(C14="Efficiency",Q14/($O$6*VLOOKUP(0,'DCA Underwriting Assumptions'!$J$146:$K$151,2,FALSE)),Q14/($O$6*VLOOKUP(C14,'DCA Underwriting Assumptions'!$J$146:$K$151,2,FALSE))))</f>
        <v/>
      </c>
      <c r="S14" s="3778"/>
      <c r="T14" s="3779"/>
      <c r="U14" s="3780"/>
      <c r="V14" s="378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8" t="s">
        <v>303</v>
      </c>
      <c r="C15" s="3769"/>
      <c r="D15" s="3770"/>
      <c r="E15" s="3771"/>
      <c r="F15" s="3771"/>
      <c r="G15" s="3771"/>
      <c r="H15" s="3771"/>
      <c r="I15" s="3772">
        <f>IF(C15="",0,HLOOKUP(C15,'Part V-Utility Allowances'!$I$11:$M$22,12))</f>
        <v>0</v>
      </c>
      <c r="J15" s="3773"/>
      <c r="K15" s="593">
        <f t="shared" si="1"/>
        <v>0</v>
      </c>
      <c r="L15" s="593">
        <f t="shared" si="2"/>
        <v>0</v>
      </c>
      <c r="M15" s="3774"/>
      <c r="N15" s="3774"/>
      <c r="O15" s="3774"/>
      <c r="P15" s="3775"/>
      <c r="Q15" s="3776" t="str">
        <f t="shared" si="3"/>
        <v/>
      </c>
      <c r="R15" s="3777" t="str">
        <f>IF(H15="","",IF(C15="Efficiency",Q15/($O$6*VLOOKUP(0,'DCA Underwriting Assumptions'!$J$146:$K$151,2,FALSE)),Q15/($O$6*VLOOKUP(C15,'DCA Underwriting Assumptions'!$J$146:$K$151,2,FALSE))))</f>
        <v/>
      </c>
      <c r="S15" s="3778"/>
      <c r="T15" s="3779"/>
      <c r="U15" s="3780"/>
      <c r="V15" s="378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82" t="s">
        <v>303</v>
      </c>
      <c r="C16" s="3783"/>
      <c r="D16" s="3784"/>
      <c r="E16" s="3785"/>
      <c r="F16" s="3785"/>
      <c r="G16" s="3785"/>
      <c r="H16" s="3785"/>
      <c r="I16" s="3786">
        <f>IF(C16="",0,HLOOKUP(C16,'Part V-Utility Allowances'!$I$11:$M$22,12))</f>
        <v>0</v>
      </c>
      <c r="J16" s="3787"/>
      <c r="K16" s="1970">
        <f t="shared" si="1"/>
        <v>0</v>
      </c>
      <c r="L16" s="1970">
        <f t="shared" si="2"/>
        <v>0</v>
      </c>
      <c r="M16" s="3788"/>
      <c r="N16" s="3788"/>
      <c r="O16" s="3788"/>
      <c r="P16" s="3789"/>
      <c r="Q16" s="3776" t="str">
        <f t="shared" si="3"/>
        <v/>
      </c>
      <c r="R16" s="3777" t="str">
        <f>IF(H16="","",IF(C16="Efficiency",Q16/($O$6*VLOOKUP(0,'DCA Underwriting Assumptions'!$J$146:$K$151,2,FALSE)),Q16/($O$6*VLOOKUP(C16,'DCA Underwriting Assumptions'!$J$146:$K$151,2,FALSE))))</f>
        <v/>
      </c>
      <c r="S16" s="3778"/>
      <c r="T16" s="3779"/>
      <c r="U16" s="3780"/>
      <c r="V16" s="378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90"/>
      <c r="C17" s="3791"/>
      <c r="D17" s="3792"/>
      <c r="E17" s="3793"/>
      <c r="F17" s="3793"/>
      <c r="G17" s="3793"/>
      <c r="H17" s="3793"/>
      <c r="I17" s="3794">
        <f>IF(C17="",0,HLOOKUP(C17,'Part V-Utility Allowances'!$I$11:$M$22,12))</f>
        <v>0</v>
      </c>
      <c r="J17" s="3795"/>
      <c r="K17" s="1969">
        <f t="shared" si="1"/>
        <v>0</v>
      </c>
      <c r="L17" s="1969">
        <f t="shared" si="2"/>
        <v>0</v>
      </c>
      <c r="M17" s="3796"/>
      <c r="N17" s="3796"/>
      <c r="O17" s="3796"/>
      <c r="P17" s="3797"/>
      <c r="Q17" s="3776" t="str">
        <f t="shared" si="3"/>
        <v/>
      </c>
      <c r="R17" s="3777" t="str">
        <f>IF(H17="","",IF(C17="Efficiency",Q17/($O$6*VLOOKUP(0,'DCA Underwriting Assumptions'!$J$146:$K$151,2,FALSE)),Q17/($O$6*VLOOKUP(C17,'DCA Underwriting Assumptions'!$J$146:$K$151,2,FALSE))))</f>
        <v/>
      </c>
      <c r="S17" s="3778"/>
      <c r="T17" s="3779"/>
      <c r="U17" s="3780"/>
      <c r="V17" s="378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8"/>
      <c r="C18" s="3769"/>
      <c r="D18" s="3770"/>
      <c r="E18" s="3771"/>
      <c r="F18" s="3771"/>
      <c r="G18" s="3771"/>
      <c r="H18" s="3771"/>
      <c r="I18" s="3772">
        <f>IF(C18="",0,HLOOKUP(C18,'Part V-Utility Allowances'!$I$11:$M$22,12))</f>
        <v>0</v>
      </c>
      <c r="J18" s="3773"/>
      <c r="K18" s="593">
        <f t="shared" si="1"/>
        <v>0</v>
      </c>
      <c r="L18" s="593">
        <f t="shared" si="2"/>
        <v>0</v>
      </c>
      <c r="M18" s="3774"/>
      <c r="N18" s="3774"/>
      <c r="O18" s="3774"/>
      <c r="P18" s="3775"/>
      <c r="Q18" s="3776" t="str">
        <f t="shared" si="3"/>
        <v/>
      </c>
      <c r="R18" s="3777" t="str">
        <f>IF(H18="","",IF(C18="Efficiency",Q18/($O$6*VLOOKUP(0,'DCA Underwriting Assumptions'!$J$146:$K$151,2,FALSE)),Q18/($O$6*VLOOKUP(C18,'DCA Underwriting Assumptions'!$J$146:$K$151,2,FALSE))))</f>
        <v/>
      </c>
      <c r="S18" s="3778"/>
      <c r="T18" s="3779"/>
      <c r="U18" s="3780"/>
      <c r="V18" s="378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8"/>
      <c r="C19" s="3769"/>
      <c r="D19" s="3770"/>
      <c r="E19" s="3771"/>
      <c r="F19" s="3771"/>
      <c r="G19" s="3771"/>
      <c r="H19" s="3771"/>
      <c r="I19" s="3772">
        <f>IF(C19="",0,HLOOKUP(C19,'Part V-Utility Allowances'!$I$11:$M$22,12))</f>
        <v>0</v>
      </c>
      <c r="J19" s="3773"/>
      <c r="K19" s="593">
        <f t="shared" si="1"/>
        <v>0</v>
      </c>
      <c r="L19" s="593">
        <f t="shared" si="2"/>
        <v>0</v>
      </c>
      <c r="M19" s="3774"/>
      <c r="N19" s="3774"/>
      <c r="O19" s="3774"/>
      <c r="P19" s="3775"/>
      <c r="Q19" s="3776" t="str">
        <f t="shared" si="3"/>
        <v/>
      </c>
      <c r="R19" s="3777" t="str">
        <f>IF(H19="","",IF(C19="Efficiency",Q19/($O$6*VLOOKUP(0,'DCA Underwriting Assumptions'!$J$146:$K$151,2,FALSE)),Q19/($O$6*VLOOKUP(C19,'DCA Underwriting Assumptions'!$J$146:$K$151,2,FALSE))))</f>
        <v/>
      </c>
      <c r="S19" s="3778"/>
      <c r="T19" s="3779"/>
      <c r="U19" s="3780"/>
      <c r="V19" s="378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8"/>
      <c r="C20" s="3769"/>
      <c r="D20" s="3770"/>
      <c r="E20" s="3771"/>
      <c r="F20" s="3771"/>
      <c r="G20" s="3771"/>
      <c r="H20" s="3771"/>
      <c r="I20" s="3772">
        <f>IF(C20="",0,HLOOKUP(C20,'Part V-Utility Allowances'!$I$11:$M$22,12))</f>
        <v>0</v>
      </c>
      <c r="J20" s="3773"/>
      <c r="K20" s="593">
        <f t="shared" si="1"/>
        <v>0</v>
      </c>
      <c r="L20" s="593">
        <f t="shared" si="2"/>
        <v>0</v>
      </c>
      <c r="M20" s="3774"/>
      <c r="N20" s="3774"/>
      <c r="O20" s="3774"/>
      <c r="P20" s="3775"/>
      <c r="Q20" s="3776" t="str">
        <f t="shared" si="3"/>
        <v/>
      </c>
      <c r="R20" s="3777" t="str">
        <f>IF(H20="","",IF(C20="Efficiency",Q20/($O$6*VLOOKUP(0,'DCA Underwriting Assumptions'!$J$146:$K$151,2,FALSE)),Q20/($O$6*VLOOKUP(C20,'DCA Underwriting Assumptions'!$J$146:$K$151,2,FALSE))))</f>
        <v/>
      </c>
      <c r="S20" s="3778"/>
      <c r="T20" s="3779"/>
      <c r="U20" s="3780"/>
      <c r="V20" s="378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8"/>
      <c r="C21" s="3769"/>
      <c r="D21" s="3770"/>
      <c r="E21" s="3771"/>
      <c r="F21" s="3771"/>
      <c r="G21" s="3771"/>
      <c r="H21" s="3771"/>
      <c r="I21" s="3772">
        <f>IF(C21="",0,HLOOKUP(C21,'Part V-Utility Allowances'!$I$11:$M$22,12))</f>
        <v>0</v>
      </c>
      <c r="J21" s="3773"/>
      <c r="K21" s="593">
        <f t="shared" si="1"/>
        <v>0</v>
      </c>
      <c r="L21" s="593">
        <f t="shared" si="2"/>
        <v>0</v>
      </c>
      <c r="M21" s="3774"/>
      <c r="N21" s="3774"/>
      <c r="O21" s="3774"/>
      <c r="P21" s="3775"/>
      <c r="Q21" s="3776" t="str">
        <f t="shared" si="3"/>
        <v/>
      </c>
      <c r="R21" s="3777" t="str">
        <f>IF(H21="","",IF(C21="Efficiency",Q21/($O$6*VLOOKUP(0,'DCA Underwriting Assumptions'!$J$146:$K$151,2,FALSE)),Q21/($O$6*VLOOKUP(C21,'DCA Underwriting Assumptions'!$J$146:$K$151,2,FALSE))))</f>
        <v/>
      </c>
      <c r="S21" s="3778"/>
      <c r="T21" s="3779"/>
      <c r="U21" s="3780"/>
      <c r="V21" s="378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8"/>
      <c r="C22" s="3769"/>
      <c r="D22" s="3770"/>
      <c r="E22" s="3771"/>
      <c r="F22" s="3771"/>
      <c r="G22" s="3771"/>
      <c r="H22" s="3771"/>
      <c r="I22" s="3772">
        <f>IF(C22="",0,HLOOKUP(C22,'Part V-Utility Allowances'!$I$11:$M$22,12))</f>
        <v>0</v>
      </c>
      <c r="J22" s="3773"/>
      <c r="K22" s="593">
        <f t="shared" si="1"/>
        <v>0</v>
      </c>
      <c r="L22" s="593">
        <f t="shared" si="2"/>
        <v>0</v>
      </c>
      <c r="M22" s="3774"/>
      <c r="N22" s="3774"/>
      <c r="O22" s="3774"/>
      <c r="P22" s="3775"/>
      <c r="Q22" s="3776" t="str">
        <f t="shared" si="3"/>
        <v/>
      </c>
      <c r="R22" s="3777" t="str">
        <f>IF(H22="","",IF(C22="Efficiency",Q22/($O$6*VLOOKUP(0,'DCA Underwriting Assumptions'!$J$146:$K$151,2,FALSE)),Q22/($O$6*VLOOKUP(C22,'DCA Underwriting Assumptions'!$J$146:$K$151,2,FALSE))))</f>
        <v/>
      </c>
      <c r="S22" s="3778"/>
      <c r="T22" s="3779"/>
      <c r="U22" s="3780"/>
      <c r="V22" s="378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8">
        <v>60</v>
      </c>
      <c r="C23" s="3769">
        <v>1</v>
      </c>
      <c r="D23" s="3770">
        <v>1</v>
      </c>
      <c r="E23" s="3771">
        <v>9</v>
      </c>
      <c r="F23" s="3771">
        <v>730</v>
      </c>
      <c r="G23" s="3771">
        <v>718</v>
      </c>
      <c r="H23" s="3771">
        <v>668</v>
      </c>
      <c r="I23" s="3772">
        <f>IF(C23="",0,HLOOKUP(C23,'Part V-Utility Allowances'!$I$11:$M$22,12))</f>
        <v>94</v>
      </c>
      <c r="J23" s="3773"/>
      <c r="K23" s="593">
        <f t="shared" si="1"/>
        <v>574</v>
      </c>
      <c r="L23" s="593">
        <f t="shared" si="2"/>
        <v>5166</v>
      </c>
      <c r="M23" s="3774" t="s">
        <v>2993</v>
      </c>
      <c r="N23" s="3774" t="s">
        <v>5222</v>
      </c>
      <c r="O23" s="3774" t="s">
        <v>2296</v>
      </c>
      <c r="P23" s="3775" t="s">
        <v>2993</v>
      </c>
      <c r="Q23" s="3776">
        <f t="shared" si="3"/>
        <v>26720</v>
      </c>
      <c r="R23" s="3777">
        <f>IF(H23="","",IF(C23="Efficiency",Q23/($O$6*VLOOKUP(0,'DCA Underwriting Assumptions'!$J$146:$K$151,2,FALSE)),Q23/($O$6*VLOOKUP(C23,'DCA Underwriting Assumptions'!$J$146:$K$151,2,FALSE))))</f>
        <v>0.55841170323928946</v>
      </c>
      <c r="S23" s="3778"/>
      <c r="T23" s="3779"/>
      <c r="U23" s="3780"/>
      <c r="V23" s="378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f t="shared" si="15"/>
        <v>9</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f t="shared" si="129"/>
        <v>6570</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9</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9</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f t="shared" si="269"/>
        <v>9</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9</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8">
        <v>50</v>
      </c>
      <c r="C24" s="3769">
        <v>1</v>
      </c>
      <c r="D24" s="3770">
        <v>1</v>
      </c>
      <c r="E24" s="3771">
        <v>3</v>
      </c>
      <c r="F24" s="3771">
        <v>730</v>
      </c>
      <c r="G24" s="3771">
        <v>598</v>
      </c>
      <c r="H24" s="3771">
        <v>548</v>
      </c>
      <c r="I24" s="3772">
        <f>IF(C24="",0,HLOOKUP(C24,'Part V-Utility Allowances'!$I$11:$M$22,12))</f>
        <v>94</v>
      </c>
      <c r="J24" s="3773"/>
      <c r="K24" s="593">
        <f t="shared" si="1"/>
        <v>454</v>
      </c>
      <c r="L24" s="593">
        <f t="shared" si="2"/>
        <v>1362</v>
      </c>
      <c r="M24" s="3774" t="s">
        <v>2993</v>
      </c>
      <c r="N24" s="3774" t="s">
        <v>5222</v>
      </c>
      <c r="O24" s="3774" t="s">
        <v>2296</v>
      </c>
      <c r="P24" s="3775" t="s">
        <v>2993</v>
      </c>
      <c r="Q24" s="3776">
        <f t="shared" si="3"/>
        <v>21920</v>
      </c>
      <c r="R24" s="3777">
        <f>IF(H24="","",IF(C24="Efficiency",Q24/($O$6*VLOOKUP(0,'DCA Underwriting Assumptions'!$J$146:$K$151,2,FALSE)),Q24/($O$6*VLOOKUP(C24,'DCA Underwriting Assumptions'!$J$146:$K$151,2,FALSE))))</f>
        <v>0.45809822361546498</v>
      </c>
      <c r="S24" s="3778"/>
      <c r="T24" s="3779"/>
      <c r="U24" s="3780"/>
      <c r="V24" s="378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f t="shared" si="20"/>
        <v>3</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f t="shared" si="315"/>
        <v>2190</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f t="shared" si="159"/>
        <v>3</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f t="shared" si="204"/>
        <v>3</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f t="shared" si="269"/>
        <v>3</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3</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8"/>
      <c r="C25" s="3769"/>
      <c r="D25" s="3770"/>
      <c r="E25" s="3771"/>
      <c r="F25" s="3771"/>
      <c r="G25" s="3771"/>
      <c r="H25" s="3771"/>
      <c r="I25" s="3772">
        <f>IF(C25="",0,HLOOKUP(C25,'Part V-Utility Allowances'!$I$11:$M$22,12))</f>
        <v>0</v>
      </c>
      <c r="J25" s="3773"/>
      <c r="K25" s="593">
        <f t="shared" si="1"/>
        <v>0</v>
      </c>
      <c r="L25" s="593">
        <f t="shared" si="2"/>
        <v>0</v>
      </c>
      <c r="M25" s="3774"/>
      <c r="N25" s="3774"/>
      <c r="O25" s="3774"/>
      <c r="P25" s="3775"/>
      <c r="Q25" s="3776" t="str">
        <f t="shared" si="3"/>
        <v/>
      </c>
      <c r="R25" s="3777" t="str">
        <f>IF(H25="","",IF(C25="Efficiency",Q25/($O$6*VLOOKUP(0,'DCA Underwriting Assumptions'!$J$146:$K$151,2,FALSE)),Q25/($O$6*VLOOKUP(C25,'DCA Underwriting Assumptions'!$J$146:$K$151,2,FALSE))))</f>
        <v/>
      </c>
      <c r="S25" s="3778"/>
      <c r="T25" s="3779"/>
      <c r="U25" s="3780"/>
      <c r="V25" s="378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8"/>
      <c r="C26" s="3769"/>
      <c r="D26" s="3770"/>
      <c r="E26" s="3771"/>
      <c r="F26" s="3771"/>
      <c r="G26" s="3771"/>
      <c r="H26" s="3771"/>
      <c r="I26" s="3772">
        <f>IF(C26="",0,HLOOKUP(C26,'Part V-Utility Allowances'!$I$11:$M$22,12))</f>
        <v>0</v>
      </c>
      <c r="J26" s="3773"/>
      <c r="K26" s="593">
        <f t="shared" si="1"/>
        <v>0</v>
      </c>
      <c r="L26" s="593">
        <f t="shared" si="2"/>
        <v>0</v>
      </c>
      <c r="M26" s="3774"/>
      <c r="N26" s="3774"/>
      <c r="O26" s="3774"/>
      <c r="P26" s="3775"/>
      <c r="Q26" s="3776" t="str">
        <f t="shared" si="3"/>
        <v/>
      </c>
      <c r="R26" s="3777" t="str">
        <f>IF(H26="","",IF(C26="Efficiency",Q26/($O$6*VLOOKUP(0,'DCA Underwriting Assumptions'!$J$146:$K$151,2,FALSE)),Q26/($O$6*VLOOKUP(C26,'DCA Underwriting Assumptions'!$J$146:$K$151,2,FALSE))))</f>
        <v/>
      </c>
      <c r="S26" s="3778"/>
      <c r="T26" s="3779"/>
      <c r="U26" s="3780"/>
      <c r="V26" s="378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8"/>
      <c r="C27" s="3769"/>
      <c r="D27" s="3770"/>
      <c r="E27" s="3771"/>
      <c r="F27" s="3771"/>
      <c r="G27" s="3771"/>
      <c r="H27" s="3771"/>
      <c r="I27" s="3772">
        <f>IF(C27="",0,HLOOKUP(C27,'Part V-Utility Allowances'!$I$11:$M$22,12))</f>
        <v>0</v>
      </c>
      <c r="J27" s="3773"/>
      <c r="K27" s="593">
        <f t="shared" si="1"/>
        <v>0</v>
      </c>
      <c r="L27" s="593">
        <f t="shared" si="2"/>
        <v>0</v>
      </c>
      <c r="M27" s="3774"/>
      <c r="N27" s="3774"/>
      <c r="O27" s="3774"/>
      <c r="P27" s="3775"/>
      <c r="Q27" s="3776" t="str">
        <f t="shared" si="3"/>
        <v/>
      </c>
      <c r="R27" s="3777" t="str">
        <f>IF(H27="","",IF(C27="Efficiency",Q27/($O$6*VLOOKUP(0,'DCA Underwriting Assumptions'!$J$146:$K$151,2,FALSE)),Q27/($O$6*VLOOKUP(C27,'DCA Underwriting Assumptions'!$J$146:$K$151,2,FALSE))))</f>
        <v/>
      </c>
      <c r="S27" s="3778"/>
      <c r="T27" s="3779"/>
      <c r="U27" s="3780"/>
      <c r="V27" s="378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8">
        <v>60</v>
      </c>
      <c r="C28" s="3769">
        <v>2</v>
      </c>
      <c r="D28" s="3770">
        <v>2</v>
      </c>
      <c r="E28" s="3771">
        <v>27</v>
      </c>
      <c r="F28" s="3771">
        <v>1056</v>
      </c>
      <c r="G28" s="3771">
        <v>862</v>
      </c>
      <c r="H28" s="3771">
        <v>787</v>
      </c>
      <c r="I28" s="3772">
        <f>IF(C28="",0,HLOOKUP(C28,'Part V-Utility Allowances'!$I$11:$M$22,12))</f>
        <v>120</v>
      </c>
      <c r="J28" s="3773"/>
      <c r="K28" s="593">
        <f t="shared" si="1"/>
        <v>667</v>
      </c>
      <c r="L28" s="593">
        <f t="shared" si="2"/>
        <v>18009</v>
      </c>
      <c r="M28" s="3774" t="s">
        <v>2993</v>
      </c>
      <c r="N28" s="3774" t="s">
        <v>5222</v>
      </c>
      <c r="O28" s="3774" t="s">
        <v>2296</v>
      </c>
      <c r="P28" s="3775" t="s">
        <v>2993</v>
      </c>
      <c r="Q28" s="3776">
        <f t="shared" si="3"/>
        <v>31480</v>
      </c>
      <c r="R28" s="3777">
        <f>IF(H28="","",IF(C28="Efficiency",Q28/($O$6*VLOOKUP(0,'DCA Underwriting Assumptions'!$J$146:$K$151,2,FALSE)),Q28/($O$6*VLOOKUP(C28,'DCA Underwriting Assumptions'!$J$146:$K$151,2,FALSE))))</f>
        <v>0.54824103099965171</v>
      </c>
      <c r="S28" s="3778"/>
      <c r="T28" s="3779"/>
      <c r="U28" s="3780"/>
      <c r="V28" s="378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f t="shared" si="16"/>
        <v>27</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f t="shared" si="130"/>
        <v>28512</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f t="shared" si="160"/>
        <v>27</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f t="shared" si="205"/>
        <v>27</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f t="shared" si="270"/>
        <v>27</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27</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8">
        <v>50</v>
      </c>
      <c r="C29" s="3769">
        <v>2</v>
      </c>
      <c r="D29" s="3770">
        <v>2</v>
      </c>
      <c r="E29" s="3771">
        <v>9</v>
      </c>
      <c r="F29" s="3771">
        <v>1056</v>
      </c>
      <c r="G29" s="3771">
        <v>718</v>
      </c>
      <c r="H29" s="3771">
        <v>643</v>
      </c>
      <c r="I29" s="3772">
        <f>IF(C29="",0,HLOOKUP(C29,'Part V-Utility Allowances'!$I$11:$M$22,12))</f>
        <v>120</v>
      </c>
      <c r="J29" s="3773"/>
      <c r="K29" s="593">
        <f t="shared" si="1"/>
        <v>523</v>
      </c>
      <c r="L29" s="593">
        <f t="shared" si="2"/>
        <v>4707</v>
      </c>
      <c r="M29" s="3774" t="s">
        <v>2993</v>
      </c>
      <c r="N29" s="3774" t="s">
        <v>5222</v>
      </c>
      <c r="O29" s="3774" t="s">
        <v>2296</v>
      </c>
      <c r="P29" s="3775" t="s">
        <v>2993</v>
      </c>
      <c r="Q29" s="3776">
        <f t="shared" si="3"/>
        <v>25720</v>
      </c>
      <c r="R29" s="3777">
        <f>IF(H29="","",IF(C29="Efficiency",Q29/($O$6*VLOOKUP(0,'DCA Underwriting Assumptions'!$J$146:$K$151,2,FALSE)),Q29/($O$6*VLOOKUP(C29,'DCA Underwriting Assumptions'!$J$146:$K$151,2,FALSE))))</f>
        <v>0.44792755137582724</v>
      </c>
      <c r="S29" s="3778"/>
      <c r="T29" s="3779"/>
      <c r="U29" s="3780"/>
      <c r="V29" s="378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f t="shared" si="21"/>
        <v>9</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f t="shared" si="316"/>
        <v>9504</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f t="shared" si="160"/>
        <v>9</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f t="shared" si="205"/>
        <v>9</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f t="shared" si="270"/>
        <v>9</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9</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8"/>
      <c r="C30" s="3769"/>
      <c r="D30" s="3770"/>
      <c r="E30" s="3771"/>
      <c r="F30" s="3771"/>
      <c r="G30" s="3771"/>
      <c r="H30" s="3771"/>
      <c r="I30" s="3772">
        <f>IF(C30="",0,HLOOKUP(C30,'Part V-Utility Allowances'!$I$11:$M$22,12))</f>
        <v>0</v>
      </c>
      <c r="J30" s="3773"/>
      <c r="K30" s="593">
        <f t="shared" si="1"/>
        <v>0</v>
      </c>
      <c r="L30" s="593">
        <f t="shared" si="2"/>
        <v>0</v>
      </c>
      <c r="M30" s="3774"/>
      <c r="N30" s="3774"/>
      <c r="O30" s="3774"/>
      <c r="P30" s="3775"/>
      <c r="Q30" s="3776" t="str">
        <f t="shared" si="3"/>
        <v/>
      </c>
      <c r="R30" s="3777" t="str">
        <f>IF(H30="","",IF(C30="Efficiency",Q30/($O$6*VLOOKUP(0,'DCA Underwriting Assumptions'!$J$146:$K$151,2,FALSE)),Q30/($O$6*VLOOKUP(C30,'DCA Underwriting Assumptions'!$J$146:$K$151,2,FALSE))))</f>
        <v/>
      </c>
      <c r="S30" s="3778"/>
      <c r="T30" s="3779"/>
      <c r="U30" s="3780"/>
      <c r="V30" s="378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8"/>
      <c r="C31" s="3769"/>
      <c r="D31" s="3770"/>
      <c r="E31" s="3771"/>
      <c r="F31" s="3771"/>
      <c r="G31" s="3771"/>
      <c r="H31" s="3771"/>
      <c r="I31" s="3772">
        <f>IF(C31="",0,HLOOKUP(C31,'Part V-Utility Allowances'!$I$11:$M$22,12))</f>
        <v>0</v>
      </c>
      <c r="J31" s="3773"/>
      <c r="K31" s="593">
        <f t="shared" si="1"/>
        <v>0</v>
      </c>
      <c r="L31" s="593">
        <f t="shared" si="2"/>
        <v>0</v>
      </c>
      <c r="M31" s="3774"/>
      <c r="N31" s="3774"/>
      <c r="O31" s="3774"/>
      <c r="P31" s="3775"/>
      <c r="Q31" s="3776" t="str">
        <f t="shared" si="3"/>
        <v/>
      </c>
      <c r="R31" s="3777" t="str">
        <f>IF(H31="","",IF(C31="Efficiency",Q31/($O$6*VLOOKUP(0,'DCA Underwriting Assumptions'!$J$146:$K$151,2,FALSE)),Q31/($O$6*VLOOKUP(C31,'DCA Underwriting Assumptions'!$J$146:$K$151,2,FALSE))))</f>
        <v/>
      </c>
      <c r="S31" s="3778"/>
      <c r="T31" s="3779"/>
      <c r="U31" s="3780"/>
      <c r="V31" s="378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8"/>
      <c r="C32" s="3769"/>
      <c r="D32" s="3770"/>
      <c r="E32" s="3771"/>
      <c r="F32" s="3771"/>
      <c r="G32" s="3771"/>
      <c r="H32" s="3771"/>
      <c r="I32" s="3772">
        <f>IF(C32="",0,HLOOKUP(C32,'Part V-Utility Allowances'!$I$11:$M$22,12))</f>
        <v>0</v>
      </c>
      <c r="J32" s="3773"/>
      <c r="K32" s="593">
        <f t="shared" si="1"/>
        <v>0</v>
      </c>
      <c r="L32" s="593">
        <f t="shared" si="2"/>
        <v>0</v>
      </c>
      <c r="M32" s="3774"/>
      <c r="N32" s="3774"/>
      <c r="O32" s="3774"/>
      <c r="P32" s="3775"/>
      <c r="Q32" s="3776" t="str">
        <f t="shared" si="3"/>
        <v/>
      </c>
      <c r="R32" s="3777" t="str">
        <f>IF(H32="","",IF(C32="Efficiency",Q32/($O$6*VLOOKUP(0,'DCA Underwriting Assumptions'!$J$146:$K$151,2,FALSE)),Q32/($O$6*VLOOKUP(C32,'DCA Underwriting Assumptions'!$J$146:$K$151,2,FALSE))))</f>
        <v/>
      </c>
      <c r="S32" s="3778"/>
      <c r="T32" s="3779"/>
      <c r="U32" s="3780"/>
      <c r="V32" s="378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8">
        <v>60</v>
      </c>
      <c r="C33" s="3769">
        <v>3</v>
      </c>
      <c r="D33" s="3770">
        <v>2</v>
      </c>
      <c r="E33" s="3771">
        <v>27</v>
      </c>
      <c r="F33" s="3771">
        <v>1209</v>
      </c>
      <c r="G33" s="3771">
        <v>996</v>
      </c>
      <c r="H33" s="3771">
        <v>946</v>
      </c>
      <c r="I33" s="3772">
        <f>IF(C33="",0,HLOOKUP(C33,'Part V-Utility Allowances'!$I$11:$M$22,12))</f>
        <v>147</v>
      </c>
      <c r="J33" s="3773"/>
      <c r="K33" s="593">
        <f t="shared" si="1"/>
        <v>799</v>
      </c>
      <c r="L33" s="593">
        <f t="shared" si="2"/>
        <v>21573</v>
      </c>
      <c r="M33" s="3774" t="s">
        <v>2993</v>
      </c>
      <c r="N33" s="3774" t="s">
        <v>5222</v>
      </c>
      <c r="O33" s="3774" t="s">
        <v>2296</v>
      </c>
      <c r="P33" s="3775" t="s">
        <v>2993</v>
      </c>
      <c r="Q33" s="3776">
        <f t="shared" si="3"/>
        <v>37840</v>
      </c>
      <c r="R33" s="3777">
        <f>IF(H33="","",IF(C33="Efficiency",Q33/($O$6*VLOOKUP(0,'DCA Underwriting Assumptions'!$J$146:$K$151,2,FALSE)),Q33/($O$6*VLOOKUP(C33,'DCA Underwriting Assumptions'!$J$146:$K$151,2,FALSE))))</f>
        <v>0.57029177718832891</v>
      </c>
      <c r="S33" s="3778"/>
      <c r="T33" s="3779"/>
      <c r="U33" s="3780"/>
      <c r="V33" s="378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f t="shared" si="17"/>
        <v>27</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f t="shared" si="131"/>
        <v>32643</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f t="shared" si="161"/>
        <v>27</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f t="shared" si="206"/>
        <v>27</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f t="shared" si="271"/>
        <v>27</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27</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8">
        <v>50</v>
      </c>
      <c r="C34" s="3769">
        <v>3</v>
      </c>
      <c r="D34" s="3770">
        <v>2</v>
      </c>
      <c r="E34" s="3771">
        <v>9</v>
      </c>
      <c r="F34" s="3771">
        <v>1209</v>
      </c>
      <c r="G34" s="3771">
        <v>830</v>
      </c>
      <c r="H34" s="3771">
        <v>780</v>
      </c>
      <c r="I34" s="3772">
        <f>IF(C34="",0,HLOOKUP(C34,'Part V-Utility Allowances'!$I$11:$M$22,12))</f>
        <v>147</v>
      </c>
      <c r="J34" s="3773"/>
      <c r="K34" s="593">
        <f t="shared" si="1"/>
        <v>633</v>
      </c>
      <c r="L34" s="593">
        <f t="shared" si="2"/>
        <v>5697</v>
      </c>
      <c r="M34" s="3774" t="s">
        <v>2993</v>
      </c>
      <c r="N34" s="3774" t="s">
        <v>5222</v>
      </c>
      <c r="O34" s="3774" t="s">
        <v>2296</v>
      </c>
      <c r="P34" s="3775" t="s">
        <v>2993</v>
      </c>
      <c r="Q34" s="3776">
        <f t="shared" si="3"/>
        <v>31200</v>
      </c>
      <c r="R34" s="3777">
        <f>IF(H34="","",IF(C34="Efficiency",Q34/($O$6*VLOOKUP(0,'DCA Underwriting Assumptions'!$J$146:$K$151,2,FALSE)),Q34/($O$6*VLOOKUP(C34,'DCA Underwriting Assumptions'!$J$146:$K$151,2,FALSE))))</f>
        <v>0.47021943573667713</v>
      </c>
      <c r="S34" s="3778"/>
      <c r="T34" s="3779"/>
      <c r="U34" s="3780"/>
      <c r="V34" s="378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f t="shared" si="22"/>
        <v>9</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f t="shared" si="317"/>
        <v>10881</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f t="shared" si="161"/>
        <v>9</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f t="shared" si="206"/>
        <v>9</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f t="shared" si="271"/>
        <v>9</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9</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8"/>
      <c r="C35" s="3769"/>
      <c r="D35" s="3770"/>
      <c r="E35" s="3771"/>
      <c r="F35" s="3771"/>
      <c r="G35" s="3771"/>
      <c r="H35" s="3771"/>
      <c r="I35" s="3772">
        <f>IF(C35="",0,HLOOKUP(C35,'Part V-Utility Allowances'!$I$11:$M$22,12))</f>
        <v>0</v>
      </c>
      <c r="J35" s="3773"/>
      <c r="K35" s="593">
        <f t="shared" si="1"/>
        <v>0</v>
      </c>
      <c r="L35" s="593">
        <f t="shared" si="2"/>
        <v>0</v>
      </c>
      <c r="M35" s="3774"/>
      <c r="N35" s="3774"/>
      <c r="O35" s="3774"/>
      <c r="P35" s="3775"/>
      <c r="Q35" s="3776" t="str">
        <f t="shared" si="3"/>
        <v/>
      </c>
      <c r="R35" s="3777" t="str">
        <f>IF(H35="","",IF(C35="Efficiency",Q35/($O$6*VLOOKUP(0,'DCA Underwriting Assumptions'!$J$146:$K$151,2,FALSE)),Q35/($O$6*VLOOKUP(C35,'DCA Underwriting Assumptions'!$J$146:$K$151,2,FALSE))))</f>
        <v/>
      </c>
      <c r="S35" s="3778"/>
      <c r="T35" s="3779"/>
      <c r="U35" s="3780"/>
      <c r="V35" s="378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8"/>
      <c r="C36" s="3769"/>
      <c r="D36" s="3770"/>
      <c r="E36" s="3771"/>
      <c r="F36" s="3771"/>
      <c r="G36" s="3771"/>
      <c r="H36" s="3771"/>
      <c r="I36" s="3772">
        <f>IF(C36="",0,HLOOKUP(C36,'Part V-Utility Allowances'!$I$11:$M$22,12))</f>
        <v>0</v>
      </c>
      <c r="J36" s="3773"/>
      <c r="K36" s="593">
        <f t="shared" si="1"/>
        <v>0</v>
      </c>
      <c r="L36" s="593">
        <f t="shared" si="2"/>
        <v>0</v>
      </c>
      <c r="M36" s="3774"/>
      <c r="N36" s="3774"/>
      <c r="O36" s="3774"/>
      <c r="P36" s="3775"/>
      <c r="Q36" s="3776" t="str">
        <f t="shared" si="3"/>
        <v/>
      </c>
      <c r="R36" s="3777" t="str">
        <f>IF(H36="","",IF(C36="Efficiency",Q36/($O$6*VLOOKUP(0,'DCA Underwriting Assumptions'!$J$146:$K$151,2,FALSE)),Q36/($O$6*VLOOKUP(C36,'DCA Underwriting Assumptions'!$J$146:$K$151,2,FALSE))))</f>
        <v/>
      </c>
      <c r="S36" s="3778"/>
      <c r="T36" s="3779"/>
      <c r="U36" s="3780"/>
      <c r="V36" s="378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8"/>
      <c r="C37" s="3769"/>
      <c r="D37" s="3770"/>
      <c r="E37" s="3771"/>
      <c r="F37" s="3771"/>
      <c r="G37" s="3771"/>
      <c r="H37" s="3771"/>
      <c r="I37" s="3772">
        <f>IF(C37="",0,HLOOKUP(C37,'Part V-Utility Allowances'!$I$11:$M$22,12))</f>
        <v>0</v>
      </c>
      <c r="J37" s="3773"/>
      <c r="K37" s="593">
        <f t="shared" si="1"/>
        <v>0</v>
      </c>
      <c r="L37" s="593">
        <f t="shared" si="2"/>
        <v>0</v>
      </c>
      <c r="M37" s="3774"/>
      <c r="N37" s="3774"/>
      <c r="O37" s="3774"/>
      <c r="P37" s="3775"/>
      <c r="Q37" s="3776" t="str">
        <f t="shared" si="3"/>
        <v/>
      </c>
      <c r="R37" s="3777" t="str">
        <f>IF(H37="","",IF(C37="Efficiency",Q37/($O$6*VLOOKUP(0,'DCA Underwriting Assumptions'!$J$146:$K$151,2,FALSE)),Q37/($O$6*VLOOKUP(C37,'DCA Underwriting Assumptions'!$J$146:$K$151,2,FALSE))))</f>
        <v/>
      </c>
      <c r="S37" s="3778"/>
      <c r="T37" s="3779"/>
      <c r="U37" s="3780"/>
      <c r="V37" s="378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8"/>
      <c r="C38" s="3769"/>
      <c r="D38" s="3770"/>
      <c r="E38" s="3771"/>
      <c r="F38" s="3771"/>
      <c r="G38" s="3771"/>
      <c r="H38" s="3771"/>
      <c r="I38" s="3772">
        <f>IF(C38="",0,HLOOKUP(C38,'Part V-Utility Allowances'!$I$11:$M$22,12))</f>
        <v>0</v>
      </c>
      <c r="J38" s="3773"/>
      <c r="K38" s="593">
        <f t="shared" si="1"/>
        <v>0</v>
      </c>
      <c r="L38" s="593">
        <f t="shared" si="2"/>
        <v>0</v>
      </c>
      <c r="M38" s="3774"/>
      <c r="N38" s="3774"/>
      <c r="O38" s="3774"/>
      <c r="P38" s="3775"/>
      <c r="Q38" s="3776" t="str">
        <f t="shared" si="3"/>
        <v/>
      </c>
      <c r="R38" s="3777" t="str">
        <f>IF(H38="","",IF(C38="Efficiency",Q38/($O$6*VLOOKUP(0,'DCA Underwriting Assumptions'!$J$146:$K$151,2,FALSE)),Q38/($O$6*VLOOKUP(C38,'DCA Underwriting Assumptions'!$J$146:$K$151,2,FALSE))))</f>
        <v/>
      </c>
      <c r="S38" s="3778"/>
      <c r="T38" s="3779"/>
      <c r="U38" s="3780"/>
      <c r="V38" s="378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8"/>
      <c r="C39" s="3769"/>
      <c r="D39" s="3770"/>
      <c r="E39" s="3771"/>
      <c r="F39" s="3771"/>
      <c r="G39" s="3771"/>
      <c r="H39" s="3771"/>
      <c r="I39" s="3772">
        <f>IF(C39="",0,HLOOKUP(C39,'Part V-Utility Allowances'!$I$11:$M$22,12))</f>
        <v>0</v>
      </c>
      <c r="J39" s="3773"/>
      <c r="K39" s="593">
        <f t="shared" si="1"/>
        <v>0</v>
      </c>
      <c r="L39" s="593">
        <f t="shared" si="2"/>
        <v>0</v>
      </c>
      <c r="M39" s="3774"/>
      <c r="N39" s="3774"/>
      <c r="O39" s="3774"/>
      <c r="P39" s="3775"/>
      <c r="Q39" s="3776" t="str">
        <f t="shared" si="3"/>
        <v/>
      </c>
      <c r="R39" s="3777" t="str">
        <f>IF(H39="","",IF(C39="Efficiency",Q39/($O$6*VLOOKUP(0,'DCA Underwriting Assumptions'!$J$146:$K$151,2,FALSE)),Q39/($O$6*VLOOKUP(C39,'DCA Underwriting Assumptions'!$J$146:$K$151,2,FALSE))))</f>
        <v/>
      </c>
      <c r="S39" s="3778"/>
      <c r="T39" s="3779"/>
      <c r="U39" s="3780"/>
      <c r="V39" s="378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8"/>
      <c r="C40" s="3769"/>
      <c r="D40" s="3770"/>
      <c r="E40" s="3771"/>
      <c r="F40" s="3771"/>
      <c r="G40" s="3771"/>
      <c r="H40" s="3771"/>
      <c r="I40" s="3772">
        <f>IF(C40="",0,HLOOKUP(C40,'Part V-Utility Allowances'!$I$11:$M$22,12))</f>
        <v>0</v>
      </c>
      <c r="J40" s="3773"/>
      <c r="K40" s="593">
        <f t="shared" si="1"/>
        <v>0</v>
      </c>
      <c r="L40" s="593">
        <f t="shared" si="2"/>
        <v>0</v>
      </c>
      <c r="M40" s="3774"/>
      <c r="N40" s="3774"/>
      <c r="O40" s="3774"/>
      <c r="P40" s="3775"/>
      <c r="Q40" s="3776" t="str">
        <f t="shared" si="3"/>
        <v/>
      </c>
      <c r="R40" s="3777" t="str">
        <f>IF(H40="","",IF(C40="Efficiency",Q40/($O$6*VLOOKUP(0,'DCA Underwriting Assumptions'!$J$146:$K$151,2,FALSE)),Q40/($O$6*VLOOKUP(C40,'DCA Underwriting Assumptions'!$J$146:$K$151,2,FALSE))))</f>
        <v/>
      </c>
      <c r="S40" s="3778"/>
      <c r="T40" s="3779"/>
      <c r="U40" s="3780"/>
      <c r="V40" s="378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8"/>
      <c r="C41" s="3769"/>
      <c r="D41" s="3770"/>
      <c r="E41" s="3771"/>
      <c r="F41" s="3771"/>
      <c r="G41" s="3771"/>
      <c r="H41" s="3771"/>
      <c r="I41" s="3772">
        <f>IF(C41="",0,HLOOKUP(C41,'Part V-Utility Allowances'!$I$11:$M$22,12))</f>
        <v>0</v>
      </c>
      <c r="J41" s="3773"/>
      <c r="K41" s="593">
        <f t="shared" si="1"/>
        <v>0</v>
      </c>
      <c r="L41" s="593">
        <f t="shared" si="2"/>
        <v>0</v>
      </c>
      <c r="M41" s="3774"/>
      <c r="N41" s="3774"/>
      <c r="O41" s="3774"/>
      <c r="P41" s="3775"/>
      <c r="Q41" s="3776" t="str">
        <f t="shared" si="3"/>
        <v/>
      </c>
      <c r="R41" s="3777" t="str">
        <f>IF(H41="","",IF(C41="Efficiency",Q41/($O$6*VLOOKUP(0,'DCA Underwriting Assumptions'!$J$146:$K$151,2,FALSE)),Q41/($O$6*VLOOKUP(C41,'DCA Underwriting Assumptions'!$J$146:$K$151,2,FALSE))))</f>
        <v/>
      </c>
      <c r="S41" s="3778"/>
      <c r="T41" s="3779"/>
      <c r="U41" s="3780"/>
      <c r="V41" s="378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8"/>
      <c r="C42" s="3769"/>
      <c r="D42" s="3770"/>
      <c r="E42" s="3771"/>
      <c r="F42" s="3771"/>
      <c r="G42" s="3771"/>
      <c r="H42" s="3771"/>
      <c r="I42" s="3772">
        <f>IF(C42="",0,HLOOKUP(C42,'Part V-Utility Allowances'!$I$11:$M$22,12))</f>
        <v>0</v>
      </c>
      <c r="J42" s="3773"/>
      <c r="K42" s="593">
        <f t="shared" si="1"/>
        <v>0</v>
      </c>
      <c r="L42" s="593">
        <f t="shared" si="2"/>
        <v>0</v>
      </c>
      <c r="M42" s="3774"/>
      <c r="N42" s="3774"/>
      <c r="O42" s="3774"/>
      <c r="P42" s="3775"/>
      <c r="Q42" s="3776" t="str">
        <f t="shared" si="3"/>
        <v/>
      </c>
      <c r="R42" s="3777" t="str">
        <f>IF(H42="","",IF(C42="Efficiency",Q42/($O$6*VLOOKUP(0,'DCA Underwriting Assumptions'!$J$146:$K$151,2,FALSE)),Q42/($O$6*VLOOKUP(C42,'DCA Underwriting Assumptions'!$J$146:$K$151,2,FALSE))))</f>
        <v/>
      </c>
      <c r="S42" s="3778"/>
      <c r="T42" s="3779"/>
      <c r="U42" s="3780"/>
      <c r="V42" s="378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8"/>
      <c r="C43" s="3769"/>
      <c r="D43" s="3770"/>
      <c r="E43" s="3771"/>
      <c r="F43" s="3771"/>
      <c r="G43" s="3771"/>
      <c r="H43" s="3771"/>
      <c r="I43" s="3772">
        <f>IF(C43="",0,HLOOKUP(C43,'Part V-Utility Allowances'!$I$11:$M$22,12))</f>
        <v>0</v>
      </c>
      <c r="J43" s="3773"/>
      <c r="K43" s="593">
        <f t="shared" si="1"/>
        <v>0</v>
      </c>
      <c r="L43" s="593">
        <f t="shared" si="2"/>
        <v>0</v>
      </c>
      <c r="M43" s="3774"/>
      <c r="N43" s="3774"/>
      <c r="O43" s="3774"/>
      <c r="P43" s="3775"/>
      <c r="Q43" s="3776" t="str">
        <f t="shared" si="3"/>
        <v/>
      </c>
      <c r="R43" s="3777" t="str">
        <f>IF(H43="","",IF(C43="Efficiency",Q43/($O$6*VLOOKUP(0,'DCA Underwriting Assumptions'!$J$146:$K$151,2,FALSE)),Q43/($O$6*VLOOKUP(C43,'DCA Underwriting Assumptions'!$J$146:$K$151,2,FALSE))))</f>
        <v/>
      </c>
      <c r="S43" s="3778"/>
      <c r="T43" s="3779"/>
      <c r="U43" s="3780"/>
      <c r="V43" s="378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8"/>
      <c r="C44" s="3769"/>
      <c r="D44" s="3770"/>
      <c r="E44" s="3771"/>
      <c r="F44" s="3771"/>
      <c r="G44" s="3771"/>
      <c r="H44" s="3771"/>
      <c r="I44" s="3772">
        <f>IF(C44="",0,HLOOKUP(C44,'Part V-Utility Allowances'!$I$11:$M$22,12))</f>
        <v>0</v>
      </c>
      <c r="J44" s="3773"/>
      <c r="K44" s="593">
        <f t="shared" si="1"/>
        <v>0</v>
      </c>
      <c r="L44" s="593">
        <f t="shared" si="2"/>
        <v>0</v>
      </c>
      <c r="M44" s="3774"/>
      <c r="N44" s="3774"/>
      <c r="O44" s="3774"/>
      <c r="P44" s="3775"/>
      <c r="Q44" s="3776" t="str">
        <f t="shared" si="3"/>
        <v/>
      </c>
      <c r="R44" s="3777" t="str">
        <f>IF(H44="","",IF(C44="Efficiency",Q44/($O$6*VLOOKUP(0,'DCA Underwriting Assumptions'!$J$146:$K$151,2,FALSE)),Q44/($O$6*VLOOKUP(C44,'DCA Underwriting Assumptions'!$J$146:$K$151,2,FALSE))))</f>
        <v/>
      </c>
      <c r="S44" s="3778"/>
      <c r="T44" s="3779"/>
      <c r="U44" s="3780"/>
      <c r="V44" s="378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8"/>
      <c r="C45" s="3769"/>
      <c r="D45" s="3770"/>
      <c r="E45" s="3771"/>
      <c r="F45" s="3771"/>
      <c r="G45" s="3771"/>
      <c r="H45" s="3771"/>
      <c r="I45" s="3772">
        <f>IF(C45="",0,HLOOKUP(C45,'Part V-Utility Allowances'!$I$11:$M$22,12))</f>
        <v>0</v>
      </c>
      <c r="J45" s="3773"/>
      <c r="K45" s="593">
        <f t="shared" si="1"/>
        <v>0</v>
      </c>
      <c r="L45" s="593">
        <f t="shared" si="2"/>
        <v>0</v>
      </c>
      <c r="M45" s="3774"/>
      <c r="N45" s="3774"/>
      <c r="O45" s="3774"/>
      <c r="P45" s="3775"/>
      <c r="Q45" s="3776" t="str">
        <f t="shared" si="3"/>
        <v/>
      </c>
      <c r="R45" s="3777" t="str">
        <f>IF(H45="","",IF(C45="Efficiency",Q45/($O$6*VLOOKUP(0,'DCA Underwriting Assumptions'!$J$146:$K$151,2,FALSE)),Q45/($O$6*VLOOKUP(C45,'DCA Underwriting Assumptions'!$J$146:$K$151,2,FALSE))))</f>
        <v/>
      </c>
      <c r="S45" s="3778"/>
      <c r="T45" s="3779"/>
      <c r="U45" s="3780"/>
      <c r="V45" s="378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8"/>
      <c r="C46" s="3769"/>
      <c r="D46" s="3770"/>
      <c r="E46" s="3771"/>
      <c r="F46" s="3771"/>
      <c r="G46" s="3771"/>
      <c r="H46" s="3771"/>
      <c r="I46" s="3772">
        <f>IF(C46="",0,HLOOKUP(C46,'Part V-Utility Allowances'!$I$11:$M$22,12))</f>
        <v>0</v>
      </c>
      <c r="J46" s="3773"/>
      <c r="K46" s="593">
        <f t="shared" si="1"/>
        <v>0</v>
      </c>
      <c r="L46" s="593">
        <f t="shared" si="2"/>
        <v>0</v>
      </c>
      <c r="M46" s="3774"/>
      <c r="N46" s="3774"/>
      <c r="O46" s="3774"/>
      <c r="P46" s="3775"/>
      <c r="Q46" s="3776" t="str">
        <f t="shared" si="3"/>
        <v/>
      </c>
      <c r="R46" s="3777" t="str">
        <f>IF(H46="","",IF(C46="Efficiency",Q46/($O$6*VLOOKUP(0,'DCA Underwriting Assumptions'!$J$146:$K$151,2,FALSE)),Q46/($O$6*VLOOKUP(C46,'DCA Underwriting Assumptions'!$J$146:$K$151,2,FALSE))))</f>
        <v/>
      </c>
      <c r="S46" s="3778"/>
      <c r="T46" s="3779"/>
      <c r="U46" s="3780"/>
      <c r="V46" s="378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9"/>
      <c r="C47" s="3800"/>
      <c r="D47" s="3801"/>
      <c r="E47" s="3802"/>
      <c r="F47" s="3802"/>
      <c r="G47" s="3802"/>
      <c r="H47" s="3802"/>
      <c r="I47" s="3803">
        <f>IF(C47="",0,HLOOKUP(C47,'Part V-Utility Allowances'!$I$11:$M$22,12))</f>
        <v>0</v>
      </c>
      <c r="J47" s="3804"/>
      <c r="K47" s="594">
        <f t="shared" si="1"/>
        <v>0</v>
      </c>
      <c r="L47" s="594">
        <f t="shared" si="2"/>
        <v>0</v>
      </c>
      <c r="M47" s="3805"/>
      <c r="N47" s="3805"/>
      <c r="O47" s="3805"/>
      <c r="P47" s="3806"/>
      <c r="Q47" s="3807" t="str">
        <f t="shared" si="3"/>
        <v/>
      </c>
      <c r="R47" s="3808" t="str">
        <f>IF(H47="","",IF(C47="Efficiency",Q47/($O$6*VLOOKUP(0,'DCA Underwriting Assumptions'!$J$146:$K$151,2,FALSE)),Q47/($O$6*VLOOKUP(C47,'DCA Underwriting Assumptions'!$J$146:$K$151,2,FALSE))))</f>
        <v/>
      </c>
      <c r="S47" s="3809"/>
      <c r="T47" s="3810"/>
      <c r="U47" s="3811"/>
      <c r="V47" s="3812"/>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591" t="s">
        <v>4707</v>
      </c>
      <c r="C48" s="2592"/>
      <c r="D48" s="138" t="s">
        <v>1018</v>
      </c>
      <c r="E48" s="1975">
        <f>SUM(E10:E47)</f>
        <v>84</v>
      </c>
      <c r="F48" s="1973">
        <f>(E10*F10+E11*F11+E12*F12+E13*F13+E14*F14+E15*F15+E16*F16+E17*F17+E18*F18+E19*F19+E20*F20+E21*F21+E22*F22+E23*F23+E24*F24+E25*F25+E26*F26+E27*F27+E28*F28+E29*F29+E30*F30+E31*F31+E32*F32+E33*F33+E34*F34+E35*F35+E36*F36+E37*F37+E38*F38+E39*F39+E40*F40+E41*F41+E42*F42+E43*F43+E44*F44+E45*F45+E46*F46+E47*F47)</f>
        <v>90300</v>
      </c>
      <c r="G48" s="2569" t="s">
        <v>4704</v>
      </c>
      <c r="H48" s="3813" t="s">
        <v>4705</v>
      </c>
      <c r="I48" s="1976" t="str">
        <f>IF(O67=0,"",IF(SUM(O56:O62)/O67&gt;=0.4,"Pass","Fail"))</f>
        <v>Pass</v>
      </c>
      <c r="J48" s="571"/>
      <c r="K48" s="913" t="s">
        <v>1302</v>
      </c>
      <c r="L48" s="123">
        <f>SUM(L10:L47)</f>
        <v>56514</v>
      </c>
      <c r="M48" s="94"/>
      <c r="N48" s="572"/>
      <c r="O48" s="94"/>
      <c r="P48" s="469"/>
      <c r="Q48" s="469"/>
      <c r="R48" s="469"/>
      <c r="S48" s="469"/>
      <c r="T48" s="469"/>
      <c r="U48" s="896"/>
      <c r="V48" s="573"/>
      <c r="W48" s="2253">
        <f t="shared" ref="W48:EZ48" si="339">SUM(W10:W47)</f>
        <v>0</v>
      </c>
      <c r="X48" s="2253">
        <f t="shared" si="339"/>
        <v>0</v>
      </c>
      <c r="Y48" s="2253">
        <f t="shared" si="339"/>
        <v>0</v>
      </c>
      <c r="Z48" s="2253">
        <f t="shared" si="339"/>
        <v>0</v>
      </c>
      <c r="AA48" s="2253">
        <f t="shared" si="339"/>
        <v>0</v>
      </c>
      <c r="AB48" s="2253">
        <f t="shared" ref="AB48:AK48" si="340">SUM(AB10:AB47)</f>
        <v>0</v>
      </c>
      <c r="AC48" s="2253">
        <f t="shared" si="340"/>
        <v>0</v>
      </c>
      <c r="AD48" s="2253">
        <f t="shared" si="340"/>
        <v>0</v>
      </c>
      <c r="AE48" s="2253">
        <f t="shared" si="340"/>
        <v>0</v>
      </c>
      <c r="AF48" s="2253">
        <f t="shared" si="340"/>
        <v>0</v>
      </c>
      <c r="AG48" s="2253">
        <f t="shared" si="340"/>
        <v>0</v>
      </c>
      <c r="AH48" s="2253">
        <f t="shared" si="340"/>
        <v>9</v>
      </c>
      <c r="AI48" s="2253">
        <f t="shared" si="340"/>
        <v>27</v>
      </c>
      <c r="AJ48" s="2253">
        <f t="shared" si="340"/>
        <v>27</v>
      </c>
      <c r="AK48" s="2253">
        <f t="shared" si="340"/>
        <v>0</v>
      </c>
      <c r="AL48" s="2253">
        <f>SUM(AL10:AL47)</f>
        <v>0</v>
      </c>
      <c r="AM48" s="2253">
        <f>SUM(AM10:AM47)</f>
        <v>3</v>
      </c>
      <c r="AN48" s="2253">
        <f>SUM(AN10:AN47)</f>
        <v>9</v>
      </c>
      <c r="AO48" s="2253">
        <f>SUM(AO10:AO47)</f>
        <v>9</v>
      </c>
      <c r="AP48" s="2253">
        <f>SUM(AP10:AP47)</f>
        <v>0</v>
      </c>
      <c r="AQ48" s="2253">
        <f t="shared" si="339"/>
        <v>0</v>
      </c>
      <c r="AR48" s="2253">
        <f t="shared" si="339"/>
        <v>0</v>
      </c>
      <c r="AS48" s="2253">
        <f t="shared" si="339"/>
        <v>0</v>
      </c>
      <c r="AT48" s="2253">
        <f t="shared" si="339"/>
        <v>0</v>
      </c>
      <c r="AU48" s="2253">
        <f t="shared" si="339"/>
        <v>0</v>
      </c>
      <c r="AV48" s="2253">
        <f t="shared" si="339"/>
        <v>0</v>
      </c>
      <c r="AW48" s="2253">
        <f t="shared" si="339"/>
        <v>0</v>
      </c>
      <c r="AX48" s="2253">
        <f t="shared" si="339"/>
        <v>0</v>
      </c>
      <c r="AY48" s="2253">
        <f t="shared" si="339"/>
        <v>0</v>
      </c>
      <c r="AZ48" s="2253">
        <f t="shared" si="339"/>
        <v>0</v>
      </c>
      <c r="BA48" s="2253">
        <f>SUM(BA10:BA47)</f>
        <v>0</v>
      </c>
      <c r="BB48" s="2253">
        <f>SUM(BB10:BB47)</f>
        <v>0</v>
      </c>
      <c r="BC48" s="2253">
        <f>SUM(BC10:BC47)</f>
        <v>0</v>
      </c>
      <c r="BD48" s="2253">
        <f>SUM(BD10:BD47)</f>
        <v>0</v>
      </c>
      <c r="BE48" s="2253">
        <f>SUM(BE10:BE47)</f>
        <v>0</v>
      </c>
      <c r="BF48" s="2253">
        <f t="shared" si="339"/>
        <v>0</v>
      </c>
      <c r="BG48" s="2253">
        <f t="shared" si="339"/>
        <v>0</v>
      </c>
      <c r="BH48" s="2253">
        <f t="shared" si="339"/>
        <v>0</v>
      </c>
      <c r="BI48" s="2253">
        <f t="shared" si="339"/>
        <v>0</v>
      </c>
      <c r="BJ48" s="2253">
        <f t="shared" si="339"/>
        <v>0</v>
      </c>
      <c r="BK48" s="2253">
        <f>SUM(BK10:BK47)</f>
        <v>0</v>
      </c>
      <c r="BL48" s="2253">
        <f>SUM(BL10:BL47)</f>
        <v>0</v>
      </c>
      <c r="BM48" s="2253">
        <f>SUM(BM10:BM47)</f>
        <v>0</v>
      </c>
      <c r="BN48" s="2253">
        <f>SUM(BN10:BN47)</f>
        <v>0</v>
      </c>
      <c r="BO48" s="2253">
        <f>SUM(BO10:BO47)</f>
        <v>0</v>
      </c>
      <c r="BP48" s="2253">
        <f t="shared" si="339"/>
        <v>0</v>
      </c>
      <c r="BQ48" s="2253">
        <f t="shared" si="339"/>
        <v>0</v>
      </c>
      <c r="BR48" s="2253">
        <f t="shared" si="339"/>
        <v>0</v>
      </c>
      <c r="BS48" s="2253">
        <f t="shared" si="339"/>
        <v>0</v>
      </c>
      <c r="BT48" s="2253">
        <f t="shared" si="339"/>
        <v>0</v>
      </c>
      <c r="BU48" s="2253">
        <f>SUM(BU10:BU47)</f>
        <v>0</v>
      </c>
      <c r="BV48" s="2253">
        <f>SUM(BV10:BV47)</f>
        <v>0</v>
      </c>
      <c r="BW48" s="2253">
        <f>SUM(BW10:BW47)</f>
        <v>0</v>
      </c>
      <c r="BX48" s="2253">
        <f>SUM(BX10:BX47)</f>
        <v>0</v>
      </c>
      <c r="BY48" s="2253">
        <f>SUM(BY10:BY47)</f>
        <v>0</v>
      </c>
      <c r="BZ48" s="2253">
        <f t="shared" si="339"/>
        <v>0</v>
      </c>
      <c r="CA48" s="2253">
        <f t="shared" si="339"/>
        <v>0</v>
      </c>
      <c r="CB48" s="2253">
        <f t="shared" si="339"/>
        <v>0</v>
      </c>
      <c r="CC48" s="2253">
        <f t="shared" si="339"/>
        <v>0</v>
      </c>
      <c r="CD48" s="2253">
        <f t="shared" si="339"/>
        <v>0</v>
      </c>
      <c r="CE48" s="2253">
        <f t="shared" si="339"/>
        <v>0</v>
      </c>
      <c r="CF48" s="2253">
        <f t="shared" si="339"/>
        <v>0</v>
      </c>
      <c r="CG48" s="2253">
        <f t="shared" si="339"/>
        <v>0</v>
      </c>
      <c r="CH48" s="2253">
        <f t="shared" si="339"/>
        <v>0</v>
      </c>
      <c r="CI48" s="2253">
        <f t="shared" si="339"/>
        <v>0</v>
      </c>
      <c r="CJ48" s="2253">
        <f>SUM(CJ10:CJ47)</f>
        <v>0</v>
      </c>
      <c r="CK48" s="2253">
        <f>SUM(CK10:CK47)</f>
        <v>0</v>
      </c>
      <c r="CL48" s="2253">
        <f>SUM(CL10:CL47)</f>
        <v>0</v>
      </c>
      <c r="CM48" s="2253">
        <f>SUM(CM10:CM47)</f>
        <v>0</v>
      </c>
      <c r="CN48" s="2253">
        <f>SUM(CN10:CN47)</f>
        <v>0</v>
      </c>
      <c r="CO48" s="2253">
        <f t="shared" ref="CO48:CX48" si="341">SUM(CO10:CO47)</f>
        <v>0</v>
      </c>
      <c r="CP48" s="2253">
        <f t="shared" si="341"/>
        <v>0</v>
      </c>
      <c r="CQ48" s="2253">
        <f t="shared" si="341"/>
        <v>0</v>
      </c>
      <c r="CR48" s="2253">
        <f t="shared" si="341"/>
        <v>0</v>
      </c>
      <c r="CS48" s="2253">
        <f t="shared" si="341"/>
        <v>0</v>
      </c>
      <c r="CT48" s="2253">
        <f t="shared" si="341"/>
        <v>0</v>
      </c>
      <c r="CU48" s="2253">
        <f t="shared" si="341"/>
        <v>0</v>
      </c>
      <c r="CV48" s="2253">
        <f t="shared" si="341"/>
        <v>0</v>
      </c>
      <c r="CW48" s="2253">
        <f t="shared" si="341"/>
        <v>0</v>
      </c>
      <c r="CX48" s="2253">
        <f t="shared" si="341"/>
        <v>0</v>
      </c>
      <c r="CY48" s="2253">
        <f t="shared" si="339"/>
        <v>0</v>
      </c>
      <c r="CZ48" s="2253">
        <f t="shared" si="339"/>
        <v>0</v>
      </c>
      <c r="DA48" s="2253">
        <f t="shared" si="339"/>
        <v>0</v>
      </c>
      <c r="DB48" s="2253">
        <f t="shared" si="339"/>
        <v>0</v>
      </c>
      <c r="DC48" s="2253">
        <f t="shared" si="339"/>
        <v>0</v>
      </c>
      <c r="DD48" s="2253">
        <f t="shared" si="339"/>
        <v>0</v>
      </c>
      <c r="DE48" s="2253">
        <f t="shared" si="339"/>
        <v>0</v>
      </c>
      <c r="DF48" s="2253">
        <f t="shared" si="339"/>
        <v>0</v>
      </c>
      <c r="DG48" s="2253">
        <f t="shared" si="339"/>
        <v>0</v>
      </c>
      <c r="DH48" s="2253">
        <f t="shared" si="339"/>
        <v>0</v>
      </c>
      <c r="DI48" s="2253">
        <f t="shared" si="339"/>
        <v>0</v>
      </c>
      <c r="DJ48" s="2253">
        <f t="shared" si="339"/>
        <v>0</v>
      </c>
      <c r="DK48" s="2253">
        <f t="shared" si="339"/>
        <v>0</v>
      </c>
      <c r="DL48" s="2253">
        <f t="shared" si="339"/>
        <v>0</v>
      </c>
      <c r="DM48" s="2253">
        <f t="shared" si="339"/>
        <v>0</v>
      </c>
      <c r="DN48" s="2253">
        <f t="shared" si="339"/>
        <v>0</v>
      </c>
      <c r="DO48" s="2253">
        <f t="shared" si="339"/>
        <v>0</v>
      </c>
      <c r="DP48" s="2253">
        <f t="shared" si="339"/>
        <v>0</v>
      </c>
      <c r="DQ48" s="2253">
        <f t="shared" si="339"/>
        <v>0</v>
      </c>
      <c r="DR48" s="2253">
        <f t="shared" si="339"/>
        <v>0</v>
      </c>
      <c r="DS48" s="2253">
        <f t="shared" ref="DS48:EB48" si="342">SUM(DS10:DS47)</f>
        <v>0</v>
      </c>
      <c r="DT48" s="2253">
        <f t="shared" si="342"/>
        <v>0</v>
      </c>
      <c r="DU48" s="2253">
        <f t="shared" si="342"/>
        <v>0</v>
      </c>
      <c r="DV48" s="2253">
        <f t="shared" si="342"/>
        <v>0</v>
      </c>
      <c r="DW48" s="2253">
        <f t="shared" si="342"/>
        <v>0</v>
      </c>
      <c r="DX48" s="2253">
        <f t="shared" si="342"/>
        <v>0</v>
      </c>
      <c r="DY48" s="2253">
        <f t="shared" si="342"/>
        <v>0</v>
      </c>
      <c r="DZ48" s="2253">
        <f t="shared" si="342"/>
        <v>0</v>
      </c>
      <c r="EA48" s="2253">
        <f t="shared" si="342"/>
        <v>0</v>
      </c>
      <c r="EB48" s="2253">
        <f t="shared" si="342"/>
        <v>0</v>
      </c>
      <c r="EC48" s="2253">
        <f t="shared" si="339"/>
        <v>0</v>
      </c>
      <c r="ED48" s="2253">
        <f t="shared" si="339"/>
        <v>0</v>
      </c>
      <c r="EE48" s="2253">
        <f t="shared" si="339"/>
        <v>0</v>
      </c>
      <c r="EF48" s="2253">
        <f t="shared" si="339"/>
        <v>0</v>
      </c>
      <c r="EG48" s="2253">
        <f t="shared" si="339"/>
        <v>0</v>
      </c>
      <c r="EH48" s="2253">
        <f t="shared" si="339"/>
        <v>0</v>
      </c>
      <c r="EI48" s="2253">
        <f t="shared" si="339"/>
        <v>0</v>
      </c>
      <c r="EJ48" s="2253">
        <f t="shared" si="339"/>
        <v>0</v>
      </c>
      <c r="EK48" s="2253">
        <f t="shared" si="339"/>
        <v>0</v>
      </c>
      <c r="EL48" s="2253">
        <f t="shared" si="339"/>
        <v>0</v>
      </c>
      <c r="EM48" s="2253">
        <f t="shared" ref="EM48:EV48" si="343">SUM(EM10:EM47)</f>
        <v>0</v>
      </c>
      <c r="EN48" s="2253">
        <f t="shared" si="343"/>
        <v>0</v>
      </c>
      <c r="EO48" s="2253">
        <f t="shared" si="343"/>
        <v>0</v>
      </c>
      <c r="EP48" s="2253">
        <f t="shared" si="343"/>
        <v>0</v>
      </c>
      <c r="EQ48" s="2253">
        <f t="shared" si="343"/>
        <v>0</v>
      </c>
      <c r="ER48" s="2253">
        <f t="shared" si="343"/>
        <v>0</v>
      </c>
      <c r="ES48" s="2253">
        <f t="shared" si="343"/>
        <v>6570</v>
      </c>
      <c r="ET48" s="2253">
        <f t="shared" si="343"/>
        <v>28512</v>
      </c>
      <c r="EU48" s="2253">
        <f t="shared" si="343"/>
        <v>32643</v>
      </c>
      <c r="EV48" s="2253">
        <f t="shared" si="343"/>
        <v>0</v>
      </c>
      <c r="EW48" s="2253">
        <f t="shared" si="339"/>
        <v>0</v>
      </c>
      <c r="EX48" s="2253">
        <f t="shared" si="339"/>
        <v>2190</v>
      </c>
      <c r="EY48" s="2253">
        <f t="shared" si="339"/>
        <v>9504</v>
      </c>
      <c r="EZ48" s="2253">
        <f t="shared" si="339"/>
        <v>10881</v>
      </c>
      <c r="FA48" s="2253">
        <f t="shared" ref="FA48:HV48" si="344">SUM(FA10:FA47)</f>
        <v>0</v>
      </c>
      <c r="FB48" s="2253">
        <f>SUM(FB10:FB47)</f>
        <v>0</v>
      </c>
      <c r="FC48" s="2253">
        <f>SUM(FC10:FC47)</f>
        <v>0</v>
      </c>
      <c r="FD48" s="2253">
        <f>SUM(FD10:FD47)</f>
        <v>0</v>
      </c>
      <c r="FE48" s="2253">
        <f>SUM(FE10:FE47)</f>
        <v>0</v>
      </c>
      <c r="FF48" s="2253">
        <f>SUM(FF10:FF47)</f>
        <v>0</v>
      </c>
      <c r="FG48" s="2253">
        <f t="shared" si="344"/>
        <v>0</v>
      </c>
      <c r="FH48" s="2253">
        <f t="shared" si="344"/>
        <v>0</v>
      </c>
      <c r="FI48" s="2253">
        <f t="shared" si="344"/>
        <v>0</v>
      </c>
      <c r="FJ48" s="2253">
        <f t="shared" si="344"/>
        <v>0</v>
      </c>
      <c r="FK48" s="2253">
        <f t="shared" si="344"/>
        <v>0</v>
      </c>
      <c r="FL48" s="2253">
        <f>SUM(FL10:FL47)</f>
        <v>0</v>
      </c>
      <c r="FM48" s="2253">
        <f>SUM(FM10:FM47)</f>
        <v>0</v>
      </c>
      <c r="FN48" s="2253">
        <f>SUM(FN10:FN47)</f>
        <v>0</v>
      </c>
      <c r="FO48" s="2253">
        <f>SUM(FO10:FO47)</f>
        <v>0</v>
      </c>
      <c r="FP48" s="2253">
        <f>SUM(FP10:FP47)</f>
        <v>0</v>
      </c>
      <c r="FQ48" s="2253">
        <f t="shared" si="344"/>
        <v>0</v>
      </c>
      <c r="FR48" s="2253">
        <f t="shared" si="344"/>
        <v>0</v>
      </c>
      <c r="FS48" s="2253">
        <f t="shared" si="344"/>
        <v>0</v>
      </c>
      <c r="FT48" s="2253">
        <f t="shared" si="344"/>
        <v>0</v>
      </c>
      <c r="FU48" s="2253">
        <f t="shared" si="344"/>
        <v>0</v>
      </c>
      <c r="FV48" s="2253">
        <f t="shared" si="344"/>
        <v>0</v>
      </c>
      <c r="FW48" s="2253">
        <f t="shared" si="344"/>
        <v>0</v>
      </c>
      <c r="FX48" s="2253">
        <f t="shared" si="344"/>
        <v>0</v>
      </c>
      <c r="FY48" s="2253">
        <f t="shared" si="344"/>
        <v>0</v>
      </c>
      <c r="FZ48" s="2253">
        <f t="shared" si="344"/>
        <v>0</v>
      </c>
      <c r="GA48" s="2253">
        <f t="shared" si="344"/>
        <v>0</v>
      </c>
      <c r="GB48" s="2253">
        <f t="shared" si="344"/>
        <v>0</v>
      </c>
      <c r="GC48" s="2253">
        <f t="shared" si="344"/>
        <v>0</v>
      </c>
      <c r="GD48" s="2253">
        <f t="shared" si="344"/>
        <v>0</v>
      </c>
      <c r="GE48" s="2253">
        <f t="shared" si="344"/>
        <v>0</v>
      </c>
      <c r="GF48" s="2253">
        <f t="shared" si="344"/>
        <v>0</v>
      </c>
      <c r="GG48" s="2253">
        <f t="shared" si="344"/>
        <v>12</v>
      </c>
      <c r="GH48" s="2253">
        <f t="shared" si="344"/>
        <v>36</v>
      </c>
      <c r="GI48" s="2253">
        <f t="shared" si="344"/>
        <v>36</v>
      </c>
      <c r="GJ48" s="2253">
        <f t="shared" si="344"/>
        <v>0</v>
      </c>
      <c r="GK48" s="2253">
        <f t="shared" si="344"/>
        <v>0</v>
      </c>
      <c r="GL48" s="2253">
        <f t="shared" si="344"/>
        <v>0</v>
      </c>
      <c r="GM48" s="2253">
        <f t="shared" si="344"/>
        <v>0</v>
      </c>
      <c r="GN48" s="2253">
        <f t="shared" si="344"/>
        <v>0</v>
      </c>
      <c r="GO48" s="2253">
        <f t="shared" si="344"/>
        <v>0</v>
      </c>
      <c r="GP48" s="2253">
        <f t="shared" si="344"/>
        <v>0</v>
      </c>
      <c r="GQ48" s="2253">
        <f t="shared" si="344"/>
        <v>0</v>
      </c>
      <c r="GR48" s="2253">
        <f t="shared" si="344"/>
        <v>0</v>
      </c>
      <c r="GS48" s="2253">
        <f t="shared" si="344"/>
        <v>0</v>
      </c>
      <c r="GT48" s="2253">
        <f t="shared" si="344"/>
        <v>0</v>
      </c>
      <c r="GU48" s="2253">
        <f t="shared" si="344"/>
        <v>0</v>
      </c>
      <c r="GV48" s="2253">
        <f t="shared" si="344"/>
        <v>0</v>
      </c>
      <c r="GW48" s="2253">
        <f t="shared" si="344"/>
        <v>0</v>
      </c>
      <c r="GX48" s="2253">
        <f t="shared" si="344"/>
        <v>0</v>
      </c>
      <c r="GY48" s="2253">
        <f t="shared" si="344"/>
        <v>0</v>
      </c>
      <c r="GZ48" s="2253">
        <f t="shared" si="344"/>
        <v>0</v>
      </c>
      <c r="HA48" s="2253">
        <f t="shared" si="344"/>
        <v>0</v>
      </c>
      <c r="HB48" s="2253">
        <f t="shared" si="344"/>
        <v>0</v>
      </c>
      <c r="HC48" s="2253">
        <f t="shared" si="344"/>
        <v>0</v>
      </c>
      <c r="HD48" s="2253">
        <f t="shared" si="344"/>
        <v>0</v>
      </c>
      <c r="HE48" s="2253">
        <f t="shared" si="344"/>
        <v>0</v>
      </c>
      <c r="HF48" s="2253">
        <f t="shared" si="344"/>
        <v>0</v>
      </c>
      <c r="HG48" s="2253">
        <f t="shared" si="344"/>
        <v>0</v>
      </c>
      <c r="HH48" s="2253">
        <f t="shared" si="344"/>
        <v>0</v>
      </c>
      <c r="HI48" s="2253">
        <f t="shared" si="344"/>
        <v>0</v>
      </c>
      <c r="HJ48" s="2253">
        <f t="shared" si="344"/>
        <v>0</v>
      </c>
      <c r="HK48" s="2253">
        <f t="shared" si="344"/>
        <v>0</v>
      </c>
      <c r="HL48" s="2253">
        <f t="shared" si="344"/>
        <v>0</v>
      </c>
      <c r="HM48" s="2253">
        <f t="shared" si="344"/>
        <v>0</v>
      </c>
      <c r="HN48" s="2253">
        <f t="shared" si="344"/>
        <v>0</v>
      </c>
      <c r="HO48" s="2253">
        <f t="shared" si="344"/>
        <v>0</v>
      </c>
      <c r="HP48" s="2253">
        <f t="shared" si="344"/>
        <v>0</v>
      </c>
      <c r="HQ48" s="2253">
        <f t="shared" si="344"/>
        <v>0</v>
      </c>
      <c r="HR48" s="2253">
        <f t="shared" si="344"/>
        <v>0</v>
      </c>
      <c r="HS48" s="2253">
        <f t="shared" si="344"/>
        <v>0</v>
      </c>
      <c r="HT48" s="2253">
        <f t="shared" si="344"/>
        <v>0</v>
      </c>
      <c r="HU48" s="2253">
        <f t="shared" si="344"/>
        <v>0</v>
      </c>
      <c r="HV48" s="2253">
        <f t="shared" si="344"/>
        <v>0</v>
      </c>
      <c r="HW48" s="2253">
        <f t="shared" ref="HW48:KH48" si="345">SUM(HW10:HW47)</f>
        <v>0</v>
      </c>
      <c r="HX48" s="2253">
        <f t="shared" si="345"/>
        <v>0</v>
      </c>
      <c r="HY48" s="2253">
        <f t="shared" si="345"/>
        <v>0</v>
      </c>
      <c r="HZ48" s="2253">
        <f t="shared" si="345"/>
        <v>12</v>
      </c>
      <c r="IA48" s="2253">
        <f t="shared" si="345"/>
        <v>36</v>
      </c>
      <c r="IB48" s="2253">
        <f t="shared" si="345"/>
        <v>36</v>
      </c>
      <c r="IC48" s="2253">
        <f t="shared" si="345"/>
        <v>0</v>
      </c>
      <c r="ID48" s="2253">
        <f t="shared" si="345"/>
        <v>0</v>
      </c>
      <c r="IE48" s="2253">
        <f t="shared" si="345"/>
        <v>0</v>
      </c>
      <c r="IF48" s="2253">
        <f t="shared" si="345"/>
        <v>0</v>
      </c>
      <c r="IG48" s="2253">
        <f t="shared" si="345"/>
        <v>0</v>
      </c>
      <c r="IH48" s="2253">
        <f t="shared" si="345"/>
        <v>0</v>
      </c>
      <c r="II48" s="2253">
        <f t="shared" si="345"/>
        <v>0</v>
      </c>
      <c r="IJ48" s="2253">
        <f t="shared" si="345"/>
        <v>0</v>
      </c>
      <c r="IK48" s="2253">
        <f t="shared" si="345"/>
        <v>0</v>
      </c>
      <c r="IL48" s="2253">
        <f t="shared" si="345"/>
        <v>0</v>
      </c>
      <c r="IM48" s="2253">
        <f t="shared" si="345"/>
        <v>0</v>
      </c>
      <c r="IN48" s="2253">
        <f t="shared" si="345"/>
        <v>0</v>
      </c>
      <c r="IO48" s="2253">
        <f t="shared" si="345"/>
        <v>0</v>
      </c>
      <c r="IP48" s="2253">
        <f t="shared" si="345"/>
        <v>0</v>
      </c>
      <c r="IQ48" s="2253">
        <f t="shared" si="345"/>
        <v>0</v>
      </c>
      <c r="IR48" s="2253">
        <f t="shared" si="345"/>
        <v>0</v>
      </c>
      <c r="IS48" s="2253">
        <f t="shared" si="345"/>
        <v>0</v>
      </c>
      <c r="IT48" s="2253">
        <f t="shared" si="345"/>
        <v>0</v>
      </c>
      <c r="IU48" s="2253">
        <f t="shared" si="345"/>
        <v>0</v>
      </c>
      <c r="IV48" s="2253">
        <f t="shared" si="345"/>
        <v>0</v>
      </c>
      <c r="IW48" s="2253">
        <f t="shared" si="345"/>
        <v>0</v>
      </c>
      <c r="IX48" s="2253">
        <f t="shared" si="345"/>
        <v>0</v>
      </c>
      <c r="IY48" s="2253">
        <f t="shared" si="345"/>
        <v>0</v>
      </c>
      <c r="IZ48" s="2253">
        <f t="shared" si="345"/>
        <v>0</v>
      </c>
      <c r="JA48" s="2253">
        <f t="shared" si="345"/>
        <v>0</v>
      </c>
      <c r="JB48" s="2253">
        <f t="shared" si="345"/>
        <v>0</v>
      </c>
      <c r="JC48" s="2253">
        <f t="shared" si="345"/>
        <v>0</v>
      </c>
      <c r="JD48" s="2253">
        <f t="shared" si="345"/>
        <v>0</v>
      </c>
      <c r="JE48" s="2253">
        <f t="shared" si="345"/>
        <v>0</v>
      </c>
      <c r="JF48" s="2253">
        <f t="shared" si="345"/>
        <v>0</v>
      </c>
      <c r="JG48" s="2253">
        <f t="shared" si="345"/>
        <v>0</v>
      </c>
      <c r="JH48" s="2253">
        <f t="shared" si="345"/>
        <v>0</v>
      </c>
      <c r="JI48" s="2253">
        <f t="shared" si="345"/>
        <v>0</v>
      </c>
      <c r="JJ48" s="2253">
        <f t="shared" si="345"/>
        <v>0</v>
      </c>
      <c r="JK48" s="2253">
        <f t="shared" si="345"/>
        <v>0</v>
      </c>
      <c r="JL48" s="2253">
        <f t="shared" si="345"/>
        <v>0</v>
      </c>
      <c r="JM48" s="2253">
        <f t="shared" si="345"/>
        <v>0</v>
      </c>
      <c r="JN48" s="2253">
        <f t="shared" si="345"/>
        <v>0</v>
      </c>
      <c r="JO48" s="2253">
        <f t="shared" si="345"/>
        <v>0</v>
      </c>
      <c r="JP48" s="2253">
        <f t="shared" si="345"/>
        <v>0</v>
      </c>
      <c r="JQ48" s="2253">
        <f t="shared" si="345"/>
        <v>0</v>
      </c>
      <c r="JR48" s="2253">
        <f t="shared" si="345"/>
        <v>0</v>
      </c>
      <c r="JS48" s="2253">
        <f t="shared" si="345"/>
        <v>0</v>
      </c>
      <c r="JT48" s="2253">
        <f t="shared" si="345"/>
        <v>0</v>
      </c>
      <c r="JU48" s="2253">
        <f t="shared" si="345"/>
        <v>0</v>
      </c>
      <c r="JV48" s="2253">
        <f t="shared" si="345"/>
        <v>0</v>
      </c>
      <c r="JW48" s="2253">
        <f t="shared" si="345"/>
        <v>0</v>
      </c>
      <c r="JX48" s="2253">
        <f t="shared" si="345"/>
        <v>0</v>
      </c>
      <c r="JY48" s="2253">
        <f t="shared" si="345"/>
        <v>0</v>
      </c>
      <c r="JZ48" s="2253">
        <f t="shared" si="345"/>
        <v>0</v>
      </c>
      <c r="KA48" s="2253">
        <f t="shared" si="345"/>
        <v>0</v>
      </c>
      <c r="KB48" s="2253">
        <f t="shared" si="345"/>
        <v>0</v>
      </c>
      <c r="KC48" s="2253">
        <f t="shared" si="345"/>
        <v>0</v>
      </c>
      <c r="KD48" s="2253">
        <f t="shared" si="345"/>
        <v>0</v>
      </c>
      <c r="KE48" s="2253">
        <f t="shared" si="345"/>
        <v>0</v>
      </c>
      <c r="KF48" s="2253">
        <f t="shared" si="345"/>
        <v>0</v>
      </c>
      <c r="KG48" s="2253">
        <f t="shared" si="345"/>
        <v>0</v>
      </c>
      <c r="KH48" s="2253">
        <f t="shared" si="345"/>
        <v>0</v>
      </c>
      <c r="KI48" s="2253">
        <f t="shared" ref="KI48:MT48" si="346">SUM(KI10:KI47)</f>
        <v>0</v>
      </c>
      <c r="KJ48" s="2253">
        <f t="shared" si="346"/>
        <v>0</v>
      </c>
      <c r="KK48" s="2253">
        <f t="shared" si="346"/>
        <v>0</v>
      </c>
      <c r="KL48" s="2253">
        <f t="shared" si="346"/>
        <v>0</v>
      </c>
      <c r="KM48" s="2253">
        <f t="shared" si="346"/>
        <v>12</v>
      </c>
      <c r="KN48" s="2253">
        <f t="shared" si="346"/>
        <v>36</v>
      </c>
      <c r="KO48" s="2253">
        <f t="shared" si="346"/>
        <v>36</v>
      </c>
      <c r="KP48" s="2253">
        <f t="shared" si="346"/>
        <v>0</v>
      </c>
      <c r="KQ48" s="2253">
        <f t="shared" si="346"/>
        <v>0</v>
      </c>
      <c r="KR48" s="2253">
        <f t="shared" si="346"/>
        <v>0</v>
      </c>
      <c r="KS48" s="2253">
        <f t="shared" si="346"/>
        <v>0</v>
      </c>
      <c r="KT48" s="2253">
        <f t="shared" si="346"/>
        <v>0</v>
      </c>
      <c r="KU48" s="2253">
        <f t="shared" si="346"/>
        <v>0</v>
      </c>
      <c r="KV48" s="2253">
        <f t="shared" si="346"/>
        <v>0</v>
      </c>
      <c r="KW48" s="2253">
        <f t="shared" si="346"/>
        <v>0</v>
      </c>
      <c r="KX48" s="2253">
        <f t="shared" si="346"/>
        <v>0</v>
      </c>
      <c r="KY48" s="2253">
        <f t="shared" si="346"/>
        <v>0</v>
      </c>
      <c r="KZ48" s="2253">
        <f t="shared" si="346"/>
        <v>0</v>
      </c>
      <c r="LA48" s="2253">
        <f t="shared" si="346"/>
        <v>0</v>
      </c>
      <c r="LB48" s="2253">
        <f t="shared" si="346"/>
        <v>0</v>
      </c>
      <c r="LC48" s="2253">
        <f t="shared" si="346"/>
        <v>0</v>
      </c>
      <c r="LD48" s="2253">
        <f t="shared" si="346"/>
        <v>0</v>
      </c>
      <c r="LE48" s="2253">
        <f t="shared" si="346"/>
        <v>0</v>
      </c>
      <c r="LF48" s="2253">
        <f t="shared" si="346"/>
        <v>0</v>
      </c>
      <c r="LG48" s="2253">
        <f t="shared" si="346"/>
        <v>0</v>
      </c>
      <c r="LH48" s="2253">
        <f t="shared" si="346"/>
        <v>0</v>
      </c>
      <c r="LI48" s="2253">
        <f t="shared" si="346"/>
        <v>0</v>
      </c>
      <c r="LJ48" s="2253">
        <f t="shared" si="346"/>
        <v>0</v>
      </c>
      <c r="LK48" s="2253">
        <f t="shared" si="346"/>
        <v>0</v>
      </c>
      <c r="LL48" s="2253">
        <f t="shared" si="346"/>
        <v>0</v>
      </c>
      <c r="LM48" s="2253">
        <f t="shared" si="346"/>
        <v>0</v>
      </c>
      <c r="LN48" s="2253">
        <f t="shared" si="346"/>
        <v>0</v>
      </c>
      <c r="LO48" s="2253">
        <f t="shared" si="346"/>
        <v>0</v>
      </c>
      <c r="LP48" s="2253">
        <f t="shared" si="346"/>
        <v>0</v>
      </c>
      <c r="LQ48" s="2253">
        <f t="shared" si="346"/>
        <v>0</v>
      </c>
      <c r="LR48" s="2253">
        <f t="shared" si="346"/>
        <v>0</v>
      </c>
      <c r="LS48" s="2253">
        <f t="shared" si="346"/>
        <v>0</v>
      </c>
      <c r="LT48" s="2253">
        <f t="shared" si="346"/>
        <v>0</v>
      </c>
      <c r="LU48" s="2253">
        <f t="shared" si="346"/>
        <v>0</v>
      </c>
      <c r="LV48" s="2253">
        <f t="shared" si="346"/>
        <v>0</v>
      </c>
      <c r="LW48" s="2253">
        <f t="shared" si="346"/>
        <v>0</v>
      </c>
      <c r="LX48" s="2253">
        <f t="shared" si="346"/>
        <v>0</v>
      </c>
      <c r="LY48" s="2253">
        <f t="shared" si="346"/>
        <v>0</v>
      </c>
      <c r="LZ48" s="2253">
        <f t="shared" si="346"/>
        <v>0</v>
      </c>
      <c r="MA48" s="2253">
        <f t="shared" si="346"/>
        <v>0</v>
      </c>
      <c r="MB48" s="2253">
        <f t="shared" si="346"/>
        <v>0</v>
      </c>
      <c r="MC48" s="2253">
        <f t="shared" si="346"/>
        <v>0</v>
      </c>
      <c r="MD48" s="2253">
        <f t="shared" si="346"/>
        <v>0</v>
      </c>
      <c r="ME48" s="2253">
        <f t="shared" si="346"/>
        <v>0</v>
      </c>
      <c r="MF48" s="2253">
        <f t="shared" si="346"/>
        <v>0</v>
      </c>
      <c r="MG48" s="2253">
        <f t="shared" si="346"/>
        <v>0</v>
      </c>
      <c r="MH48" s="2253">
        <f t="shared" si="346"/>
        <v>0</v>
      </c>
      <c r="MI48" s="2253">
        <f t="shared" si="346"/>
        <v>0</v>
      </c>
      <c r="MJ48" s="2253">
        <f t="shared" si="346"/>
        <v>0</v>
      </c>
      <c r="MK48" s="2253">
        <f t="shared" si="346"/>
        <v>12</v>
      </c>
      <c r="ML48" s="2253">
        <f t="shared" si="346"/>
        <v>36</v>
      </c>
      <c r="MM48" s="2253">
        <f t="shared" si="346"/>
        <v>36</v>
      </c>
      <c r="MN48" s="2253">
        <f t="shared" si="346"/>
        <v>0</v>
      </c>
      <c r="MO48" s="2253">
        <f t="shared" si="346"/>
        <v>0</v>
      </c>
      <c r="MP48" s="2253">
        <f t="shared" si="346"/>
        <v>0</v>
      </c>
      <c r="MQ48" s="2253">
        <f t="shared" si="346"/>
        <v>0</v>
      </c>
      <c r="MR48" s="2253">
        <f t="shared" si="346"/>
        <v>0</v>
      </c>
      <c r="MS48" s="2253">
        <f t="shared" si="346"/>
        <v>0</v>
      </c>
      <c r="MT48" s="2253">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93">
        <f>IF(SUM(E17:E47)=0,"",(B17*E17+B18*E18+B19*E19+B20*E20+B21*E21+B22*E22+B23*E23+B24*E24+B25*E25+B26*E26+B27*E27+B28*E28+B29*E29+B30*E30+B31*E31+B32*E32+B33*E33+B34*E34+B35*E35+B36*E36+B37*E37+B38*E38+B39*E39+B40*E40+B41*E41+B42*E42+B43*E43+B44*E44+B45*E45+B46*E46+B47*E47)/SUM(E17:E47))</f>
        <v>57.5</v>
      </c>
      <c r="C49" s="2594"/>
      <c r="D49" s="2285" t="s">
        <v>4614</v>
      </c>
      <c r="E49" s="1972">
        <f>SUM(E17:E47)</f>
        <v>84</v>
      </c>
      <c r="F49" s="1974">
        <f>(E17*F17+E18*F18+E19*F19+E20*F20+E21*F21+E22*F22+E23*F23+E24*F24+E25*F25+E26*F26+E27*F27+E28*F28+E29*F29+E30*F30+E31*F31+E32*F32+E33*F33+E34*F34+E35*F35+E36*F36+E37*F37+E38*F38+E39*F39+E40*F40+E41*F41+E42*F42+E43*F43+E44*F44+E45*F45+E46*F46+E47*F47)</f>
        <v>90300</v>
      </c>
      <c r="G49" s="2570"/>
      <c r="H49" s="3814" t="s">
        <v>4706</v>
      </c>
      <c r="I49" s="1977" t="str">
        <f>IF(O67=0,"",IF(SUM(O56:O62)/O67&gt;=0.2,"Pass","Fail"))</f>
        <v>Pass</v>
      </c>
      <c r="J49" s="571"/>
      <c r="K49" s="138" t="s">
        <v>814</v>
      </c>
      <c r="L49" s="123">
        <f>L48*12</f>
        <v>678168</v>
      </c>
      <c r="M49" s="94"/>
      <c r="N49" s="572"/>
      <c r="O49" s="94"/>
      <c r="P49" s="94"/>
      <c r="Q49" s="94"/>
      <c r="R49" s="94"/>
      <c r="S49" s="94"/>
      <c r="T49" s="94"/>
      <c r="U49" s="94"/>
      <c r="V49" s="574"/>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3"/>
      <c r="BC49" s="2253"/>
      <c r="BD49" s="2253"/>
      <c r="BE49" s="2253"/>
      <c r="BF49" s="2253"/>
      <c r="BG49" s="2253"/>
      <c r="BH49" s="2253"/>
      <c r="BI49" s="2253"/>
      <c r="BJ49" s="2253"/>
      <c r="BK49" s="2253"/>
      <c r="BL49" s="2253"/>
      <c r="BM49" s="2253"/>
      <c r="BN49" s="2253"/>
      <c r="BO49" s="2253"/>
      <c r="BP49" s="2253"/>
      <c r="BQ49" s="2253"/>
      <c r="BR49" s="2253"/>
      <c r="BS49" s="2253"/>
      <c r="BT49" s="2253"/>
      <c r="BU49" s="2253"/>
      <c r="BV49" s="2253"/>
      <c r="BW49" s="2253"/>
      <c r="BX49" s="2253"/>
      <c r="BY49" s="2253"/>
      <c r="BZ49" s="2253"/>
      <c r="CA49" s="2253"/>
      <c r="CB49" s="2253"/>
      <c r="CC49" s="2253"/>
      <c r="CD49" s="2253"/>
      <c r="CE49" s="2253"/>
      <c r="CF49" s="2253"/>
      <c r="CG49" s="2253"/>
      <c r="CH49" s="2253"/>
      <c r="CI49" s="2253"/>
      <c r="CJ49" s="2253"/>
      <c r="CK49" s="2253"/>
      <c r="CL49" s="2253"/>
      <c r="CM49" s="2253"/>
      <c r="CN49" s="2253"/>
      <c r="CO49" s="2253"/>
      <c r="CP49" s="2253"/>
      <c r="CQ49" s="2253"/>
      <c r="CR49" s="2253"/>
      <c r="CS49" s="2253"/>
      <c r="CT49" s="2253"/>
      <c r="CU49" s="2253"/>
      <c r="CV49" s="2253"/>
      <c r="CW49" s="2253"/>
      <c r="CX49" s="2253"/>
      <c r="CY49" s="2253"/>
      <c r="CZ49" s="2253"/>
      <c r="DA49" s="2253"/>
      <c r="DB49" s="2253"/>
      <c r="DC49" s="2253"/>
      <c r="DD49" s="2253"/>
      <c r="DE49" s="2253"/>
      <c r="DF49" s="2253"/>
      <c r="DG49" s="2253"/>
      <c r="DH49" s="2253"/>
      <c r="DI49" s="2253"/>
      <c r="DJ49" s="2253"/>
      <c r="DK49" s="2253"/>
      <c r="DL49" s="2253"/>
      <c r="DM49" s="2253"/>
      <c r="DN49" s="2253"/>
      <c r="DO49" s="2253"/>
      <c r="DP49" s="2253"/>
      <c r="DQ49" s="2253"/>
      <c r="DR49" s="2253"/>
      <c r="DS49" s="2253"/>
      <c r="DT49" s="2253"/>
      <c r="DU49" s="2253"/>
      <c r="DV49" s="2253"/>
      <c r="DW49" s="2253"/>
      <c r="DX49" s="2253"/>
      <c r="DY49" s="2253"/>
      <c r="DZ49" s="2253"/>
      <c r="EA49" s="2253"/>
      <c r="EB49" s="2253"/>
      <c r="EC49" s="2253"/>
      <c r="ED49" s="2253"/>
      <c r="EE49" s="2253"/>
      <c r="EF49" s="2253"/>
      <c r="EG49" s="2253"/>
      <c r="EH49" s="2253"/>
      <c r="EI49" s="2253"/>
      <c r="EJ49" s="2253"/>
      <c r="EK49" s="2253"/>
      <c r="EL49" s="2253"/>
      <c r="EM49" s="2253"/>
      <c r="EN49" s="2253"/>
      <c r="EO49" s="2253"/>
      <c r="EP49" s="2253"/>
      <c r="EQ49" s="2253"/>
      <c r="ER49" s="2253"/>
      <c r="ES49" s="2253"/>
      <c r="ET49" s="2253"/>
      <c r="EU49" s="2253"/>
      <c r="EV49" s="2253"/>
      <c r="EW49" s="2253"/>
      <c r="EX49" s="2253"/>
      <c r="EY49" s="2253"/>
      <c r="EZ49" s="2253"/>
      <c r="FA49" s="2253"/>
      <c r="FB49" s="2253"/>
      <c r="FC49" s="2253"/>
      <c r="FD49" s="2253"/>
      <c r="FE49" s="2253"/>
      <c r="FF49" s="2253"/>
      <c r="FG49" s="2253"/>
      <c r="FH49" s="2253"/>
      <c r="FI49" s="2253"/>
      <c r="FJ49" s="2253"/>
      <c r="FK49" s="2253"/>
      <c r="FL49" s="2253"/>
      <c r="FM49" s="2253"/>
      <c r="FN49" s="2253"/>
      <c r="FO49" s="2253"/>
      <c r="FP49" s="2253"/>
      <c r="FQ49" s="2253"/>
      <c r="FR49" s="2253"/>
      <c r="FS49" s="2253"/>
      <c r="FT49" s="2253"/>
      <c r="FU49" s="2253"/>
      <c r="FV49" s="2253"/>
      <c r="FW49" s="2253"/>
      <c r="FX49" s="2253"/>
      <c r="FY49" s="2253"/>
      <c r="FZ49" s="2253"/>
      <c r="GA49" s="2253"/>
      <c r="GB49" s="2253"/>
      <c r="GC49" s="2253"/>
      <c r="GD49" s="2253"/>
      <c r="GE49" s="2253"/>
      <c r="GF49" s="2253"/>
      <c r="GG49" s="2253"/>
      <c r="GH49" s="2253"/>
      <c r="GI49" s="2253"/>
      <c r="GJ49" s="2253"/>
      <c r="GK49" s="2253"/>
      <c r="GL49" s="2253"/>
      <c r="GM49" s="2253"/>
      <c r="GN49" s="2253"/>
      <c r="GO49" s="2253"/>
      <c r="GP49" s="2253"/>
      <c r="GQ49" s="2253"/>
      <c r="GR49" s="2253"/>
      <c r="GS49" s="2253"/>
      <c r="GT49" s="2253"/>
      <c r="GU49" s="2253"/>
      <c r="GV49" s="2253"/>
      <c r="GW49" s="2253"/>
      <c r="GX49" s="2253"/>
      <c r="GY49" s="2253"/>
      <c r="GZ49" s="2253"/>
      <c r="HA49" s="2253"/>
      <c r="HB49" s="2253"/>
      <c r="HC49" s="2253"/>
      <c r="HD49" s="2253"/>
      <c r="HE49" s="2253"/>
      <c r="HF49" s="2253"/>
      <c r="HG49" s="2253"/>
      <c r="HH49" s="2253"/>
      <c r="HI49" s="2253"/>
      <c r="HJ49" s="2253"/>
      <c r="HK49" s="2253"/>
      <c r="HL49" s="2253"/>
      <c r="HM49" s="2253"/>
      <c r="HN49" s="2253"/>
      <c r="HO49" s="2253"/>
      <c r="HP49" s="2253"/>
      <c r="HQ49" s="2253"/>
      <c r="HR49" s="2253"/>
      <c r="HS49" s="2253"/>
      <c r="HT49" s="2253"/>
      <c r="HU49" s="2253"/>
      <c r="HV49" s="2253"/>
      <c r="HW49" s="2253"/>
      <c r="HX49" s="2253"/>
      <c r="HY49" s="2253"/>
      <c r="HZ49" s="2253"/>
      <c r="IA49" s="2253"/>
      <c r="IB49" s="2253"/>
      <c r="IC49" s="2253"/>
      <c r="ID49" s="2253"/>
      <c r="IE49" s="2253"/>
      <c r="IF49" s="2253"/>
      <c r="IG49" s="2253"/>
      <c r="IH49" s="2253"/>
      <c r="II49" s="2253"/>
      <c r="IJ49" s="2253"/>
      <c r="IK49" s="2253"/>
      <c r="IL49" s="2253"/>
      <c r="IM49" s="2253"/>
      <c r="IN49" s="2253"/>
      <c r="IO49" s="2253"/>
      <c r="IP49" s="2253"/>
      <c r="IQ49" s="2253"/>
      <c r="IR49" s="2253"/>
      <c r="IS49" s="2253"/>
      <c r="IT49" s="2253"/>
      <c r="IU49" s="2253"/>
      <c r="IV49" s="2253"/>
      <c r="IW49" s="2253"/>
      <c r="IX49" s="2253"/>
      <c r="IY49" s="2253"/>
      <c r="IZ49" s="2253"/>
      <c r="JA49" s="2253"/>
      <c r="JB49" s="2253"/>
      <c r="JC49" s="2253"/>
      <c r="JD49" s="2253"/>
      <c r="JE49" s="2253"/>
      <c r="JF49" s="2253"/>
      <c r="JG49" s="2253"/>
      <c r="JH49" s="2253"/>
      <c r="JI49" s="2253"/>
      <c r="JJ49" s="2253"/>
      <c r="JK49" s="2253"/>
      <c r="JL49" s="2253"/>
      <c r="JM49" s="2253"/>
      <c r="JN49" s="2253"/>
      <c r="JO49" s="2253"/>
      <c r="JP49" s="2253"/>
      <c r="JQ49" s="2253"/>
      <c r="JR49" s="2253"/>
      <c r="JS49" s="2253"/>
      <c r="JT49" s="2253"/>
      <c r="JU49" s="2253"/>
      <c r="JV49" s="2253"/>
      <c r="JW49" s="2253"/>
      <c r="JX49" s="2253"/>
      <c r="JY49" s="2253"/>
      <c r="JZ49" s="2253"/>
      <c r="KA49" s="2253"/>
      <c r="KB49" s="2253"/>
      <c r="KC49" s="2253"/>
      <c r="KD49" s="2253"/>
      <c r="KE49" s="2253"/>
      <c r="KF49" s="2253"/>
      <c r="KG49" s="2253"/>
      <c r="KH49" s="2253"/>
      <c r="KI49" s="2253"/>
      <c r="KJ49" s="2253"/>
      <c r="KK49" s="2253"/>
      <c r="KL49" s="2253"/>
      <c r="KM49" s="2253"/>
      <c r="KN49" s="2253"/>
      <c r="KO49" s="2253"/>
      <c r="KP49" s="2253"/>
      <c r="KQ49" s="2253"/>
      <c r="KR49" s="2253"/>
      <c r="KS49" s="2253"/>
      <c r="KT49" s="2253"/>
      <c r="KU49" s="2253"/>
      <c r="KV49" s="2253"/>
      <c r="KW49" s="2253"/>
      <c r="KX49" s="2253"/>
      <c r="KY49" s="2253"/>
      <c r="KZ49" s="2253"/>
      <c r="LA49" s="2253"/>
      <c r="LB49" s="2253"/>
      <c r="LC49" s="2253"/>
      <c r="LD49" s="2253"/>
      <c r="LE49" s="2253"/>
      <c r="LF49" s="2253"/>
      <c r="LG49" s="2253"/>
      <c r="LH49" s="2253"/>
      <c r="LI49" s="2253"/>
      <c r="LJ49" s="2253"/>
      <c r="LK49" s="2253"/>
      <c r="LL49" s="2253"/>
      <c r="LM49" s="2253"/>
      <c r="LN49" s="2253"/>
      <c r="LO49" s="2253"/>
      <c r="LP49" s="2253"/>
      <c r="LQ49" s="2253"/>
      <c r="LR49" s="2253"/>
      <c r="LS49" s="2253"/>
      <c r="LT49" s="2253"/>
      <c r="LU49" s="2253"/>
      <c r="LV49" s="2253"/>
      <c r="LW49" s="2253"/>
      <c r="LX49" s="2253"/>
      <c r="LY49" s="2253"/>
      <c r="LZ49" s="2253"/>
      <c r="MA49" s="2253"/>
      <c r="MB49" s="2253"/>
      <c r="MC49" s="2253"/>
      <c r="MD49" s="2253"/>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3"/>
      <c r="BC50" s="2253"/>
      <c r="BD50" s="2253"/>
      <c r="BE50" s="2253"/>
      <c r="BF50" s="2253"/>
      <c r="BG50" s="2253"/>
      <c r="BH50" s="2253"/>
      <c r="BI50" s="2253"/>
      <c r="BJ50" s="2253"/>
      <c r="BK50" s="2253"/>
      <c r="BL50" s="2253"/>
      <c r="BM50" s="2253"/>
      <c r="BN50" s="2253"/>
      <c r="BO50" s="2253"/>
      <c r="BP50" s="2253"/>
      <c r="BQ50" s="2253"/>
      <c r="BR50" s="2253"/>
      <c r="BS50" s="2253"/>
      <c r="BT50" s="2253"/>
      <c r="BU50" s="2253"/>
      <c r="BV50" s="2253"/>
      <c r="BW50" s="2253"/>
      <c r="BX50" s="2253"/>
      <c r="BY50" s="2253"/>
      <c r="BZ50" s="2253"/>
      <c r="CA50" s="2253"/>
      <c r="CB50" s="2253"/>
      <c r="CC50" s="2253"/>
      <c r="CD50" s="2253"/>
      <c r="CE50" s="2253"/>
      <c r="CF50" s="2253"/>
      <c r="CG50" s="2253"/>
      <c r="CH50" s="2253"/>
      <c r="CI50" s="2253"/>
      <c r="CJ50" s="2253"/>
      <c r="CK50" s="2253"/>
      <c r="CL50" s="2253"/>
      <c r="CM50" s="2253"/>
      <c r="CN50" s="2253"/>
      <c r="CO50" s="2253"/>
      <c r="CP50" s="2253"/>
      <c r="CQ50" s="2253"/>
      <c r="CR50" s="2253"/>
      <c r="CS50" s="2253"/>
      <c r="CT50" s="2253"/>
      <c r="CU50" s="2253"/>
      <c r="CV50" s="2253"/>
      <c r="CW50" s="2253"/>
      <c r="CX50" s="2253"/>
      <c r="CY50" s="2253"/>
      <c r="CZ50" s="2253"/>
      <c r="DA50" s="2253"/>
      <c r="DB50" s="2253"/>
      <c r="DC50" s="2253"/>
      <c r="DD50" s="2253"/>
      <c r="DE50" s="2253"/>
      <c r="DF50" s="2253"/>
      <c r="DG50" s="2253"/>
      <c r="DH50" s="2253"/>
      <c r="DI50" s="2253"/>
      <c r="DJ50" s="2253"/>
      <c r="DK50" s="2253"/>
      <c r="DL50" s="2253"/>
      <c r="DM50" s="2253"/>
      <c r="DN50" s="2253"/>
      <c r="DO50" s="2253"/>
      <c r="DP50" s="2253"/>
      <c r="DQ50" s="2253"/>
      <c r="DR50" s="2253"/>
      <c r="DS50" s="2253"/>
      <c r="DT50" s="2253"/>
      <c r="DU50" s="2253"/>
      <c r="DV50" s="2253"/>
      <c r="DW50" s="2253"/>
      <c r="DX50" s="2253"/>
      <c r="DY50" s="2253"/>
      <c r="DZ50" s="2253"/>
      <c r="EA50" s="2253"/>
      <c r="EB50" s="2253"/>
      <c r="EC50" s="2253"/>
      <c r="ED50" s="2253"/>
      <c r="EE50" s="2253"/>
      <c r="EF50" s="2253"/>
      <c r="EG50" s="2253"/>
      <c r="EH50" s="2253"/>
      <c r="EI50" s="2253"/>
      <c r="EJ50" s="2253"/>
      <c r="EK50" s="2253"/>
      <c r="EL50" s="2253"/>
      <c r="EM50" s="2253"/>
      <c r="EN50" s="2253"/>
      <c r="EO50" s="2253"/>
      <c r="EP50" s="2253"/>
      <c r="EQ50" s="2253"/>
      <c r="ER50" s="2253"/>
      <c r="ES50" s="2253"/>
      <c r="ET50" s="2253"/>
      <c r="EU50" s="2253"/>
      <c r="EV50" s="2253"/>
      <c r="EW50" s="2253"/>
      <c r="EX50" s="2253"/>
      <c r="EY50" s="2253"/>
      <c r="EZ50" s="2253"/>
      <c r="FA50" s="2253"/>
      <c r="FB50" s="2253"/>
      <c r="FC50" s="2253"/>
      <c r="FD50" s="2253"/>
      <c r="FE50" s="2253"/>
      <c r="FF50" s="2253"/>
      <c r="FG50" s="2253"/>
      <c r="FH50" s="2253"/>
      <c r="FI50" s="2253"/>
      <c r="FJ50" s="2253"/>
      <c r="FK50" s="2253"/>
      <c r="FL50" s="2253"/>
      <c r="FM50" s="2253"/>
      <c r="FN50" s="2253"/>
      <c r="FO50" s="2253"/>
      <c r="FP50" s="2253"/>
      <c r="FQ50" s="2253"/>
      <c r="FR50" s="2253"/>
      <c r="FS50" s="2253"/>
      <c r="FT50" s="2253"/>
      <c r="FU50" s="2253"/>
      <c r="FV50" s="2253"/>
      <c r="FW50" s="2253"/>
      <c r="FX50" s="2253"/>
      <c r="FY50" s="2253"/>
      <c r="FZ50" s="2253"/>
      <c r="GA50" s="2253"/>
      <c r="GB50" s="2253"/>
      <c r="GC50" s="2253"/>
      <c r="GD50" s="2253"/>
      <c r="GE50" s="2253"/>
      <c r="GF50" s="2253"/>
      <c r="GG50" s="2253"/>
      <c r="GH50" s="2253"/>
      <c r="GI50" s="2253"/>
      <c r="GJ50" s="2253"/>
      <c r="GK50" s="2253"/>
      <c r="GL50" s="2253"/>
      <c r="GM50" s="2253"/>
      <c r="GN50" s="2253"/>
      <c r="GO50" s="2253"/>
      <c r="GP50" s="2253"/>
      <c r="GQ50" s="2253"/>
      <c r="GR50" s="2253"/>
      <c r="GS50" s="2253"/>
      <c r="GT50" s="2253"/>
      <c r="GU50" s="2253"/>
      <c r="GV50" s="2253"/>
      <c r="GW50" s="2253"/>
      <c r="GX50" s="2253"/>
      <c r="GY50" s="2253"/>
      <c r="GZ50" s="2253"/>
      <c r="HA50" s="2253"/>
      <c r="HB50" s="2253"/>
      <c r="HC50" s="2253"/>
      <c r="HD50" s="2253"/>
      <c r="HE50" s="2253"/>
      <c r="HF50" s="2253"/>
      <c r="HG50" s="2253"/>
      <c r="HH50" s="2253"/>
      <c r="HI50" s="2253"/>
      <c r="HJ50" s="2253"/>
      <c r="HK50" s="2253"/>
      <c r="HL50" s="2253"/>
      <c r="HM50" s="2253"/>
      <c r="HN50" s="2253"/>
      <c r="HO50" s="2253"/>
      <c r="HP50" s="2253"/>
      <c r="HQ50" s="2253"/>
      <c r="HR50" s="2253"/>
      <c r="HS50" s="2253"/>
      <c r="HT50" s="2253"/>
      <c r="HU50" s="2253"/>
      <c r="HV50" s="2253"/>
      <c r="HW50" s="2253"/>
      <c r="HX50" s="2253"/>
      <c r="HY50" s="2253"/>
      <c r="HZ50" s="2253"/>
      <c r="IA50" s="2253"/>
      <c r="IB50" s="2253"/>
      <c r="IC50" s="2253"/>
      <c r="ID50" s="2253"/>
      <c r="IE50" s="2253"/>
      <c r="IF50" s="2253"/>
      <c r="IG50" s="2253"/>
      <c r="IH50" s="2253"/>
      <c r="II50" s="2253"/>
      <c r="IJ50" s="2253"/>
      <c r="IK50" s="2253"/>
      <c r="IL50" s="2253"/>
      <c r="IM50" s="2253"/>
      <c r="IN50" s="2253"/>
      <c r="IO50" s="2253"/>
      <c r="IP50" s="2253"/>
      <c r="IQ50" s="2253"/>
      <c r="IR50" s="2253"/>
      <c r="IS50" s="2253"/>
      <c r="IT50" s="2253"/>
      <c r="IU50" s="2253"/>
      <c r="IV50" s="2253"/>
      <c r="IW50" s="2253"/>
      <c r="IX50" s="2253"/>
      <c r="IY50" s="2253"/>
      <c r="IZ50" s="2253"/>
      <c r="JA50" s="2253"/>
      <c r="JB50" s="2253"/>
      <c r="JC50" s="2253"/>
      <c r="JD50" s="2253"/>
      <c r="JE50" s="2253"/>
      <c r="JF50" s="2253"/>
      <c r="JG50" s="2253"/>
      <c r="JH50" s="2253"/>
      <c r="JI50" s="2253"/>
      <c r="JJ50" s="2253"/>
      <c r="JK50" s="2253"/>
      <c r="JL50" s="2253"/>
      <c r="JM50" s="2253"/>
      <c r="JN50" s="2253"/>
      <c r="JO50" s="2253"/>
      <c r="JP50" s="2253"/>
      <c r="JQ50" s="2253"/>
      <c r="JR50" s="2253"/>
      <c r="JS50" s="2253"/>
      <c r="JT50" s="2253"/>
      <c r="JU50" s="2253"/>
      <c r="JV50" s="2253"/>
      <c r="JW50" s="2253"/>
      <c r="JX50" s="2253"/>
      <c r="JY50" s="2253"/>
      <c r="JZ50" s="2253"/>
      <c r="KA50" s="2253"/>
      <c r="KB50" s="2253"/>
      <c r="KC50" s="2253"/>
      <c r="KD50" s="2253"/>
      <c r="KE50" s="2253"/>
      <c r="KF50" s="2253"/>
      <c r="KG50" s="2253"/>
      <c r="KH50" s="2253"/>
      <c r="KI50" s="2253"/>
      <c r="KJ50" s="2253"/>
      <c r="KK50" s="2253"/>
      <c r="KL50" s="2253"/>
      <c r="KM50" s="2253"/>
      <c r="KN50" s="2253"/>
      <c r="KO50" s="2253"/>
      <c r="KP50" s="2253"/>
      <c r="KQ50" s="2253"/>
      <c r="KR50" s="2253"/>
      <c r="KS50" s="2253"/>
      <c r="KT50" s="2253"/>
      <c r="KU50" s="2253"/>
      <c r="KV50" s="2253"/>
      <c r="KW50" s="2253"/>
      <c r="KX50" s="2253"/>
      <c r="KY50" s="2253"/>
      <c r="KZ50" s="2253"/>
      <c r="LA50" s="2253"/>
      <c r="LB50" s="2253"/>
      <c r="LC50" s="2253"/>
      <c r="LD50" s="2253"/>
      <c r="LE50" s="2253"/>
      <c r="LF50" s="2253"/>
      <c r="LG50" s="2253"/>
      <c r="LH50" s="2253"/>
      <c r="LI50" s="2253"/>
      <c r="LJ50" s="2253"/>
      <c r="LK50" s="2253"/>
      <c r="LL50" s="2253"/>
      <c r="LM50" s="2253"/>
      <c r="LN50" s="2253"/>
      <c r="LO50" s="2253"/>
      <c r="LP50" s="2253"/>
      <c r="LQ50" s="2253"/>
      <c r="LR50" s="2253"/>
      <c r="LS50" s="2253"/>
      <c r="LT50" s="2253"/>
      <c r="LU50" s="2253"/>
      <c r="LV50" s="2253"/>
      <c r="LW50" s="2253"/>
      <c r="LX50" s="2253"/>
      <c r="LY50" s="2253"/>
      <c r="LZ50" s="2253"/>
      <c r="MA50" s="2253"/>
      <c r="MB50" s="2253"/>
      <c r="MC50" s="2253"/>
      <c r="MD50" s="2253"/>
    </row>
    <row r="51" spans="1:393" ht="12" customHeight="1">
      <c r="A51" s="2590" t="s">
        <v>2622</v>
      </c>
      <c r="B51" s="3815"/>
      <c r="C51" s="3815"/>
      <c r="D51" s="3815"/>
      <c r="E51" s="3815"/>
      <c r="F51" s="3815"/>
      <c r="G51" s="3815"/>
      <c r="H51" s="3815"/>
      <c r="I51" s="3815"/>
      <c r="J51" s="3815"/>
      <c r="K51" s="3815"/>
      <c r="L51" s="3815"/>
      <c r="M51" s="3815"/>
      <c r="N51" s="3815"/>
      <c r="O51" s="3815"/>
      <c r="P51" s="3815"/>
      <c r="Q51" s="3816"/>
      <c r="R51" s="90"/>
      <c r="S51" s="90"/>
      <c r="T51" s="90"/>
      <c r="U51" s="90"/>
      <c r="V51" s="291"/>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c r="AS51" s="2253"/>
      <c r="AT51" s="2253"/>
      <c r="AU51" s="2253"/>
      <c r="AV51" s="2253"/>
      <c r="AW51" s="2253"/>
      <c r="AX51" s="2253"/>
      <c r="AY51" s="2253"/>
      <c r="AZ51" s="2253"/>
      <c r="BA51" s="2253"/>
      <c r="BB51" s="2253"/>
      <c r="BC51" s="2253"/>
      <c r="BD51" s="2253"/>
      <c r="BE51" s="2253"/>
      <c r="BF51" s="2253"/>
      <c r="BG51" s="2253"/>
      <c r="BH51" s="2253"/>
      <c r="BI51" s="2253"/>
      <c r="BJ51" s="2253"/>
      <c r="BK51" s="2253"/>
      <c r="BL51" s="2253"/>
      <c r="BM51" s="2253"/>
      <c r="BN51" s="2253"/>
      <c r="BO51" s="2253"/>
      <c r="BP51" s="2253"/>
      <c r="BQ51" s="2253"/>
      <c r="BR51" s="2253"/>
      <c r="BS51" s="2253"/>
      <c r="BT51" s="2253"/>
      <c r="BU51" s="2253"/>
      <c r="BV51" s="2253"/>
      <c r="BW51" s="2253"/>
      <c r="BX51" s="2253"/>
      <c r="BY51" s="2253"/>
      <c r="BZ51" s="2253"/>
      <c r="CA51" s="2253"/>
      <c r="CB51" s="2253"/>
      <c r="CC51" s="2253"/>
      <c r="CD51" s="2253"/>
      <c r="CE51" s="2253"/>
      <c r="CF51" s="2253"/>
      <c r="CG51" s="2253"/>
      <c r="CH51" s="2253"/>
      <c r="CI51" s="2253"/>
      <c r="CJ51" s="2253"/>
      <c r="CK51" s="2253"/>
      <c r="CL51" s="2253"/>
      <c r="CM51" s="2253"/>
      <c r="CN51" s="2253"/>
      <c r="CO51" s="2253"/>
      <c r="CP51" s="2253"/>
      <c r="CQ51" s="2253"/>
      <c r="CR51" s="2253"/>
      <c r="CS51" s="2253"/>
      <c r="CT51" s="2253"/>
      <c r="CU51" s="2253"/>
      <c r="CV51" s="2253"/>
      <c r="CW51" s="2253"/>
      <c r="CX51" s="2253"/>
      <c r="CY51" s="2253"/>
      <c r="CZ51" s="2253"/>
      <c r="DA51" s="2253"/>
      <c r="DB51" s="2253"/>
      <c r="DC51" s="2253"/>
      <c r="DD51" s="2253"/>
      <c r="DE51" s="2253"/>
      <c r="DF51" s="2253"/>
      <c r="DG51" s="2253"/>
      <c r="DH51" s="2253"/>
      <c r="DI51" s="2253"/>
      <c r="DJ51" s="2253"/>
      <c r="DK51" s="2253"/>
      <c r="DL51" s="2253"/>
      <c r="DM51" s="2253"/>
      <c r="DN51" s="2253"/>
      <c r="DO51" s="2253"/>
      <c r="DP51" s="2253"/>
      <c r="DQ51" s="2253"/>
      <c r="DR51" s="2253"/>
      <c r="DS51" s="2253"/>
      <c r="DT51" s="2253"/>
      <c r="DU51" s="2253"/>
      <c r="DV51" s="2253"/>
      <c r="DW51" s="2253"/>
      <c r="DX51" s="2253"/>
      <c r="DY51" s="2253"/>
      <c r="DZ51" s="2253"/>
      <c r="EA51" s="2253"/>
      <c r="EB51" s="2253"/>
      <c r="EC51" s="2253"/>
      <c r="ED51" s="2253"/>
      <c r="EE51" s="2253"/>
      <c r="EF51" s="2253"/>
      <c r="EG51" s="2253"/>
      <c r="EH51" s="2253"/>
      <c r="EI51" s="2253"/>
      <c r="EJ51" s="2253"/>
      <c r="EK51" s="2253"/>
      <c r="EL51" s="2253"/>
      <c r="EM51" s="2253"/>
      <c r="EN51" s="2253"/>
      <c r="EO51" s="2253"/>
      <c r="EP51" s="2253"/>
      <c r="EQ51" s="2253"/>
      <c r="ER51" s="2253"/>
      <c r="ES51" s="2253"/>
      <c r="ET51" s="2253"/>
      <c r="EU51" s="2253"/>
      <c r="EV51" s="2253"/>
      <c r="EW51" s="2253"/>
      <c r="EX51" s="2253"/>
      <c r="EY51" s="2253"/>
      <c r="EZ51" s="2253"/>
      <c r="FA51" s="2253"/>
      <c r="FB51" s="2253"/>
      <c r="FC51" s="2253"/>
      <c r="FD51" s="2253"/>
      <c r="FE51" s="2253"/>
      <c r="FF51" s="2253"/>
      <c r="FG51" s="2253"/>
      <c r="FH51" s="2253"/>
      <c r="FI51" s="2253"/>
      <c r="FJ51" s="2253"/>
      <c r="FK51" s="2253"/>
      <c r="FL51" s="2253"/>
      <c r="FM51" s="2253"/>
      <c r="FN51" s="2253"/>
      <c r="FO51" s="2253"/>
      <c r="FP51" s="2253"/>
      <c r="FQ51" s="2253"/>
      <c r="FR51" s="2253"/>
      <c r="FS51" s="2253"/>
      <c r="FT51" s="2253"/>
      <c r="FU51" s="2253"/>
      <c r="FV51" s="2253"/>
      <c r="FW51" s="2253"/>
      <c r="FX51" s="2253"/>
      <c r="FY51" s="2253"/>
      <c r="FZ51" s="2253"/>
      <c r="GA51" s="2253"/>
      <c r="GB51" s="2253"/>
      <c r="GC51" s="2253"/>
      <c r="GD51" s="2253"/>
      <c r="GE51" s="2253"/>
      <c r="GF51" s="2253"/>
      <c r="GG51" s="2253"/>
      <c r="GH51" s="2253"/>
      <c r="GI51" s="2253"/>
      <c r="GJ51" s="2253"/>
      <c r="GK51" s="2253"/>
      <c r="GL51" s="2253"/>
      <c r="GM51" s="2253"/>
      <c r="GN51" s="2253"/>
      <c r="GO51" s="2253"/>
      <c r="GP51" s="2253"/>
      <c r="GQ51" s="2253"/>
      <c r="GR51" s="2253"/>
      <c r="GS51" s="2253"/>
      <c r="GT51" s="2253"/>
      <c r="GU51" s="2253"/>
      <c r="GV51" s="2253"/>
      <c r="GW51" s="2253"/>
      <c r="GX51" s="2253"/>
      <c r="GY51" s="2253"/>
      <c r="GZ51" s="2253"/>
      <c r="HA51" s="2253"/>
      <c r="HB51" s="2253"/>
      <c r="HC51" s="2253"/>
      <c r="HD51" s="2253"/>
      <c r="HE51" s="2253"/>
      <c r="HF51" s="2253"/>
      <c r="HG51" s="2253"/>
      <c r="HH51" s="2253"/>
      <c r="HI51" s="2253"/>
      <c r="HJ51" s="2253"/>
      <c r="HK51" s="2253"/>
      <c r="HL51" s="2253"/>
      <c r="HM51" s="2253"/>
      <c r="HN51" s="2253"/>
      <c r="HO51" s="2253"/>
      <c r="HP51" s="2253"/>
      <c r="HQ51" s="2253"/>
      <c r="HR51" s="2253"/>
      <c r="HS51" s="2253"/>
      <c r="HT51" s="2253"/>
      <c r="HU51" s="2253"/>
      <c r="HV51" s="2253"/>
      <c r="HW51" s="2253"/>
      <c r="HX51" s="2253"/>
      <c r="HY51" s="2253"/>
      <c r="HZ51" s="2253"/>
      <c r="IA51" s="2253"/>
      <c r="IB51" s="2253"/>
      <c r="IC51" s="2253"/>
      <c r="ID51" s="2253"/>
      <c r="IE51" s="2253"/>
      <c r="IF51" s="2253"/>
      <c r="IG51" s="2253"/>
      <c r="IH51" s="2253"/>
      <c r="II51" s="2253"/>
      <c r="IJ51" s="2253"/>
      <c r="IK51" s="2253"/>
      <c r="IL51" s="2253"/>
      <c r="IM51" s="2253"/>
      <c r="IN51" s="2253"/>
      <c r="IO51" s="2253"/>
      <c r="IP51" s="2253"/>
      <c r="IQ51" s="2253"/>
      <c r="IR51" s="2253"/>
      <c r="IS51" s="2253"/>
      <c r="IT51" s="2253"/>
      <c r="IU51" s="2253"/>
      <c r="IV51" s="2253"/>
      <c r="IW51" s="2253"/>
      <c r="IX51" s="2253"/>
      <c r="IY51" s="2253"/>
      <c r="IZ51" s="2253"/>
      <c r="JA51" s="2253"/>
      <c r="JB51" s="2253"/>
      <c r="JC51" s="2253"/>
      <c r="JD51" s="2253"/>
      <c r="JE51" s="2253"/>
      <c r="JF51" s="2253"/>
      <c r="JG51" s="2253"/>
      <c r="JH51" s="2253"/>
      <c r="JI51" s="2253"/>
      <c r="JJ51" s="2253"/>
      <c r="JK51" s="2253"/>
      <c r="JL51" s="2253"/>
      <c r="JM51" s="2253"/>
      <c r="JN51" s="2253"/>
      <c r="JO51" s="2253"/>
      <c r="JP51" s="2253"/>
      <c r="JQ51" s="2253"/>
      <c r="JR51" s="2253"/>
      <c r="JS51" s="2253"/>
      <c r="JT51" s="2253"/>
      <c r="JU51" s="2253"/>
      <c r="JV51" s="2253"/>
      <c r="JW51" s="2253"/>
      <c r="JX51" s="2253"/>
      <c r="JY51" s="2253"/>
      <c r="JZ51" s="2253"/>
      <c r="KA51" s="2253"/>
      <c r="KB51" s="2253"/>
      <c r="KC51" s="2253"/>
      <c r="KD51" s="2253"/>
      <c r="KE51" s="2253"/>
      <c r="KF51" s="2253"/>
      <c r="KG51" s="2253"/>
      <c r="KH51" s="2253"/>
      <c r="KI51" s="2253"/>
      <c r="KJ51" s="2253"/>
      <c r="KK51" s="2253"/>
      <c r="KL51" s="2253"/>
      <c r="KM51" s="2253"/>
      <c r="KN51" s="2253"/>
      <c r="KO51" s="2253"/>
      <c r="KP51" s="2253"/>
      <c r="KQ51" s="2253"/>
      <c r="KR51" s="2253"/>
      <c r="KS51" s="2253"/>
      <c r="KT51" s="2253"/>
      <c r="KU51" s="2253"/>
      <c r="KV51" s="2253"/>
      <c r="KW51" s="2253"/>
      <c r="KX51" s="2253"/>
      <c r="KY51" s="2253"/>
      <c r="KZ51" s="2253"/>
      <c r="LA51" s="2253"/>
      <c r="LB51" s="2253"/>
      <c r="LC51" s="2253"/>
      <c r="LD51" s="2253"/>
      <c r="LE51" s="2253"/>
      <c r="LF51" s="2253"/>
      <c r="LG51" s="2253"/>
      <c r="LH51" s="2253"/>
      <c r="LI51" s="2253"/>
      <c r="LJ51" s="2253"/>
      <c r="LK51" s="2253"/>
      <c r="LL51" s="2253"/>
      <c r="LM51" s="2253"/>
      <c r="LN51" s="2253"/>
      <c r="LO51" s="2253"/>
      <c r="LP51" s="2253"/>
      <c r="LQ51" s="2253"/>
      <c r="LR51" s="2253"/>
      <c r="LS51" s="2253"/>
      <c r="LT51" s="2253"/>
      <c r="LU51" s="2253"/>
      <c r="LV51" s="2253"/>
      <c r="LW51" s="2253"/>
      <c r="LX51" s="2253"/>
      <c r="LY51" s="2253"/>
      <c r="LZ51" s="2253"/>
      <c r="MA51" s="2253"/>
      <c r="MB51" s="2253"/>
      <c r="MC51" s="2253"/>
      <c r="MD51" s="2253"/>
    </row>
    <row r="52" spans="1:393" ht="12" customHeight="1" thickBot="1">
      <c r="A52" s="3815"/>
      <c r="B52" s="3815"/>
      <c r="C52" s="3815"/>
      <c r="D52" s="3815"/>
      <c r="E52" s="3815"/>
      <c r="F52" s="3815"/>
      <c r="G52" s="3815"/>
      <c r="H52" s="3815"/>
      <c r="I52" s="3815"/>
      <c r="J52" s="3815"/>
      <c r="K52" s="3815"/>
      <c r="L52" s="3815"/>
      <c r="M52" s="3815"/>
      <c r="N52" s="3815"/>
      <c r="O52" s="3815"/>
      <c r="P52" s="3815"/>
      <c r="Q52" s="3816"/>
      <c r="R52" s="90"/>
      <c r="S52" s="90"/>
      <c r="T52" s="90"/>
      <c r="U52" s="90"/>
      <c r="V52" s="291"/>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c r="AS52" s="2253"/>
      <c r="AT52" s="2253"/>
      <c r="AU52" s="2253"/>
      <c r="AV52" s="2253"/>
      <c r="AW52" s="2253"/>
      <c r="AX52" s="2253"/>
      <c r="AY52" s="2253"/>
      <c r="AZ52" s="2253"/>
      <c r="BA52" s="2253"/>
      <c r="BB52" s="2253"/>
      <c r="BC52" s="2253"/>
      <c r="BD52" s="2253"/>
      <c r="BE52" s="2253"/>
      <c r="BF52" s="2253"/>
      <c r="BG52" s="2253"/>
      <c r="BH52" s="2253"/>
      <c r="BI52" s="2253"/>
      <c r="BJ52" s="2253"/>
      <c r="BK52" s="2253"/>
      <c r="BL52" s="2253"/>
      <c r="BM52" s="2253"/>
      <c r="BN52" s="2253"/>
      <c r="BO52" s="2253"/>
      <c r="BP52" s="2253"/>
      <c r="BQ52" s="2253"/>
      <c r="BR52" s="2253"/>
      <c r="BS52" s="2253"/>
      <c r="BT52" s="2253"/>
      <c r="BU52" s="2253"/>
      <c r="BV52" s="2253"/>
      <c r="BW52" s="2253"/>
      <c r="BX52" s="2253"/>
      <c r="BY52" s="2253"/>
      <c r="BZ52" s="2253"/>
      <c r="CA52" s="2253"/>
      <c r="CB52" s="2253"/>
      <c r="CC52" s="2253"/>
      <c r="CD52" s="2253"/>
      <c r="CE52" s="2253"/>
      <c r="CF52" s="2253"/>
      <c r="CG52" s="2253"/>
      <c r="CH52" s="2253"/>
      <c r="CI52" s="2253"/>
      <c r="CJ52" s="2253"/>
      <c r="CK52" s="2253"/>
      <c r="CL52" s="2253"/>
      <c r="CM52" s="2253"/>
      <c r="CN52" s="2253"/>
      <c r="CO52" s="2253"/>
      <c r="CP52" s="2253"/>
      <c r="CQ52" s="2253"/>
      <c r="CR52" s="2253"/>
      <c r="CS52" s="2253"/>
      <c r="CT52" s="2253"/>
      <c r="CU52" s="2253"/>
      <c r="CV52" s="2253"/>
      <c r="CW52" s="2253"/>
      <c r="CX52" s="2253"/>
      <c r="CY52" s="2253"/>
      <c r="CZ52" s="2253"/>
      <c r="DA52" s="2253"/>
      <c r="DB52" s="2253"/>
      <c r="DC52" s="2253"/>
      <c r="DD52" s="2253"/>
      <c r="DE52" s="2253"/>
      <c r="DF52" s="2253"/>
      <c r="DG52" s="2253"/>
      <c r="DH52" s="2253"/>
      <c r="DI52" s="2253"/>
      <c r="DJ52" s="2253"/>
      <c r="DK52" s="2253"/>
      <c r="DL52" s="2253"/>
      <c r="DM52" s="2253"/>
      <c r="DN52" s="2253"/>
      <c r="DO52" s="2253"/>
      <c r="DP52" s="2253"/>
      <c r="DQ52" s="2253"/>
      <c r="DR52" s="2253"/>
      <c r="DS52" s="2253"/>
      <c r="DT52" s="2253"/>
      <c r="DU52" s="2253"/>
      <c r="DV52" s="2253"/>
      <c r="DW52" s="2253"/>
      <c r="DX52" s="2253"/>
      <c r="DY52" s="2253"/>
      <c r="DZ52" s="2253"/>
      <c r="EA52" s="2253"/>
      <c r="EB52" s="2253"/>
      <c r="EC52" s="2253"/>
      <c r="ED52" s="2253"/>
      <c r="EE52" s="2253"/>
      <c r="EF52" s="2253"/>
      <c r="EG52" s="2253"/>
      <c r="EH52" s="2253"/>
      <c r="EI52" s="2253"/>
      <c r="EJ52" s="2253"/>
      <c r="EK52" s="2253"/>
      <c r="EL52" s="2253"/>
      <c r="EM52" s="2253"/>
      <c r="EN52" s="2253"/>
      <c r="EO52" s="2253"/>
      <c r="EP52" s="2253"/>
      <c r="EQ52" s="2253"/>
      <c r="ER52" s="2253"/>
      <c r="ES52" s="2253"/>
      <c r="ET52" s="2253"/>
      <c r="EU52" s="2253"/>
      <c r="EV52" s="2253"/>
      <c r="EW52" s="2253"/>
      <c r="EX52" s="2253"/>
      <c r="EY52" s="2253"/>
      <c r="EZ52" s="2253"/>
      <c r="FA52" s="2253"/>
      <c r="FB52" s="2253"/>
      <c r="FC52" s="2253"/>
      <c r="FD52" s="2253"/>
      <c r="FE52" s="2253"/>
      <c r="FF52" s="2253"/>
      <c r="FG52" s="2253"/>
      <c r="FH52" s="2253"/>
      <c r="FI52" s="2253"/>
      <c r="FJ52" s="2253"/>
      <c r="FK52" s="2253"/>
      <c r="FL52" s="2253"/>
      <c r="FM52" s="2253"/>
      <c r="FN52" s="2253"/>
      <c r="FO52" s="2253"/>
      <c r="FP52" s="2253"/>
      <c r="FQ52" s="2253"/>
      <c r="FR52" s="2253"/>
      <c r="FS52" s="2253"/>
      <c r="FT52" s="2253"/>
      <c r="FU52" s="2253"/>
      <c r="FV52" s="2253"/>
      <c r="FW52" s="2253"/>
      <c r="FX52" s="2253"/>
      <c r="FY52" s="2253"/>
      <c r="FZ52" s="2253"/>
      <c r="GA52" s="2253"/>
      <c r="GB52" s="2253"/>
      <c r="GC52" s="2253"/>
      <c r="GD52" s="2253"/>
      <c r="GE52" s="2253"/>
      <c r="GF52" s="2253"/>
      <c r="GG52" s="2253"/>
      <c r="GH52" s="2253"/>
      <c r="GI52" s="2253"/>
      <c r="GJ52" s="2253"/>
      <c r="GK52" s="2253"/>
      <c r="GL52" s="2253"/>
      <c r="GM52" s="2253"/>
      <c r="GN52" s="2253"/>
      <c r="GO52" s="2253"/>
      <c r="GP52" s="2253"/>
      <c r="GQ52" s="2253"/>
      <c r="GR52" s="2253"/>
      <c r="GS52" s="2253"/>
      <c r="GT52" s="2253"/>
      <c r="GU52" s="2253"/>
      <c r="GV52" s="2253"/>
      <c r="GW52" s="2253"/>
      <c r="GX52" s="2253"/>
      <c r="GY52" s="2253"/>
      <c r="GZ52" s="2253"/>
      <c r="HA52" s="2253"/>
      <c r="HB52" s="2253"/>
      <c r="HC52" s="2253"/>
      <c r="HD52" s="2253"/>
      <c r="HE52" s="2253"/>
      <c r="HF52" s="2253"/>
      <c r="HG52" s="2253"/>
      <c r="HH52" s="2253"/>
      <c r="HI52" s="2253"/>
      <c r="HJ52" s="2253"/>
      <c r="HK52" s="2253"/>
      <c r="HL52" s="2253"/>
      <c r="HM52" s="2253"/>
      <c r="HN52" s="2253"/>
      <c r="HO52" s="2253"/>
      <c r="HP52" s="2253"/>
      <c r="HQ52" s="2253"/>
      <c r="HR52" s="2253"/>
      <c r="HS52" s="2253"/>
      <c r="HT52" s="2253"/>
      <c r="HU52" s="2253"/>
      <c r="HV52" s="2253"/>
      <c r="HW52" s="2253"/>
      <c r="HX52" s="2253"/>
      <c r="HY52" s="2253"/>
      <c r="HZ52" s="2253"/>
      <c r="IA52" s="2253"/>
      <c r="IB52" s="2253"/>
      <c r="IC52" s="2253"/>
      <c r="ID52" s="2253"/>
      <c r="IE52" s="2253"/>
      <c r="IF52" s="2253"/>
      <c r="IG52" s="2253"/>
      <c r="IH52" s="2253"/>
      <c r="II52" s="2253"/>
      <c r="IJ52" s="2253"/>
      <c r="IK52" s="2253"/>
      <c r="IL52" s="2253"/>
      <c r="IM52" s="2253"/>
      <c r="IN52" s="2253"/>
      <c r="IO52" s="2253"/>
      <c r="IP52" s="2253"/>
      <c r="IQ52" s="2253"/>
      <c r="IR52" s="2253"/>
      <c r="IS52" s="2253"/>
      <c r="IT52" s="2253"/>
      <c r="IU52" s="2253"/>
      <c r="IV52" s="2253"/>
      <c r="IW52" s="2253"/>
      <c r="IX52" s="2253"/>
      <c r="IY52" s="2253"/>
      <c r="IZ52" s="2253"/>
      <c r="JA52" s="2253"/>
      <c r="JB52" s="2253"/>
      <c r="JC52" s="2253"/>
      <c r="JD52" s="2253"/>
      <c r="JE52" s="2253"/>
      <c r="JF52" s="2253"/>
      <c r="JG52" s="2253"/>
      <c r="JH52" s="2253"/>
      <c r="JI52" s="2253"/>
      <c r="JJ52" s="2253"/>
      <c r="JK52" s="2253"/>
      <c r="JL52" s="2253"/>
      <c r="JM52" s="2253"/>
      <c r="JN52" s="2253"/>
      <c r="JO52" s="2253"/>
      <c r="JP52" s="2253"/>
      <c r="JQ52" s="2253"/>
      <c r="JR52" s="2253"/>
      <c r="JS52" s="2253"/>
      <c r="JT52" s="2253"/>
      <c r="JU52" s="2253"/>
      <c r="JV52" s="2253"/>
      <c r="JW52" s="2253"/>
      <c r="JX52" s="2253"/>
      <c r="JY52" s="2253"/>
      <c r="JZ52" s="2253"/>
      <c r="KA52" s="2253"/>
      <c r="KB52" s="2253"/>
      <c r="KC52" s="2253"/>
      <c r="KD52" s="2253"/>
      <c r="KE52" s="2253"/>
      <c r="KF52" s="2253"/>
      <c r="KG52" s="2253"/>
      <c r="KH52" s="2253"/>
      <c r="KI52" s="2253"/>
      <c r="KJ52" s="2253"/>
      <c r="KK52" s="2253"/>
      <c r="KL52" s="2253"/>
      <c r="KM52" s="2253"/>
      <c r="KN52" s="2253"/>
      <c r="KO52" s="2253"/>
      <c r="KP52" s="2253"/>
      <c r="KQ52" s="2253"/>
      <c r="KR52" s="2253"/>
      <c r="KS52" s="2253"/>
      <c r="KT52" s="2253"/>
      <c r="KU52" s="2253"/>
      <c r="KV52" s="2253"/>
      <c r="KW52" s="2253"/>
      <c r="KX52" s="2253"/>
      <c r="KY52" s="2253"/>
      <c r="KZ52" s="2253"/>
      <c r="LA52" s="2253"/>
      <c r="LB52" s="2253"/>
      <c r="LC52" s="2253"/>
      <c r="LD52" s="2253"/>
      <c r="LE52" s="2253"/>
      <c r="LF52" s="2253"/>
      <c r="LG52" s="2253"/>
      <c r="LH52" s="2253"/>
      <c r="LI52" s="2253"/>
      <c r="LJ52" s="2253"/>
      <c r="LK52" s="2253"/>
      <c r="LL52" s="2253"/>
      <c r="LM52" s="2253"/>
      <c r="LN52" s="2253"/>
      <c r="LO52" s="2253"/>
      <c r="LP52" s="2253"/>
      <c r="LQ52" s="2253"/>
      <c r="LR52" s="2253"/>
      <c r="LS52" s="2253"/>
      <c r="LT52" s="2253"/>
      <c r="LU52" s="2253"/>
      <c r="LV52" s="2253"/>
      <c r="LW52" s="2253"/>
      <c r="LX52" s="2253"/>
      <c r="LY52" s="2253"/>
      <c r="LZ52" s="2253"/>
      <c r="MA52" s="2253"/>
      <c r="MB52" s="2253"/>
      <c r="MC52" s="2253"/>
      <c r="MD52" s="2253"/>
    </row>
    <row r="53" spans="1:393" ht="14.65" customHeight="1" thickBot="1">
      <c r="A53" s="12" t="s">
        <v>740</v>
      </c>
      <c r="B53" s="12" t="s">
        <v>534</v>
      </c>
      <c r="K53" s="2607" t="str">
        <f>'Part I-Project Information'!$K$94</f>
        <v>40% of Units at 60% of AMI</v>
      </c>
      <c r="L53" s="2608"/>
      <c r="M53" s="2608"/>
      <c r="N53" s="2609"/>
      <c r="O53" s="82"/>
      <c r="R53" s="2574" t="str">
        <f>B53</f>
        <v>UNIT SUMMARY</v>
      </c>
      <c r="S53" s="2574"/>
      <c r="T53" s="2574"/>
      <c r="U53" s="257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2611" t="s">
        <v>442</v>
      </c>
      <c r="B56" s="2611"/>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2567" t="s">
        <v>3667</v>
      </c>
      <c r="Q56" s="2303"/>
      <c r="R56" s="3766"/>
      <c r="S56" s="3817"/>
      <c r="T56" s="3817"/>
      <c r="U56" s="3817"/>
      <c r="V56" s="3767"/>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2611"/>
      <c r="B57" s="2611"/>
      <c r="C57" s="94"/>
      <c r="D57" s="1"/>
      <c r="E57" s="1"/>
      <c r="F57" s="1"/>
      <c r="G57" s="82"/>
      <c r="H57" s="35" t="s">
        <v>4616</v>
      </c>
      <c r="I57" s="82"/>
      <c r="J57" s="1992">
        <f>AB48</f>
        <v>0</v>
      </c>
      <c r="K57" s="1993">
        <f>AC48</f>
        <v>0</v>
      </c>
      <c r="L57" s="1993">
        <f>AD48</f>
        <v>0</v>
      </c>
      <c r="M57" s="1993">
        <f>AE48</f>
        <v>0</v>
      </c>
      <c r="N57" s="1994">
        <f>AF48</f>
        <v>0</v>
      </c>
      <c r="O57" s="956">
        <f t="shared" si="347"/>
        <v>0</v>
      </c>
      <c r="P57" s="2567"/>
      <c r="Q57" s="2303"/>
      <c r="R57" s="3780"/>
      <c r="S57" s="3818"/>
      <c r="T57" s="3818"/>
      <c r="U57" s="3818"/>
      <c r="V57" s="378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2611"/>
      <c r="B58" s="2611"/>
      <c r="C58" s="94"/>
      <c r="D58" s="1"/>
      <c r="E58" s="1"/>
      <c r="F58" s="1"/>
      <c r="G58" s="82"/>
      <c r="H58" s="35" t="s">
        <v>1149</v>
      </c>
      <c r="I58" s="82"/>
      <c r="J58" s="1992">
        <f>AG48</f>
        <v>0</v>
      </c>
      <c r="K58" s="1993">
        <f>AH48</f>
        <v>9</v>
      </c>
      <c r="L58" s="1993">
        <f>AI48</f>
        <v>27</v>
      </c>
      <c r="M58" s="1993">
        <f>AJ48</f>
        <v>27</v>
      </c>
      <c r="N58" s="1994">
        <f>AK48</f>
        <v>0</v>
      </c>
      <c r="O58" s="956">
        <f t="shared" si="347"/>
        <v>63</v>
      </c>
      <c r="P58" s="2567"/>
      <c r="Q58" s="2303"/>
      <c r="R58" s="3780"/>
      <c r="S58" s="3818"/>
      <c r="T58" s="3818"/>
      <c r="U58" s="3818"/>
      <c r="V58" s="378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2611"/>
      <c r="B59" s="2611"/>
      <c r="C59" s="94"/>
      <c r="D59" s="1"/>
      <c r="E59" s="1"/>
      <c r="F59" s="1"/>
      <c r="G59" s="82"/>
      <c r="H59" s="51" t="s">
        <v>118</v>
      </c>
      <c r="I59" s="1155"/>
      <c r="J59" s="2022">
        <f>AL48</f>
        <v>0</v>
      </c>
      <c r="K59" s="2023">
        <f>AM48</f>
        <v>3</v>
      </c>
      <c r="L59" s="2023">
        <f>AN48</f>
        <v>9</v>
      </c>
      <c r="M59" s="2023">
        <f>AO48</f>
        <v>9</v>
      </c>
      <c r="N59" s="2024">
        <f>AP48</f>
        <v>0</v>
      </c>
      <c r="O59" s="598">
        <f t="shared" si="347"/>
        <v>21</v>
      </c>
      <c r="P59" s="2567"/>
      <c r="Q59" s="2303"/>
      <c r="R59" s="3780"/>
      <c r="S59" s="3818"/>
      <c r="T59" s="3818"/>
      <c r="U59" s="3818"/>
      <c r="V59" s="378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2611"/>
      <c r="B60" s="2611"/>
      <c r="C60" s="94"/>
      <c r="D60" s="1"/>
      <c r="E60" s="1"/>
      <c r="F60" s="1"/>
      <c r="G60" s="82"/>
      <c r="H60" s="51" t="s">
        <v>4617</v>
      </c>
      <c r="I60" s="1155"/>
      <c r="J60" s="1992">
        <f>AQ48</f>
        <v>0</v>
      </c>
      <c r="K60" s="1993">
        <f>AR48</f>
        <v>0</v>
      </c>
      <c r="L60" s="1993">
        <f>AS48</f>
        <v>0</v>
      </c>
      <c r="M60" s="1993">
        <f>AT48</f>
        <v>0</v>
      </c>
      <c r="N60" s="1994">
        <f>AU48</f>
        <v>0</v>
      </c>
      <c r="O60" s="956">
        <f t="shared" si="347"/>
        <v>0</v>
      </c>
      <c r="P60" s="2567"/>
      <c r="Q60" s="2303"/>
      <c r="R60" s="3780"/>
      <c r="S60" s="3818"/>
      <c r="T60" s="3818"/>
      <c r="U60" s="3818"/>
      <c r="V60" s="378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2611"/>
      <c r="B61" s="2611"/>
      <c r="C61" s="94"/>
      <c r="D61" s="1"/>
      <c r="E61" s="1"/>
      <c r="F61" s="1"/>
      <c r="G61" s="82"/>
      <c r="H61" s="35" t="s">
        <v>4618</v>
      </c>
      <c r="I61" s="82"/>
      <c r="J61" s="1992">
        <f>AV48</f>
        <v>0</v>
      </c>
      <c r="K61" s="1993">
        <f>AW48</f>
        <v>0</v>
      </c>
      <c r="L61" s="1993">
        <f>AX48</f>
        <v>0</v>
      </c>
      <c r="M61" s="1993">
        <f>AY48</f>
        <v>0</v>
      </c>
      <c r="N61" s="1994">
        <f>AZ48</f>
        <v>0</v>
      </c>
      <c r="O61" s="956">
        <f t="shared" si="347"/>
        <v>0</v>
      </c>
      <c r="P61" s="2567"/>
      <c r="Q61" s="2303"/>
      <c r="R61" s="3780"/>
      <c r="S61" s="3818"/>
      <c r="T61" s="3818"/>
      <c r="U61" s="3818"/>
      <c r="V61" s="378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2611"/>
      <c r="B62" s="2611"/>
      <c r="C62" s="3"/>
      <c r="D62" s="1"/>
      <c r="E62" s="1"/>
      <c r="F62" s="1"/>
      <c r="G62" s="82"/>
      <c r="H62" s="35" t="s">
        <v>4619</v>
      </c>
      <c r="I62" s="82"/>
      <c r="J62" s="1995">
        <f>BA48</f>
        <v>0</v>
      </c>
      <c r="K62" s="1996">
        <f>BB48</f>
        <v>0</v>
      </c>
      <c r="L62" s="1996">
        <f>BC48</f>
        <v>0</v>
      </c>
      <c r="M62" s="1996">
        <f>BD48</f>
        <v>0</v>
      </c>
      <c r="N62" s="1997">
        <f>BE48</f>
        <v>0</v>
      </c>
      <c r="O62" s="598">
        <f t="shared" si="347"/>
        <v>0</v>
      </c>
      <c r="P62" s="2567"/>
      <c r="Q62" s="2303"/>
      <c r="R62" s="3780"/>
      <c r="S62" s="3818"/>
      <c r="T62" s="3818"/>
      <c r="U62" s="3818"/>
      <c r="V62" s="378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2611"/>
      <c r="B63" s="2611"/>
      <c r="C63" s="110" t="s">
        <v>4701</v>
      </c>
      <c r="D63" s="1"/>
      <c r="E63" s="1"/>
      <c r="F63" s="1"/>
      <c r="G63" s="82"/>
      <c r="H63" s="54"/>
      <c r="I63" s="82"/>
      <c r="J63" s="1959">
        <f>SUM(J56:J62)</f>
        <v>0</v>
      </c>
      <c r="K63" s="1959">
        <f>SUM(K56:K62)</f>
        <v>12</v>
      </c>
      <c r="L63" s="1959">
        <f>SUM(L56:L62)</f>
        <v>36</v>
      </c>
      <c r="M63" s="1959">
        <f>SUM(M56:M62)</f>
        <v>36</v>
      </c>
      <c r="N63" s="1959">
        <f>SUM(N56:N62)</f>
        <v>0</v>
      </c>
      <c r="O63" s="1959">
        <f t="shared" si="347"/>
        <v>84</v>
      </c>
      <c r="P63" s="2568"/>
      <c r="R63" s="3780"/>
      <c r="S63" s="3818"/>
      <c r="T63" s="3818"/>
      <c r="U63" s="3818"/>
      <c r="V63" s="378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2611"/>
      <c r="B64" s="2611"/>
      <c r="D64" s="1"/>
      <c r="E64" s="1"/>
      <c r="F64" s="1"/>
      <c r="G64" s="82"/>
      <c r="H64" s="35" t="s">
        <v>303</v>
      </c>
      <c r="I64" s="82"/>
      <c r="J64" s="957">
        <f>BF48</f>
        <v>0</v>
      </c>
      <c r="K64" s="957">
        <f>BG48</f>
        <v>0</v>
      </c>
      <c r="L64" s="957">
        <f>BH48</f>
        <v>0</v>
      </c>
      <c r="M64" s="957">
        <f>BI48</f>
        <v>0</v>
      </c>
      <c r="N64" s="957">
        <f>BJ48</f>
        <v>0</v>
      </c>
      <c r="O64" s="957">
        <f t="shared" si="347"/>
        <v>0</v>
      </c>
      <c r="R64" s="3780"/>
      <c r="S64" s="3818"/>
      <c r="T64" s="3818"/>
      <c r="U64" s="3818"/>
      <c r="V64" s="378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2611"/>
      <c r="B65" s="2611"/>
      <c r="C65" s="1966" t="s">
        <v>1138</v>
      </c>
      <c r="D65" s="1966"/>
      <c r="E65" s="1966"/>
      <c r="F65" s="1966"/>
      <c r="G65" s="1967"/>
      <c r="H65" s="48"/>
      <c r="I65" s="1967"/>
      <c r="J65" s="1968">
        <f>SUM(J63:J64)</f>
        <v>0</v>
      </c>
      <c r="K65" s="1968">
        <f>SUM(K63:K64)</f>
        <v>12</v>
      </c>
      <c r="L65" s="1968">
        <f>SUM(L63:L64)</f>
        <v>36</v>
      </c>
      <c r="M65" s="1968">
        <f>SUM(M63:M64)</f>
        <v>36</v>
      </c>
      <c r="N65" s="1968">
        <f>SUM(N63:N64)</f>
        <v>0</v>
      </c>
      <c r="O65" s="1968">
        <f t="shared" si="347"/>
        <v>84</v>
      </c>
      <c r="R65" s="3780"/>
      <c r="S65" s="3818"/>
      <c r="T65" s="3818"/>
      <c r="U65" s="3818"/>
      <c r="V65" s="378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2611"/>
      <c r="B66" s="2611"/>
      <c r="D66" s="1"/>
      <c r="E66" s="1"/>
      <c r="F66" s="1"/>
      <c r="G66" s="82"/>
      <c r="H66" s="35" t="s">
        <v>2512</v>
      </c>
      <c r="I66" s="82"/>
      <c r="J66" s="957">
        <f>EC48</f>
        <v>0</v>
      </c>
      <c r="K66" s="957">
        <f>ED48</f>
        <v>0</v>
      </c>
      <c r="L66" s="957">
        <f>EE48</f>
        <v>0</v>
      </c>
      <c r="M66" s="957">
        <f>EF48</f>
        <v>0</v>
      </c>
      <c r="N66" s="957">
        <f>EG48</f>
        <v>0</v>
      </c>
      <c r="O66" s="957">
        <f t="shared" si="347"/>
        <v>0</v>
      </c>
      <c r="P66" s="493" t="s">
        <v>3668</v>
      </c>
      <c r="R66" s="3780"/>
      <c r="S66" s="3818"/>
      <c r="T66" s="3818"/>
      <c r="U66" s="3818"/>
      <c r="V66" s="378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2611"/>
      <c r="B67" s="2611"/>
      <c r="C67" s="3" t="s">
        <v>1793</v>
      </c>
      <c r="D67" s="1"/>
      <c r="E67" s="1"/>
      <c r="F67" s="1"/>
      <c r="G67" s="82"/>
      <c r="H67" s="35"/>
      <c r="I67" s="82"/>
      <c r="J67" s="1958">
        <f>SUM(J65:J66)</f>
        <v>0</v>
      </c>
      <c r="K67" s="1958">
        <f>SUM(K65:K66)</f>
        <v>12</v>
      </c>
      <c r="L67" s="1958">
        <f>SUM(L65:L66)</f>
        <v>36</v>
      </c>
      <c r="M67" s="1958">
        <f>SUM(M65:M66)</f>
        <v>36</v>
      </c>
      <c r="N67" s="1958">
        <f>SUM(N65:N66)</f>
        <v>0</v>
      </c>
      <c r="O67" s="1958">
        <f t="shared" si="347"/>
        <v>84</v>
      </c>
      <c r="R67" s="3811"/>
      <c r="S67" s="3819"/>
      <c r="T67" s="3819"/>
      <c r="U67" s="3819"/>
      <c r="V67" s="3812"/>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2611"/>
      <c r="B68" s="2611"/>
      <c r="C68" s="2210"/>
      <c r="D68" s="2210"/>
      <c r="E68" s="2210"/>
      <c r="F68" s="2210"/>
      <c r="G68" s="2210"/>
      <c r="H68" s="2210"/>
      <c r="I68" s="2210"/>
      <c r="J68" s="2210"/>
      <c r="K68" s="2210"/>
      <c r="L68" s="2210"/>
      <c r="M68" s="2210"/>
      <c r="N68" s="2210"/>
      <c r="O68" s="2210"/>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2611"/>
      <c r="B69" s="2611"/>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2611"/>
      <c r="B70" s="2611"/>
      <c r="C70" s="2562" t="s">
        <v>4720</v>
      </c>
      <c r="D70" s="2562"/>
      <c r="E70" s="2562"/>
      <c r="F70" s="2562"/>
      <c r="G70" s="103"/>
      <c r="H70" s="51"/>
      <c r="I70" s="2208" t="s">
        <v>4719</v>
      </c>
      <c r="J70" s="2211"/>
      <c r="K70" s="2212"/>
      <c r="L70" s="2212"/>
      <c r="M70" s="2212"/>
      <c r="N70" s="2212"/>
      <c r="O70" s="2211"/>
      <c r="P70" s="1042" t="s">
        <v>4718</v>
      </c>
      <c r="R70" s="3766"/>
      <c r="S70" s="3817"/>
      <c r="T70" s="3817"/>
      <c r="U70" s="3817"/>
      <c r="V70" s="3767"/>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2611"/>
      <c r="B71" s="2611"/>
      <c r="C71" s="2562"/>
      <c r="D71" s="2562"/>
      <c r="E71" s="2562"/>
      <c r="F71" s="2562"/>
      <c r="G71" s="103"/>
      <c r="H71" s="51" t="s">
        <v>4615</v>
      </c>
      <c r="I71" s="2207"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780"/>
      <c r="S71" s="3818"/>
      <c r="T71" s="3818"/>
      <c r="U71" s="3818"/>
      <c r="V71" s="378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2611"/>
      <c r="B72" s="2611"/>
      <c r="C72" s="2562"/>
      <c r="D72" s="2562"/>
      <c r="E72" s="2562"/>
      <c r="F72" s="2562"/>
      <c r="G72" s="103"/>
      <c r="H72" s="51" t="s">
        <v>4616</v>
      </c>
      <c r="I72" s="2207"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780"/>
      <c r="S72" s="3818"/>
      <c r="T72" s="3818"/>
      <c r="U72" s="3818"/>
      <c r="V72" s="378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2611"/>
      <c r="B73" s="2611"/>
      <c r="C73" s="2209"/>
      <c r="D73" s="2563" t="s">
        <v>5040</v>
      </c>
      <c r="E73" s="2564"/>
      <c r="F73" s="2564"/>
      <c r="G73" s="2564"/>
      <c r="H73" s="51" t="s">
        <v>1149</v>
      </c>
      <c r="I73" s="2207" t="str">
        <f t="shared" si="348"/>
        <v/>
      </c>
      <c r="J73" s="2001">
        <f t="shared" si="349"/>
        <v>0</v>
      </c>
      <c r="K73" s="2002">
        <f t="shared" si="350"/>
        <v>0.75</v>
      </c>
      <c r="L73" s="2002">
        <f t="shared" si="351"/>
        <v>0.75</v>
      </c>
      <c r="M73" s="2002">
        <f t="shared" si="352"/>
        <v>0.75</v>
      </c>
      <c r="N73" s="2003">
        <f t="shared" si="353"/>
        <v>0</v>
      </c>
      <c r="O73" s="1987">
        <f t="shared" si="354"/>
        <v>0.75</v>
      </c>
      <c r="P73" s="1984">
        <f t="shared" si="355"/>
        <v>0.75</v>
      </c>
      <c r="R73" s="3780"/>
      <c r="S73" s="3818"/>
      <c r="T73" s="3818"/>
      <c r="U73" s="3818"/>
      <c r="V73" s="378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2611"/>
      <c r="B74" s="2611"/>
      <c r="C74" s="2209"/>
      <c r="D74" s="2564"/>
      <c r="E74" s="2564"/>
      <c r="F74" s="2564"/>
      <c r="G74" s="2564"/>
      <c r="H74" s="51" t="s">
        <v>118</v>
      </c>
      <c r="I74" s="2207" t="str">
        <f t="shared" si="348"/>
        <v/>
      </c>
      <c r="J74" s="2163">
        <f t="shared" si="349"/>
        <v>0</v>
      </c>
      <c r="K74" s="2164">
        <f t="shared" si="350"/>
        <v>0.25</v>
      </c>
      <c r="L74" s="2164">
        <f t="shared" si="351"/>
        <v>0.25</v>
      </c>
      <c r="M74" s="2164">
        <f t="shared" si="352"/>
        <v>0.25</v>
      </c>
      <c r="N74" s="2165">
        <f t="shared" si="353"/>
        <v>0</v>
      </c>
      <c r="O74" s="2166">
        <f t="shared" si="354"/>
        <v>0.25</v>
      </c>
      <c r="P74" s="1984">
        <f t="shared" si="355"/>
        <v>0.25</v>
      </c>
      <c r="R74" s="3780"/>
      <c r="S74" s="3818"/>
      <c r="T74" s="3818"/>
      <c r="U74" s="3818"/>
      <c r="V74" s="378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09"/>
      <c r="D75" s="2564"/>
      <c r="E75" s="2564"/>
      <c r="F75" s="2564"/>
      <c r="G75" s="2564"/>
      <c r="H75" s="51" t="s">
        <v>4617</v>
      </c>
      <c r="I75" s="2207"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780"/>
      <c r="S75" s="3818"/>
      <c r="T75" s="3818"/>
      <c r="U75" s="3818"/>
      <c r="V75" s="378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09"/>
      <c r="D76" s="2564"/>
      <c r="E76" s="2564"/>
      <c r="F76" s="2564"/>
      <c r="G76" s="2564"/>
      <c r="H76" s="51" t="s">
        <v>4618</v>
      </c>
      <c r="I76" s="2207"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780"/>
      <c r="S76" s="3818"/>
      <c r="T76" s="3818"/>
      <c r="U76" s="3818"/>
      <c r="V76" s="378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09"/>
      <c r="D77" s="2564"/>
      <c r="E77" s="2564"/>
      <c r="F77" s="2564"/>
      <c r="G77" s="2564"/>
      <c r="H77" s="51" t="s">
        <v>4619</v>
      </c>
      <c r="I77" s="2207"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811"/>
      <c r="S77" s="3819"/>
      <c r="T77" s="3819"/>
      <c r="U77" s="3819"/>
      <c r="V77" s="3812"/>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0"/>
      <c r="D78" s="2210"/>
      <c r="E78" s="2210"/>
      <c r="F78" s="2210"/>
      <c r="G78" s="2210"/>
      <c r="H78" s="2210"/>
      <c r="I78" s="2210"/>
      <c r="J78" s="2213"/>
      <c r="K78" s="2213"/>
      <c r="L78" s="2213"/>
      <c r="M78" s="2213"/>
      <c r="N78" s="2213"/>
      <c r="O78" s="2213"/>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766"/>
      <c r="S81" s="3817"/>
      <c r="T81" s="3817"/>
      <c r="U81" s="3817"/>
      <c r="V81" s="3767"/>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4616</v>
      </c>
      <c r="I82" s="82"/>
      <c r="J82" s="2010">
        <f>CJ48</f>
        <v>0</v>
      </c>
      <c r="K82" s="2011">
        <f>CK48</f>
        <v>0</v>
      </c>
      <c r="L82" s="2011">
        <f>CL48</f>
        <v>0</v>
      </c>
      <c r="M82" s="2011">
        <f>CM48</f>
        <v>0</v>
      </c>
      <c r="N82" s="2012">
        <f>CN48</f>
        <v>0</v>
      </c>
      <c r="O82" s="1957">
        <f t="shared" si="356"/>
        <v>0</v>
      </c>
      <c r="R82" s="3780"/>
      <c r="S82" s="3818"/>
      <c r="T82" s="3818"/>
      <c r="U82" s="3818"/>
      <c r="V82" s="378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780"/>
      <c r="S83" s="3818"/>
      <c r="T83" s="3818"/>
      <c r="U83" s="3818"/>
      <c r="V83" s="378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780"/>
      <c r="S84" s="3818"/>
      <c r="T84" s="3818"/>
      <c r="U84" s="3818"/>
      <c r="V84" s="378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780"/>
      <c r="S85" s="3818"/>
      <c r="T85" s="3818"/>
      <c r="U85" s="3818"/>
      <c r="V85" s="378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780"/>
      <c r="S86" s="3818"/>
      <c r="T86" s="3818"/>
      <c r="U86" s="3818"/>
      <c r="V86" s="378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780"/>
      <c r="S87" s="3818"/>
      <c r="T87" s="3818"/>
      <c r="U87" s="3818"/>
      <c r="V87" s="378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811"/>
      <c r="S88" s="3819"/>
      <c r="T88" s="3819"/>
      <c r="U88" s="3819"/>
      <c r="V88" s="3812"/>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65" customHeight="1" thickBot="1">
      <c r="A90" s="12" t="s">
        <v>740</v>
      </c>
      <c r="B90" s="12" t="s">
        <v>4997</v>
      </c>
      <c r="K90" s="2607" t="str">
        <f>$K$53</f>
        <v>40% of Units at 60% of AMI</v>
      </c>
      <c r="L90" s="2608"/>
      <c r="M90" s="2608"/>
      <c r="N90" s="2609"/>
      <c r="O90" s="82"/>
      <c r="R90" s="2610" t="str">
        <f>B90</f>
        <v>UNIT SUMMARY (Continued)</v>
      </c>
      <c r="S90" s="2610"/>
      <c r="T90" s="2610"/>
      <c r="U90" s="2610"/>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766"/>
      <c r="S92" s="3817"/>
      <c r="T92" s="3817"/>
      <c r="U92" s="3817"/>
      <c r="V92" s="3767"/>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4616</v>
      </c>
      <c r="I93" s="82"/>
      <c r="J93" s="2010">
        <f>DS48</f>
        <v>0</v>
      </c>
      <c r="K93" s="2011">
        <f>DT48</f>
        <v>0</v>
      </c>
      <c r="L93" s="2011">
        <f>DU48</f>
        <v>0</v>
      </c>
      <c r="M93" s="2011">
        <f>DV48</f>
        <v>0</v>
      </c>
      <c r="N93" s="2012">
        <f>DW48</f>
        <v>0</v>
      </c>
      <c r="O93" s="956">
        <f t="shared" si="357"/>
        <v>0</v>
      </c>
      <c r="R93" s="3780"/>
      <c r="S93" s="3818"/>
      <c r="T93" s="3818"/>
      <c r="U93" s="3818"/>
      <c r="V93" s="378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780"/>
      <c r="S94" s="3818"/>
      <c r="T94" s="3818"/>
      <c r="U94" s="3818"/>
      <c r="V94" s="378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780"/>
      <c r="S95" s="3818"/>
      <c r="T95" s="3818"/>
      <c r="U95" s="3818"/>
      <c r="V95" s="378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780"/>
      <c r="S96" s="3818"/>
      <c r="T96" s="3818"/>
      <c r="U96" s="3818"/>
      <c r="V96" s="378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780"/>
      <c r="S97" s="3818"/>
      <c r="T97" s="3818"/>
      <c r="U97" s="3818"/>
      <c r="V97" s="378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780"/>
      <c r="S98" s="3818"/>
      <c r="T98" s="3818"/>
      <c r="U98" s="3818"/>
      <c r="V98" s="3781"/>
      <c r="W98" s="2254"/>
      <c r="Z98" s="1314"/>
      <c r="AA98" s="457"/>
      <c r="AB98" s="2254"/>
      <c r="AE98" s="1314"/>
      <c r="AF98" s="457"/>
      <c r="AG98" s="2254"/>
      <c r="AJ98" s="1314"/>
      <c r="AK98" s="457"/>
      <c r="AL98" s="2254"/>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811"/>
      <c r="S99" s="3819"/>
      <c r="T99" s="3819"/>
      <c r="U99" s="3819"/>
      <c r="V99" s="3812"/>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2588" t="s">
        <v>38</v>
      </c>
      <c r="D101" s="2588"/>
      <c r="E101" s="103" t="s">
        <v>2296</v>
      </c>
      <c r="F101" s="1"/>
      <c r="G101" s="82"/>
      <c r="H101" s="35" t="s">
        <v>1432</v>
      </c>
      <c r="I101" s="82"/>
      <c r="J101" s="1989">
        <f>GF48</f>
        <v>0</v>
      </c>
      <c r="K101" s="1990">
        <f>GG48</f>
        <v>12</v>
      </c>
      <c r="L101" s="1990">
        <f>GH48</f>
        <v>36</v>
      </c>
      <c r="M101" s="1990">
        <f>GI48</f>
        <v>36</v>
      </c>
      <c r="N101" s="1991">
        <f>GJ48</f>
        <v>0</v>
      </c>
      <c r="O101" s="961">
        <f t="shared" ref="O101:O111" si="358">SUM(J101:N101)</f>
        <v>84</v>
      </c>
      <c r="R101" s="3766"/>
      <c r="S101" s="3817"/>
      <c r="T101" s="3817"/>
      <c r="U101" s="3817"/>
      <c r="V101" s="3767"/>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2588"/>
      <c r="D102" s="2588"/>
      <c r="E102" s="110"/>
      <c r="F102" s="1"/>
      <c r="G102" s="82"/>
      <c r="H102" s="35" t="s">
        <v>303</v>
      </c>
      <c r="I102" s="82"/>
      <c r="J102" s="1995">
        <f>GK48</f>
        <v>0</v>
      </c>
      <c r="K102" s="1996">
        <f>GL48</f>
        <v>0</v>
      </c>
      <c r="L102" s="1996">
        <f>GM48</f>
        <v>0</v>
      </c>
      <c r="M102" s="1996">
        <f>GN48</f>
        <v>0</v>
      </c>
      <c r="N102" s="1997">
        <f>GO48</f>
        <v>0</v>
      </c>
      <c r="O102" s="957">
        <f t="shared" si="358"/>
        <v>0</v>
      </c>
      <c r="R102" s="3780"/>
      <c r="S102" s="3818"/>
      <c r="T102" s="3818"/>
      <c r="U102" s="3818"/>
      <c r="V102" s="378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2588"/>
      <c r="D103" s="2588"/>
      <c r="E103" s="110"/>
      <c r="F103" s="1"/>
      <c r="G103" s="82"/>
      <c r="H103" s="86" t="s">
        <v>32</v>
      </c>
      <c r="I103" s="82"/>
      <c r="J103" s="1960">
        <f>SUM(J101:J102)+GP48</f>
        <v>0</v>
      </c>
      <c r="K103" s="1960">
        <f>SUM(K101:K102)+GQ48</f>
        <v>12</v>
      </c>
      <c r="L103" s="1960">
        <f>SUM(L101:L102)+GR48</f>
        <v>36</v>
      </c>
      <c r="M103" s="1960">
        <f>SUM(M101:M102)+GS48</f>
        <v>36</v>
      </c>
      <c r="N103" s="1960">
        <f>SUM(N101:N102)+GT48</f>
        <v>0</v>
      </c>
      <c r="O103" s="1960">
        <f t="shared" si="358"/>
        <v>84</v>
      </c>
      <c r="R103" s="3780"/>
      <c r="S103" s="3818"/>
      <c r="T103" s="3818"/>
      <c r="U103" s="3818"/>
      <c r="V103" s="3781"/>
      <c r="W103" s="1312"/>
      <c r="Z103" s="1314"/>
      <c r="AA103" s="2254"/>
      <c r="AB103" s="1312"/>
      <c r="AE103" s="1314"/>
      <c r="AF103" s="2254"/>
      <c r="AG103" s="1312"/>
      <c r="AJ103" s="1314"/>
      <c r="AK103" s="2254"/>
      <c r="AL103" s="1312"/>
      <c r="AO103" s="1314"/>
      <c r="AP103" s="2254"/>
      <c r="AQ103" s="458"/>
      <c r="AR103" s="458"/>
      <c r="AS103" s="458"/>
      <c r="AT103" s="458"/>
      <c r="AU103" s="458"/>
      <c r="AV103" s="458"/>
      <c r="AW103" s="457"/>
      <c r="AX103" s="450"/>
      <c r="BA103" s="458"/>
      <c r="BB103" s="457"/>
      <c r="BC103" s="450"/>
      <c r="LN103" s="456"/>
      <c r="MC103" s="448"/>
    </row>
    <row r="104" spans="1:341" ht="14.25" customHeight="1">
      <c r="A104" s="1983"/>
      <c r="B104" s="1983"/>
      <c r="C104" s="2588"/>
      <c r="D104" s="2588"/>
      <c r="E104" s="103" t="s">
        <v>2138</v>
      </c>
      <c r="F104" s="1"/>
      <c r="G104" s="82"/>
      <c r="H104" s="35" t="s">
        <v>1432</v>
      </c>
      <c r="I104" s="82"/>
      <c r="J104" s="1989">
        <f>GU48</f>
        <v>0</v>
      </c>
      <c r="K104" s="1990">
        <f>GV48</f>
        <v>0</v>
      </c>
      <c r="L104" s="1990">
        <f>GW48</f>
        <v>0</v>
      </c>
      <c r="M104" s="1990">
        <f>GX48</f>
        <v>0</v>
      </c>
      <c r="N104" s="1991">
        <f>GY48</f>
        <v>0</v>
      </c>
      <c r="O104" s="961">
        <f t="shared" si="358"/>
        <v>0</v>
      </c>
      <c r="R104" s="3780"/>
      <c r="S104" s="3818"/>
      <c r="T104" s="3818"/>
      <c r="U104" s="3818"/>
      <c r="V104" s="378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2588"/>
      <c r="D105" s="2588"/>
      <c r="E105" s="110"/>
      <c r="F105" s="1"/>
      <c r="G105" s="82"/>
      <c r="H105" s="35" t="s">
        <v>303</v>
      </c>
      <c r="I105" s="82"/>
      <c r="J105" s="1995">
        <f>GZ48</f>
        <v>0</v>
      </c>
      <c r="K105" s="1996">
        <f>HA48</f>
        <v>0</v>
      </c>
      <c r="L105" s="1996">
        <f>HB48</f>
        <v>0</v>
      </c>
      <c r="M105" s="1996">
        <f>HC48</f>
        <v>0</v>
      </c>
      <c r="N105" s="1997">
        <f>HD48</f>
        <v>0</v>
      </c>
      <c r="O105" s="957">
        <f t="shared" si="358"/>
        <v>0</v>
      </c>
      <c r="R105" s="3780"/>
      <c r="S105" s="3818"/>
      <c r="T105" s="3818"/>
      <c r="U105" s="3818"/>
      <c r="V105" s="378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2588"/>
      <c r="D106" s="2588"/>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780"/>
      <c r="S106" s="3818"/>
      <c r="T106" s="3818"/>
      <c r="U106" s="3818"/>
      <c r="V106" s="3781"/>
      <c r="W106" s="1312"/>
      <c r="Z106" s="1314"/>
      <c r="AA106" s="2254"/>
      <c r="AB106" s="1312"/>
      <c r="AE106" s="1314"/>
      <c r="AF106" s="2254"/>
      <c r="AG106" s="1312"/>
      <c r="AJ106" s="1314"/>
      <c r="AK106" s="2254"/>
      <c r="AL106" s="1312"/>
      <c r="AO106" s="1314"/>
      <c r="AP106" s="2254"/>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2589" t="s">
        <v>1419</v>
      </c>
      <c r="F107" s="2589"/>
      <c r="G107" s="82"/>
      <c r="H107" s="35" t="s">
        <v>1432</v>
      </c>
      <c r="I107" s="82"/>
      <c r="J107" s="1989">
        <f>HJ48</f>
        <v>0</v>
      </c>
      <c r="K107" s="1990">
        <f>HK48</f>
        <v>0</v>
      </c>
      <c r="L107" s="1990">
        <f>HL48</f>
        <v>0</v>
      </c>
      <c r="M107" s="1990">
        <f>HM48</f>
        <v>0</v>
      </c>
      <c r="N107" s="1991">
        <f>HN48</f>
        <v>0</v>
      </c>
      <c r="O107" s="961">
        <f t="shared" si="358"/>
        <v>0</v>
      </c>
      <c r="R107" s="3780"/>
      <c r="S107" s="3818"/>
      <c r="T107" s="3818"/>
      <c r="U107" s="3818"/>
      <c r="V107" s="378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2589"/>
      <c r="F108" s="2589"/>
      <c r="G108" s="82"/>
      <c r="H108" s="35" t="s">
        <v>303</v>
      </c>
      <c r="I108" s="82"/>
      <c r="J108" s="1995">
        <f>HO48</f>
        <v>0</v>
      </c>
      <c r="K108" s="1996">
        <f>HP48</f>
        <v>0</v>
      </c>
      <c r="L108" s="1996">
        <f>HQ48</f>
        <v>0</v>
      </c>
      <c r="M108" s="1996">
        <f>HR48</f>
        <v>0</v>
      </c>
      <c r="N108" s="1997">
        <f>HS48</f>
        <v>0</v>
      </c>
      <c r="O108" s="957">
        <f t="shared" si="358"/>
        <v>0</v>
      </c>
      <c r="R108" s="3780"/>
      <c r="S108" s="3818"/>
      <c r="T108" s="3818"/>
      <c r="U108" s="3818"/>
      <c r="V108" s="378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780"/>
      <c r="S109" s="3818"/>
      <c r="T109" s="3818"/>
      <c r="U109" s="3818"/>
      <c r="V109" s="3781"/>
      <c r="W109" s="1312"/>
      <c r="Z109" s="1314"/>
      <c r="AA109" s="2254"/>
      <c r="AB109" s="1312"/>
      <c r="AE109" s="1314"/>
      <c r="AF109" s="2254"/>
      <c r="AG109" s="1312"/>
      <c r="AJ109" s="1314"/>
      <c r="AK109" s="2254"/>
      <c r="AL109" s="1312"/>
      <c r="AO109" s="1314"/>
      <c r="AP109" s="2254"/>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3820"/>
      <c r="K110" s="3820"/>
      <c r="L110" s="3820"/>
      <c r="M110" s="3820"/>
      <c r="N110" s="3820"/>
      <c r="O110" s="595">
        <f t="shared" si="358"/>
        <v>0</v>
      </c>
      <c r="R110" s="3780"/>
      <c r="S110" s="3818"/>
      <c r="T110" s="3818"/>
      <c r="U110" s="3818"/>
      <c r="V110" s="378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2565" t="str">
        <f>IF(AND('Part IV-A-Uses of Funds'!$T$165="Yes",'Part IX Scoring Criteria'!$O$420&gt;0,O111&lt;1),"SHOW HISTORIC UNITS HERE &gt;&gt;&gt;&gt;","")</f>
        <v/>
      </c>
      <c r="B111" s="2565"/>
      <c r="C111" s="2565"/>
      <c r="D111" s="2565"/>
      <c r="E111" s="490" t="s">
        <v>3396</v>
      </c>
      <c r="F111" s="1"/>
      <c r="G111" s="172"/>
      <c r="H111" s="82"/>
      <c r="I111" s="82"/>
      <c r="J111" s="3821"/>
      <c r="K111" s="3821"/>
      <c r="L111" s="3821"/>
      <c r="M111" s="3821"/>
      <c r="N111" s="3821"/>
      <c r="O111" s="596">
        <f t="shared" si="358"/>
        <v>0</v>
      </c>
      <c r="R111" s="3780"/>
      <c r="S111" s="3818"/>
      <c r="T111" s="3818"/>
      <c r="U111" s="3818"/>
      <c r="V111" s="378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80"/>
      <c r="S112" s="3818"/>
      <c r="T112" s="3818"/>
      <c r="U112" s="3818"/>
      <c r="V112" s="378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811"/>
      <c r="S113" s="3819"/>
      <c r="T113" s="3819"/>
      <c r="U113" s="3819"/>
      <c r="V113" s="3812"/>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4"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2587" t="s">
        <v>4083</v>
      </c>
      <c r="D115" s="2587"/>
      <c r="E115" s="1151" t="s">
        <v>39</v>
      </c>
      <c r="F115" s="990"/>
      <c r="G115" s="1152"/>
      <c r="H115" s="1153"/>
      <c r="I115" s="1154"/>
      <c r="J115" s="2019">
        <f t="shared" ref="J115:O115" si="359">SUM(J116:J123)</f>
        <v>0</v>
      </c>
      <c r="K115" s="2020">
        <f t="shared" si="359"/>
        <v>12</v>
      </c>
      <c r="L115" s="2020">
        <f t="shared" si="359"/>
        <v>36</v>
      </c>
      <c r="M115" s="2020">
        <f t="shared" si="359"/>
        <v>36</v>
      </c>
      <c r="N115" s="2021">
        <f t="shared" si="359"/>
        <v>0</v>
      </c>
      <c r="O115" s="1965">
        <f t="shared" si="359"/>
        <v>84</v>
      </c>
      <c r="R115" s="3766"/>
      <c r="S115" s="3817"/>
      <c r="T115" s="3817"/>
      <c r="U115" s="3817"/>
      <c r="V115" s="3767"/>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63"/>
      <c r="D116" s="2563"/>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780"/>
      <c r="S116" s="3818"/>
      <c r="T116" s="3818"/>
      <c r="U116" s="3818"/>
      <c r="V116" s="378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63"/>
      <c r="D117" s="2563"/>
      <c r="E117" s="103"/>
      <c r="F117" s="4"/>
      <c r="G117" s="151"/>
      <c r="H117" s="95" t="s">
        <v>3357</v>
      </c>
      <c r="I117" s="1155"/>
      <c r="J117" s="2022">
        <f>JW48</f>
        <v>0</v>
      </c>
      <c r="K117" s="2023">
        <f>JX48</f>
        <v>0</v>
      </c>
      <c r="L117" s="2023">
        <f>JY48</f>
        <v>0</v>
      </c>
      <c r="M117" s="2023">
        <f>JZ48</f>
        <v>0</v>
      </c>
      <c r="N117" s="2024">
        <f>KA48</f>
        <v>0</v>
      </c>
      <c r="O117" s="598">
        <f t="shared" si="360"/>
        <v>0</v>
      </c>
      <c r="R117" s="3780"/>
      <c r="S117" s="3818"/>
      <c r="T117" s="3818"/>
      <c r="U117" s="3818"/>
      <c r="V117" s="378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63"/>
      <c r="D118" s="2563"/>
      <c r="E118" s="103"/>
      <c r="F118" s="4"/>
      <c r="G118" s="151"/>
      <c r="H118" s="897" t="s">
        <v>2606</v>
      </c>
      <c r="I118" s="1155"/>
      <c r="J118" s="1992">
        <f>KB48</f>
        <v>0</v>
      </c>
      <c r="K118" s="1993">
        <f>KC48</f>
        <v>0</v>
      </c>
      <c r="L118" s="1993">
        <f>KD48</f>
        <v>0</v>
      </c>
      <c r="M118" s="1993">
        <f>KE48</f>
        <v>0</v>
      </c>
      <c r="N118" s="1994">
        <f>KF48</f>
        <v>0</v>
      </c>
      <c r="O118" s="599">
        <f t="shared" si="360"/>
        <v>0</v>
      </c>
      <c r="R118" s="3780"/>
      <c r="S118" s="3818"/>
      <c r="T118" s="3818"/>
      <c r="U118" s="3818"/>
      <c r="V118" s="378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63"/>
      <c r="D119" s="2563"/>
      <c r="E119" s="103"/>
      <c r="F119" s="4"/>
      <c r="G119" s="151"/>
      <c r="H119" s="95" t="s">
        <v>3357</v>
      </c>
      <c r="I119" s="1155"/>
      <c r="J119" s="2022">
        <f>KG48</f>
        <v>0</v>
      </c>
      <c r="K119" s="2023">
        <f>KH48</f>
        <v>0</v>
      </c>
      <c r="L119" s="2023">
        <f>KI48</f>
        <v>0</v>
      </c>
      <c r="M119" s="2023">
        <f>KJ48</f>
        <v>0</v>
      </c>
      <c r="N119" s="2024">
        <f>KK48</f>
        <v>0</v>
      </c>
      <c r="O119" s="598">
        <f t="shared" si="360"/>
        <v>0</v>
      </c>
      <c r="R119" s="3780"/>
      <c r="S119" s="3818"/>
      <c r="T119" s="3818"/>
      <c r="U119" s="3818"/>
      <c r="V119" s="378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63"/>
      <c r="D120" s="2563"/>
      <c r="E120" s="103"/>
      <c r="F120" s="4"/>
      <c r="G120" s="151"/>
      <c r="H120" s="897" t="s">
        <v>2608</v>
      </c>
      <c r="I120" s="1155"/>
      <c r="J120" s="1992">
        <f>KL48</f>
        <v>0</v>
      </c>
      <c r="K120" s="1993">
        <f>KM48</f>
        <v>12</v>
      </c>
      <c r="L120" s="1993">
        <f>KN48</f>
        <v>36</v>
      </c>
      <c r="M120" s="1993">
        <f>KO48</f>
        <v>36</v>
      </c>
      <c r="N120" s="1994">
        <f>KP48</f>
        <v>0</v>
      </c>
      <c r="O120" s="599">
        <f t="shared" si="360"/>
        <v>84</v>
      </c>
      <c r="R120" s="3780"/>
      <c r="S120" s="3818"/>
      <c r="T120" s="3818"/>
      <c r="U120" s="3818"/>
      <c r="V120" s="378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63"/>
      <c r="D121" s="2563"/>
      <c r="E121" s="103"/>
      <c r="F121" s="4"/>
      <c r="G121" s="151"/>
      <c r="H121" s="95" t="s">
        <v>3357</v>
      </c>
      <c r="I121" s="1155"/>
      <c r="J121" s="2022">
        <f>KQ48</f>
        <v>0</v>
      </c>
      <c r="K121" s="2023">
        <f>KR48</f>
        <v>0</v>
      </c>
      <c r="L121" s="2023">
        <f>KS48</f>
        <v>0</v>
      </c>
      <c r="M121" s="2023">
        <f>KT48</f>
        <v>0</v>
      </c>
      <c r="N121" s="2024">
        <f>KU48</f>
        <v>0</v>
      </c>
      <c r="O121" s="598">
        <f t="shared" si="360"/>
        <v>0</v>
      </c>
      <c r="R121" s="3780"/>
      <c r="S121" s="3818"/>
      <c r="T121" s="3818"/>
      <c r="U121" s="3818"/>
      <c r="V121" s="378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63"/>
      <c r="D122" s="2563"/>
      <c r="E122" s="103"/>
      <c r="F122" s="1"/>
      <c r="G122" s="82"/>
      <c r="H122" s="39" t="s">
        <v>2607</v>
      </c>
      <c r="I122" s="82"/>
      <c r="J122" s="1992">
        <f>KV48</f>
        <v>0</v>
      </c>
      <c r="K122" s="1993">
        <f>KW48</f>
        <v>0</v>
      </c>
      <c r="L122" s="1993">
        <f>KX48</f>
        <v>0</v>
      </c>
      <c r="M122" s="1993">
        <f>KY48</f>
        <v>0</v>
      </c>
      <c r="N122" s="1994">
        <f>KZ48</f>
        <v>0</v>
      </c>
      <c r="O122" s="599">
        <f t="shared" si="360"/>
        <v>0</v>
      </c>
      <c r="R122" s="3780"/>
      <c r="S122" s="3818"/>
      <c r="T122" s="3818"/>
      <c r="U122" s="3818"/>
      <c r="V122" s="378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63"/>
      <c r="D123" s="2563"/>
      <c r="E123" s="103"/>
      <c r="F123" s="1"/>
      <c r="G123" s="82"/>
      <c r="H123" s="893" t="s">
        <v>3357</v>
      </c>
      <c r="I123" s="82"/>
      <c r="J123" s="1992">
        <f>LA48</f>
        <v>0</v>
      </c>
      <c r="K123" s="1993">
        <f>LB48</f>
        <v>0</v>
      </c>
      <c r="L123" s="1993">
        <f>LC48</f>
        <v>0</v>
      </c>
      <c r="M123" s="1993">
        <f>LD48</f>
        <v>0</v>
      </c>
      <c r="N123" s="1994">
        <f>LE48</f>
        <v>0</v>
      </c>
      <c r="O123" s="956">
        <f t="shared" si="360"/>
        <v>0</v>
      </c>
      <c r="R123" s="3780"/>
      <c r="S123" s="3818"/>
      <c r="T123" s="3818"/>
      <c r="U123" s="3818"/>
      <c r="V123" s="378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780"/>
      <c r="S124" s="3818"/>
      <c r="T124" s="3818"/>
      <c r="U124" s="3818"/>
      <c r="V124" s="378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780"/>
      <c r="S125" s="3818"/>
      <c r="T125" s="3818"/>
      <c r="U125" s="3818"/>
      <c r="V125" s="378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780"/>
      <c r="S126" s="3818"/>
      <c r="T126" s="3818"/>
      <c r="U126" s="3818"/>
      <c r="V126" s="378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780"/>
      <c r="S127" s="3818"/>
      <c r="T127" s="3818"/>
      <c r="U127" s="3818"/>
      <c r="V127" s="378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780"/>
      <c r="S128" s="3818"/>
      <c r="T128" s="3818"/>
      <c r="U128" s="3818"/>
      <c r="V128" s="378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780"/>
      <c r="S129" s="3818"/>
      <c r="T129" s="3818"/>
      <c r="U129" s="3818"/>
      <c r="V129" s="378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780"/>
      <c r="S130" s="3818"/>
      <c r="T130" s="3818"/>
      <c r="U130" s="3818"/>
      <c r="V130" s="378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811"/>
      <c r="S131" s="3819"/>
      <c r="T131" s="3819"/>
      <c r="U131" s="3819"/>
      <c r="V131" s="3812"/>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65" customHeight="1" thickBot="1">
      <c r="A133" s="12" t="s">
        <v>740</v>
      </c>
      <c r="B133" s="12" t="s">
        <v>4997</v>
      </c>
      <c r="K133" s="2607" t="str">
        <f>$K$53</f>
        <v>40% of Units at 60% of AMI</v>
      </c>
      <c r="L133" s="2608"/>
      <c r="M133" s="2608"/>
      <c r="N133" s="2609"/>
      <c r="O133" s="82"/>
      <c r="R133" s="2574" t="str">
        <f>B133</f>
        <v>UNIT SUMMARY (Continued)</v>
      </c>
      <c r="S133" s="2574"/>
      <c r="T133" s="2574"/>
      <c r="U133" s="257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7"/>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7" t="s">
        <v>4604</v>
      </c>
      <c r="D135" s="2587"/>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766"/>
      <c r="S135" s="3817"/>
      <c r="T135" s="3817"/>
      <c r="U135" s="3817"/>
      <c r="V135" s="3767"/>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63"/>
      <c r="D136" s="2563"/>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780"/>
      <c r="S136" s="3818"/>
      <c r="T136" s="3818"/>
      <c r="U136" s="3818"/>
      <c r="V136" s="378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63"/>
      <c r="D137" s="2563"/>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780"/>
      <c r="S137" s="3818"/>
      <c r="T137" s="3818"/>
      <c r="U137" s="3818"/>
      <c r="V137" s="378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63"/>
      <c r="D138" s="2563"/>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780"/>
      <c r="S138" s="3818"/>
      <c r="T138" s="3818"/>
      <c r="U138" s="3818"/>
      <c r="V138" s="378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63"/>
      <c r="D139" s="2563"/>
      <c r="E139" s="103" t="s">
        <v>3354</v>
      </c>
      <c r="F139" s="493"/>
      <c r="G139" s="151"/>
      <c r="H139" s="897"/>
      <c r="I139" s="1155"/>
      <c r="J139" s="2034">
        <f t="shared" ref="J139:N140" si="364">J120</f>
        <v>0</v>
      </c>
      <c r="K139" s="2035">
        <f t="shared" si="364"/>
        <v>12</v>
      </c>
      <c r="L139" s="2035">
        <f t="shared" si="364"/>
        <v>36</v>
      </c>
      <c r="M139" s="2035">
        <f t="shared" si="364"/>
        <v>36</v>
      </c>
      <c r="N139" s="2036">
        <f t="shared" si="364"/>
        <v>0</v>
      </c>
      <c r="O139" s="959">
        <f t="shared" si="362"/>
        <v>84</v>
      </c>
      <c r="R139" s="3780"/>
      <c r="S139" s="3818"/>
      <c r="T139" s="3818"/>
      <c r="U139" s="3818"/>
      <c r="V139" s="378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63"/>
      <c r="D140" s="2563"/>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780"/>
      <c r="S140" s="3818"/>
      <c r="T140" s="3818"/>
      <c r="U140" s="3818"/>
      <c r="V140" s="378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63"/>
      <c r="D141" s="2563"/>
      <c r="E141" s="103" t="s">
        <v>3355</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780"/>
      <c r="S141" s="3818"/>
      <c r="T141" s="3818"/>
      <c r="U141" s="3818"/>
      <c r="V141" s="378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2566" t="s">
        <v>5030</v>
      </c>
      <c r="R142" s="3811"/>
      <c r="S142" s="3819"/>
      <c r="T142" s="3819"/>
      <c r="U142" s="3819"/>
      <c r="V142" s="3812"/>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2566"/>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2566"/>
      <c r="R144" s="2573" t="str">
        <f>B144</f>
        <v>Unit Square Footage:</v>
      </c>
      <c r="S144" s="2573"/>
      <c r="T144" s="2573"/>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7" t="str">
        <f t="shared" ref="P145:P151" si="367">IF(OR(O56=0,O56=""),"",O145/O56)</f>
        <v/>
      </c>
      <c r="R145" s="3766"/>
      <c r="S145" s="3817"/>
      <c r="T145" s="3817"/>
      <c r="U145" s="3817"/>
      <c r="V145" s="3767"/>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7" t="str">
        <f t="shared" si="367"/>
        <v/>
      </c>
      <c r="R146" s="3780"/>
      <c r="S146" s="3818"/>
      <c r="T146" s="3818"/>
      <c r="U146" s="3818"/>
      <c r="V146" s="378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6570</v>
      </c>
      <c r="L147" s="2041">
        <f>ET48</f>
        <v>28512</v>
      </c>
      <c r="M147" s="2041">
        <f>EU48</f>
        <v>32643</v>
      </c>
      <c r="N147" s="2042">
        <f>EV48</f>
        <v>0</v>
      </c>
      <c r="O147" s="1955">
        <f t="shared" si="366"/>
        <v>67725</v>
      </c>
      <c r="P147" s="2177">
        <f t="shared" si="367"/>
        <v>1075</v>
      </c>
      <c r="R147" s="3780"/>
      <c r="S147" s="3818"/>
      <c r="T147" s="3818"/>
      <c r="U147" s="3818"/>
      <c r="V147" s="378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7">
        <f>EW48</f>
        <v>0</v>
      </c>
      <c r="K148" s="2168">
        <f>EX48</f>
        <v>2190</v>
      </c>
      <c r="L148" s="2168">
        <f>EY48</f>
        <v>9504</v>
      </c>
      <c r="M148" s="2168">
        <f>EZ48</f>
        <v>10881</v>
      </c>
      <c r="N148" s="2169">
        <f>FA48</f>
        <v>0</v>
      </c>
      <c r="O148" s="2170">
        <f t="shared" si="366"/>
        <v>22575</v>
      </c>
      <c r="P148" s="2177">
        <f t="shared" si="367"/>
        <v>1075</v>
      </c>
      <c r="R148" s="3780"/>
      <c r="S148" s="3818"/>
      <c r="T148" s="3818"/>
      <c r="U148" s="3818"/>
      <c r="V148" s="378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7" t="str">
        <f t="shared" si="367"/>
        <v/>
      </c>
      <c r="R149" s="3780"/>
      <c r="S149" s="3818"/>
      <c r="T149" s="3818"/>
      <c r="U149" s="3818"/>
      <c r="V149" s="378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7" t="str">
        <f t="shared" si="367"/>
        <v/>
      </c>
      <c r="R150" s="3780"/>
      <c r="S150" s="3818"/>
      <c r="T150" s="3818"/>
      <c r="U150" s="3818"/>
      <c r="V150" s="378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7" t="str">
        <f t="shared" si="367"/>
        <v/>
      </c>
      <c r="R151" s="3780"/>
      <c r="S151" s="3818"/>
      <c r="T151" s="3818"/>
      <c r="U151" s="3818"/>
      <c r="V151" s="378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8760</v>
      </c>
      <c r="L152" s="1964">
        <f>SUM(L145:L151)</f>
        <v>38016</v>
      </c>
      <c r="M152" s="1964">
        <f>SUM(M145:M151)</f>
        <v>43524</v>
      </c>
      <c r="N152" s="1964">
        <f>SUM(N145:N151)</f>
        <v>0</v>
      </c>
      <c r="O152" s="1964">
        <f>SUM(J152:N152)</f>
        <v>90300</v>
      </c>
      <c r="R152" s="3780"/>
      <c r="S152" s="3818"/>
      <c r="T152" s="3818"/>
      <c r="U152" s="3818"/>
      <c r="V152" s="378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7" t="str">
        <f>IF(OR(O64=0,O64=""),"",O153/O64)</f>
        <v/>
      </c>
      <c r="R153" s="3780"/>
      <c r="S153" s="3818"/>
      <c r="T153" s="3818"/>
      <c r="U153" s="3818"/>
      <c r="V153" s="378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8760</v>
      </c>
      <c r="L154" s="1963">
        <f>SUM(L152:L153)</f>
        <v>38016</v>
      </c>
      <c r="M154" s="1963">
        <f>SUM(M152:M153)</f>
        <v>43524</v>
      </c>
      <c r="N154" s="1963">
        <f>SUM(N152:N153)</f>
        <v>0</v>
      </c>
      <c r="O154" s="1963">
        <f>SUM(J154:N154)</f>
        <v>90300</v>
      </c>
      <c r="R154" s="3780"/>
      <c r="S154" s="3818"/>
      <c r="T154" s="3818"/>
      <c r="U154" s="3818"/>
      <c r="V154" s="378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7" t="str">
        <f>IF(OR(O66=0,O66=""),"",O155/O66)</f>
        <v/>
      </c>
      <c r="R155" s="3780"/>
      <c r="S155" s="3818"/>
      <c r="T155" s="3818"/>
      <c r="U155" s="3818"/>
      <c r="V155" s="378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8760</v>
      </c>
      <c r="L156" s="1961">
        <f>SUM(L154:L155)</f>
        <v>38016</v>
      </c>
      <c r="M156" s="1961">
        <f>SUM(M154:M155)</f>
        <v>43524</v>
      </c>
      <c r="N156" s="1961">
        <f>SUM(N154:N155)</f>
        <v>0</v>
      </c>
      <c r="O156" s="1961">
        <f>SUM(J156:N156)</f>
        <v>90300</v>
      </c>
      <c r="R156" s="3811"/>
      <c r="S156" s="3819"/>
      <c r="T156" s="3819"/>
      <c r="U156" s="3819"/>
      <c r="V156" s="3812"/>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9"/>
      <c r="JW158" s="450"/>
      <c r="JX158" s="450"/>
      <c r="JY158" s="450"/>
      <c r="JZ158" s="450"/>
      <c r="KA158" s="2249"/>
      <c r="KB158" s="2249"/>
      <c r="KC158" s="2249"/>
      <c r="KD158" s="2249"/>
      <c r="KE158" s="2249"/>
      <c r="KF158" s="2249"/>
      <c r="KG158" s="2249"/>
      <c r="KH158" s="2249"/>
      <c r="KI158" s="2249"/>
      <c r="KJ158" s="2249"/>
      <c r="KK158" s="2249"/>
      <c r="KL158" s="2249"/>
      <c r="KM158" s="2249"/>
      <c r="KN158" s="2249"/>
      <c r="KO158" s="2249"/>
      <c r="KP158" s="2249"/>
      <c r="KQ158" s="2249"/>
      <c r="KR158" s="2249"/>
      <c r="KS158" s="2249"/>
      <c r="KT158" s="2249"/>
      <c r="KU158" s="2249"/>
      <c r="KV158" s="2249"/>
      <c r="KW158" s="2249"/>
      <c r="KX158" s="2249"/>
      <c r="KY158" s="2249"/>
      <c r="KZ158" s="2249"/>
      <c r="LA158" s="2249"/>
      <c r="LB158" s="2249"/>
      <c r="LC158" s="2249"/>
      <c r="LD158" s="2249"/>
      <c r="LE158" s="2249"/>
      <c r="LF158" s="2249"/>
      <c r="LG158" s="450"/>
      <c r="LH158" s="450"/>
      <c r="LI158" s="450"/>
      <c r="LJ158" s="450"/>
      <c r="LK158" s="450"/>
      <c r="LL158" s="450"/>
      <c r="LM158" s="2250"/>
      <c r="LN158" s="450"/>
      <c r="LO158" s="450"/>
      <c r="LP158" s="450"/>
      <c r="LQ158" s="450"/>
      <c r="LR158" s="450"/>
      <c r="LS158" s="450"/>
      <c r="LT158" s="450"/>
      <c r="LU158" s="450"/>
      <c r="LV158" s="450"/>
      <c r="LW158" s="450"/>
      <c r="LX158" s="450"/>
      <c r="LY158" s="450"/>
      <c r="LZ158" s="450"/>
      <c r="MA158" s="450"/>
      <c r="MB158" s="450"/>
      <c r="MC158" s="2250"/>
      <c r="MD158" s="2250"/>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76" t="str">
        <f>IF(OR(J$67="",J$67=0),"",J$156/J$67)</f>
        <v/>
      </c>
      <c r="K159" s="2176">
        <f>IF(OR(K$67="",K$67=0),"",K$156/K$67)</f>
        <v>730</v>
      </c>
      <c r="L159" s="2176">
        <f>IF(OR(L$67="",L$67=0),"",L$156/L$67)</f>
        <v>1056</v>
      </c>
      <c r="M159" s="2176">
        <f>IF(OR(M$67="",M$67=0),"",M$156/M$67)</f>
        <v>1209</v>
      </c>
      <c r="N159" s="2176" t="str">
        <f>IF(OR(N$67="",N$67=0),"",N$156/N$67)</f>
        <v/>
      </c>
      <c r="O159" s="2176"/>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9"/>
      <c r="JW159" s="450"/>
      <c r="JX159" s="450"/>
      <c r="JY159" s="450"/>
      <c r="JZ159" s="450"/>
      <c r="KA159" s="2249"/>
      <c r="KB159" s="2249"/>
      <c r="KC159" s="2249"/>
      <c r="KD159" s="2249"/>
      <c r="KE159" s="2249"/>
      <c r="KF159" s="2249"/>
      <c r="KG159" s="2249"/>
      <c r="KH159" s="2249"/>
      <c r="KI159" s="2249"/>
      <c r="KJ159" s="2249"/>
      <c r="KK159" s="2249"/>
      <c r="KL159" s="2249"/>
      <c r="KM159" s="2249"/>
      <c r="KN159" s="2249"/>
      <c r="KO159" s="2249"/>
      <c r="KP159" s="2249"/>
      <c r="KQ159" s="2249"/>
      <c r="KR159" s="2249"/>
      <c r="KS159" s="2249"/>
      <c r="KT159" s="2249"/>
      <c r="KU159" s="2249"/>
      <c r="KV159" s="2249"/>
      <c r="KW159" s="2249"/>
      <c r="KX159" s="2249"/>
      <c r="KY159" s="2249"/>
      <c r="KZ159" s="2249"/>
      <c r="LA159" s="2249"/>
      <c r="LB159" s="2249"/>
      <c r="LC159" s="2249"/>
      <c r="LD159" s="2249"/>
      <c r="LE159" s="2249"/>
      <c r="LF159" s="2249"/>
      <c r="LG159" s="450"/>
      <c r="LH159" s="450"/>
      <c r="LI159" s="450"/>
      <c r="LJ159" s="450"/>
      <c r="LK159" s="450"/>
      <c r="LL159" s="450"/>
      <c r="LM159" s="2250"/>
      <c r="LN159" s="450"/>
      <c r="LO159" s="450"/>
      <c r="LP159" s="450"/>
      <c r="LQ159" s="450"/>
      <c r="LR159" s="450"/>
      <c r="LS159" s="450"/>
      <c r="LT159" s="450"/>
      <c r="LU159" s="450"/>
      <c r="LV159" s="450"/>
      <c r="LW159" s="450"/>
      <c r="LX159" s="450"/>
      <c r="LY159" s="450"/>
      <c r="LZ159" s="450"/>
      <c r="MA159" s="450"/>
      <c r="MB159" s="450"/>
      <c r="MC159" s="2250"/>
      <c r="MD159" s="2250"/>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9"/>
      <c r="JW160" s="450"/>
      <c r="JX160" s="450"/>
      <c r="JY160" s="450"/>
      <c r="JZ160" s="450"/>
      <c r="KA160" s="2249"/>
      <c r="KB160" s="2249"/>
      <c r="KC160" s="2249"/>
      <c r="KD160" s="2249"/>
      <c r="KE160" s="2249"/>
      <c r="KF160" s="2249"/>
      <c r="KG160" s="2249"/>
      <c r="KH160" s="2249"/>
      <c r="KI160" s="2249"/>
      <c r="KJ160" s="2249"/>
      <c r="KK160" s="2249"/>
      <c r="KL160" s="2249"/>
      <c r="KM160" s="2249"/>
      <c r="KN160" s="2249"/>
      <c r="KO160" s="2249"/>
      <c r="KP160" s="2249"/>
      <c r="KQ160" s="2249"/>
      <c r="KR160" s="2249"/>
      <c r="KS160" s="2249"/>
      <c r="KT160" s="2249"/>
      <c r="KU160" s="2249"/>
      <c r="KV160" s="2249"/>
      <c r="KW160" s="2249"/>
      <c r="KX160" s="2249"/>
      <c r="KY160" s="2249"/>
      <c r="KZ160" s="2249"/>
      <c r="LA160" s="2249"/>
      <c r="LB160" s="2249"/>
      <c r="LC160" s="2249"/>
      <c r="LD160" s="2249"/>
      <c r="LE160" s="2249"/>
      <c r="LF160" s="2249"/>
      <c r="LG160" s="450"/>
      <c r="LH160" s="450"/>
      <c r="LI160" s="450"/>
      <c r="LJ160" s="450"/>
      <c r="LK160" s="450"/>
      <c r="LL160" s="450"/>
      <c r="LM160" s="2250"/>
      <c r="LN160" s="450"/>
      <c r="LO160" s="450"/>
      <c r="LP160" s="450"/>
      <c r="LQ160" s="450"/>
      <c r="LR160" s="450"/>
      <c r="LS160" s="450"/>
      <c r="LT160" s="450"/>
      <c r="LU160" s="450"/>
      <c r="LV160" s="450"/>
      <c r="LW160" s="450"/>
      <c r="LX160" s="450"/>
      <c r="LY160" s="450"/>
      <c r="LZ160" s="450"/>
      <c r="MA160" s="450"/>
      <c r="MB160" s="450"/>
      <c r="MC160" s="2250"/>
      <c r="MD160" s="2250"/>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9"/>
      <c r="JW161" s="450"/>
      <c r="JX161" s="450"/>
      <c r="JY161" s="450"/>
      <c r="JZ161" s="450"/>
      <c r="KA161" s="2249"/>
      <c r="KB161" s="2249"/>
      <c r="KC161" s="2249"/>
      <c r="KD161" s="2249"/>
      <c r="KE161" s="2249"/>
      <c r="KF161" s="2249"/>
      <c r="KG161" s="2249"/>
      <c r="KH161" s="2249"/>
      <c r="KI161" s="2249"/>
      <c r="KJ161" s="2249"/>
      <c r="KK161" s="2249"/>
      <c r="KL161" s="2249"/>
      <c r="KM161" s="2249"/>
      <c r="KN161" s="2249"/>
      <c r="KO161" s="2249"/>
      <c r="KP161" s="2249"/>
      <c r="KQ161" s="2249"/>
      <c r="KR161" s="2249"/>
      <c r="KS161" s="2249"/>
      <c r="KT161" s="2249"/>
      <c r="KU161" s="2249"/>
      <c r="KV161" s="2249"/>
      <c r="KW161" s="2249"/>
      <c r="KX161" s="2249"/>
      <c r="KY161" s="2249"/>
      <c r="KZ161" s="2249"/>
      <c r="LA161" s="2249"/>
      <c r="LB161" s="2249"/>
      <c r="LC161" s="2249"/>
      <c r="LD161" s="2249"/>
      <c r="LE161" s="2249"/>
      <c r="LF161" s="2249"/>
      <c r="LG161" s="450"/>
      <c r="LH161" s="450"/>
      <c r="LI161" s="450"/>
      <c r="LJ161" s="450"/>
      <c r="LK161" s="450"/>
      <c r="LL161" s="450"/>
      <c r="LM161" s="2250"/>
      <c r="LN161" s="450"/>
      <c r="LO161" s="450"/>
      <c r="LP161" s="450"/>
      <c r="LQ161" s="450"/>
      <c r="LR161" s="450"/>
      <c r="LS161" s="450"/>
      <c r="LT161" s="450"/>
      <c r="LU161" s="450"/>
      <c r="LV161" s="450"/>
      <c r="LW161" s="450"/>
      <c r="LX161" s="450"/>
      <c r="LY161" s="450"/>
      <c r="LZ161" s="450"/>
      <c r="MA161" s="450"/>
      <c r="MB161" s="450"/>
      <c r="MC161" s="2250"/>
      <c r="MD161" s="2250"/>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9"/>
      <c r="JW162" s="450"/>
      <c r="JX162" s="450"/>
      <c r="JY162" s="450"/>
      <c r="JZ162" s="450"/>
      <c r="KA162" s="2249"/>
      <c r="KB162" s="2249"/>
      <c r="KC162" s="2249"/>
      <c r="KD162" s="2249"/>
      <c r="KE162" s="2249"/>
      <c r="KF162" s="2249"/>
      <c r="KG162" s="2249"/>
      <c r="KH162" s="2249"/>
      <c r="KI162" s="2249"/>
      <c r="KJ162" s="2249"/>
      <c r="KK162" s="2249"/>
      <c r="KL162" s="2249"/>
      <c r="KM162" s="2249"/>
      <c r="KN162" s="2249"/>
      <c r="KO162" s="2249"/>
      <c r="KP162" s="2249"/>
      <c r="KQ162" s="2249"/>
      <c r="KR162" s="2249"/>
      <c r="KS162" s="2249"/>
      <c r="KT162" s="2249"/>
      <c r="KU162" s="2249"/>
      <c r="KV162" s="2249"/>
      <c r="KW162" s="2249"/>
      <c r="KX162" s="2249"/>
      <c r="KY162" s="2249"/>
      <c r="KZ162" s="2249"/>
      <c r="LA162" s="2249"/>
      <c r="LB162" s="2249"/>
      <c r="LC162" s="2249"/>
      <c r="LD162" s="2249"/>
      <c r="LE162" s="2249"/>
      <c r="LF162" s="2249"/>
      <c r="LG162" s="450"/>
      <c r="LH162" s="450"/>
      <c r="LI162" s="450"/>
      <c r="LJ162" s="450"/>
      <c r="LK162" s="450"/>
      <c r="LL162" s="450"/>
      <c r="LM162" s="2250"/>
      <c r="LN162" s="450"/>
      <c r="LO162" s="450"/>
      <c r="LP162" s="450"/>
      <c r="LQ162" s="450"/>
      <c r="LR162" s="450"/>
      <c r="LS162" s="450"/>
      <c r="LT162" s="450"/>
      <c r="LU162" s="450"/>
      <c r="LV162" s="450"/>
      <c r="LW162" s="450"/>
      <c r="LX162" s="450"/>
      <c r="LY162" s="450"/>
      <c r="LZ162" s="450"/>
      <c r="MA162" s="450"/>
      <c r="MB162" s="450"/>
      <c r="MC162" s="2250"/>
      <c r="MD162" s="2250"/>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5"/>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9"/>
      <c r="JW163" s="450"/>
      <c r="JX163" s="450"/>
      <c r="JY163" s="450"/>
      <c r="JZ163" s="450"/>
      <c r="KA163" s="2249"/>
      <c r="KB163" s="2249"/>
      <c r="KC163" s="2249"/>
      <c r="KD163" s="2249"/>
      <c r="KE163" s="2249"/>
      <c r="KF163" s="2249"/>
      <c r="KG163" s="2249"/>
      <c r="KH163" s="2249"/>
      <c r="KI163" s="2249"/>
      <c r="KJ163" s="2249"/>
      <c r="KK163" s="2249"/>
      <c r="KL163" s="2249"/>
      <c r="KM163" s="2249"/>
      <c r="KN163" s="2249"/>
      <c r="KO163" s="2249"/>
      <c r="KP163" s="2249"/>
      <c r="KQ163" s="2249"/>
      <c r="KR163" s="2249"/>
      <c r="KS163" s="2249"/>
      <c r="KT163" s="2249"/>
      <c r="KU163" s="2249"/>
      <c r="KV163" s="2249"/>
      <c r="KW163" s="2249"/>
      <c r="KX163" s="2249"/>
      <c r="KY163" s="2249"/>
      <c r="KZ163" s="2249"/>
      <c r="LA163" s="2249"/>
      <c r="LB163" s="2249"/>
      <c r="LC163" s="2249"/>
      <c r="LD163" s="2249"/>
      <c r="LE163" s="2249"/>
      <c r="LF163" s="2249"/>
      <c r="LG163" s="450"/>
      <c r="LH163" s="450"/>
      <c r="LI163" s="450"/>
      <c r="LJ163" s="450"/>
      <c r="LK163" s="450"/>
      <c r="LL163" s="450"/>
      <c r="LM163" s="2250"/>
      <c r="LN163" s="450"/>
      <c r="LO163" s="450"/>
      <c r="LP163" s="450"/>
      <c r="LQ163" s="450"/>
      <c r="LR163" s="450"/>
      <c r="LS163" s="450"/>
      <c r="LT163" s="450"/>
      <c r="LU163" s="450"/>
      <c r="LV163" s="450"/>
      <c r="LW163" s="450"/>
      <c r="LX163" s="450"/>
      <c r="LY163" s="450"/>
      <c r="LZ163" s="450"/>
      <c r="MA163" s="450"/>
      <c r="MB163" s="450"/>
      <c r="MC163" s="2250"/>
      <c r="MD163" s="2250"/>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9"/>
      <c r="JW164" s="450"/>
      <c r="JX164" s="450"/>
      <c r="JY164" s="450"/>
      <c r="JZ164" s="450"/>
      <c r="KA164" s="2249"/>
      <c r="KB164" s="2249"/>
      <c r="KC164" s="2249"/>
      <c r="KD164" s="2249"/>
      <c r="KE164" s="2249"/>
      <c r="KF164" s="2249"/>
      <c r="KG164" s="2249"/>
      <c r="KH164" s="2249"/>
      <c r="KI164" s="2249"/>
      <c r="KJ164" s="2249"/>
      <c r="KK164" s="2249"/>
      <c r="KL164" s="2249"/>
      <c r="KM164" s="2249"/>
      <c r="KN164" s="2249"/>
      <c r="KO164" s="2249"/>
      <c r="KP164" s="2249"/>
      <c r="KQ164" s="2249"/>
      <c r="KR164" s="2249"/>
      <c r="KS164" s="2249"/>
      <c r="KT164" s="2249"/>
      <c r="KU164" s="2249"/>
      <c r="KV164" s="2249"/>
      <c r="KW164" s="2249"/>
      <c r="KX164" s="2249"/>
      <c r="KY164" s="2249"/>
      <c r="KZ164" s="2249"/>
      <c r="LA164" s="2249"/>
      <c r="LB164" s="2249"/>
      <c r="LC164" s="2249"/>
      <c r="LD164" s="2249"/>
      <c r="LE164" s="2249"/>
      <c r="LF164" s="2249"/>
      <c r="LG164" s="450"/>
      <c r="LH164" s="450"/>
      <c r="LI164" s="450"/>
      <c r="LJ164" s="450"/>
      <c r="LK164" s="450"/>
      <c r="LL164" s="450"/>
      <c r="LM164" s="2250"/>
      <c r="LN164" s="450"/>
      <c r="LO164" s="450"/>
      <c r="LP164" s="450"/>
      <c r="LQ164" s="450"/>
      <c r="LR164" s="450"/>
      <c r="LS164" s="450"/>
      <c r="LT164" s="450"/>
      <c r="LU164" s="450"/>
      <c r="LV164" s="450"/>
      <c r="LW164" s="450"/>
      <c r="LX164" s="450"/>
      <c r="LY164" s="450"/>
      <c r="LZ164" s="450"/>
      <c r="MA164" s="450"/>
      <c r="MB164" s="450"/>
      <c r="MC164" s="2250"/>
      <c r="MD164" s="2250"/>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9"/>
      <c r="JW169" s="450"/>
      <c r="JX169" s="450"/>
      <c r="JY169" s="450"/>
      <c r="JZ169" s="450"/>
      <c r="KA169" s="2249"/>
      <c r="KB169" s="2249"/>
      <c r="KC169" s="2249"/>
      <c r="KD169" s="2249"/>
      <c r="KE169" s="2249"/>
      <c r="KF169" s="2249"/>
      <c r="KG169" s="2249"/>
      <c r="KH169" s="2249"/>
      <c r="KI169" s="2249"/>
      <c r="KJ169" s="2249"/>
      <c r="KK169" s="2249"/>
      <c r="KL169" s="2249"/>
      <c r="KM169" s="2249"/>
      <c r="KN169" s="2249"/>
      <c r="KO169" s="2249"/>
      <c r="KP169" s="2249"/>
      <c r="KQ169" s="2249"/>
      <c r="KR169" s="2249"/>
      <c r="KS169" s="2249"/>
      <c r="KT169" s="2249"/>
      <c r="KU169" s="2249"/>
      <c r="KV169" s="2249"/>
      <c r="KW169" s="2249"/>
      <c r="KX169" s="2249"/>
      <c r="KY169" s="2249"/>
      <c r="KZ169" s="2249"/>
      <c r="LA169" s="2249"/>
      <c r="LB169" s="2249"/>
      <c r="LC169" s="2249"/>
      <c r="LD169" s="2249"/>
      <c r="LE169" s="2249"/>
      <c r="LF169" s="2249"/>
      <c r="LG169" s="450"/>
      <c r="LH169" s="450"/>
      <c r="LI169" s="450"/>
      <c r="LJ169" s="450"/>
      <c r="LK169" s="450"/>
      <c r="LL169" s="450"/>
      <c r="LM169" s="2250"/>
      <c r="LN169" s="450"/>
      <c r="LO169" s="450"/>
      <c r="LP169" s="450"/>
      <c r="LQ169" s="450"/>
      <c r="LR169" s="450"/>
      <c r="LS169" s="450"/>
      <c r="LT169" s="450"/>
      <c r="LU169" s="450"/>
      <c r="LV169" s="450"/>
      <c r="LW169" s="450"/>
      <c r="LX169" s="450"/>
      <c r="LY169" s="450"/>
      <c r="LZ169" s="450"/>
      <c r="MA169" s="450"/>
      <c r="MB169" s="450"/>
      <c r="MC169" s="2250"/>
      <c r="MD169" s="2250"/>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9"/>
      <c r="JW170" s="450"/>
      <c r="JX170" s="450"/>
      <c r="JY170" s="450"/>
      <c r="JZ170" s="450"/>
      <c r="KA170" s="2249"/>
      <c r="KB170" s="2249"/>
      <c r="KC170" s="2249"/>
      <c r="KD170" s="2249"/>
      <c r="KE170" s="2249"/>
      <c r="KF170" s="2249"/>
      <c r="KG170" s="2249"/>
      <c r="KH170" s="2249"/>
      <c r="KI170" s="2249"/>
      <c r="KJ170" s="2249"/>
      <c r="KK170" s="2249"/>
      <c r="KL170" s="2249"/>
      <c r="KM170" s="2249"/>
      <c r="KN170" s="2249"/>
      <c r="KO170" s="2249"/>
      <c r="KP170" s="2249"/>
      <c r="KQ170" s="2249"/>
      <c r="KR170" s="2249"/>
      <c r="KS170" s="2249"/>
      <c r="KT170" s="2249"/>
      <c r="KU170" s="2249"/>
      <c r="KV170" s="2249"/>
      <c r="KW170" s="2249"/>
      <c r="KX170" s="2249"/>
      <c r="KY170" s="2249"/>
      <c r="KZ170" s="2249"/>
      <c r="LA170" s="2249"/>
      <c r="LB170" s="2249"/>
      <c r="LC170" s="2249"/>
      <c r="LD170" s="2249"/>
      <c r="LE170" s="2249"/>
      <c r="LF170" s="2249"/>
      <c r="LG170" s="450"/>
      <c r="LH170" s="450"/>
      <c r="LI170" s="450"/>
      <c r="LJ170" s="450"/>
      <c r="LK170" s="450"/>
      <c r="LL170" s="450"/>
      <c r="LM170" s="2250"/>
      <c r="LN170" s="450"/>
      <c r="LO170" s="450"/>
      <c r="LP170" s="450"/>
      <c r="LQ170" s="450"/>
      <c r="LR170" s="450"/>
      <c r="LS170" s="450"/>
      <c r="LT170" s="450"/>
      <c r="LU170" s="450"/>
      <c r="LV170" s="450"/>
      <c r="LW170" s="450"/>
      <c r="LX170" s="450"/>
      <c r="LY170" s="450"/>
      <c r="LZ170" s="450"/>
      <c r="MA170" s="450"/>
      <c r="MB170" s="450"/>
      <c r="MC170" s="2250"/>
      <c r="MD170" s="2250"/>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822">
        <f>'Part VII-Pro Forma'!B9*L49</f>
        <v>13563.36</v>
      </c>
      <c r="I173" s="3823"/>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5"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3824"/>
      <c r="H177" s="3824"/>
      <c r="I177" s="3824"/>
      <c r="J177" s="3824"/>
      <c r="K177" s="3824"/>
      <c r="L177" s="3824"/>
      <c r="M177" s="3824"/>
      <c r="N177" s="3824"/>
      <c r="O177" s="3824"/>
      <c r="P177" s="3824"/>
      <c r="Q177" s="873"/>
      <c r="R177" s="3766"/>
      <c r="S177" s="3817"/>
      <c r="T177" s="3817"/>
      <c r="U177" s="3817"/>
      <c r="V177" s="3767"/>
    </row>
    <row r="178" spans="2:22" ht="13.5" customHeight="1">
      <c r="B178" s="110" t="s">
        <v>741</v>
      </c>
      <c r="C178" s="3825"/>
      <c r="D178" s="3826"/>
      <c r="E178" s="3826"/>
      <c r="F178" s="3827"/>
      <c r="G178" s="3828"/>
      <c r="H178" s="3828"/>
      <c r="I178" s="3828"/>
      <c r="J178" s="3828"/>
      <c r="K178" s="3829"/>
      <c r="L178" s="3828"/>
      <c r="M178" s="3828"/>
      <c r="N178" s="3828"/>
      <c r="O178" s="3828"/>
      <c r="P178" s="3828"/>
      <c r="Q178" s="873"/>
      <c r="R178" s="3780"/>
      <c r="S178" s="3818"/>
      <c r="T178" s="3818"/>
      <c r="U178" s="3818"/>
      <c r="V178" s="378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11"/>
      <c r="S179" s="3819"/>
      <c r="T179" s="3819"/>
      <c r="U179" s="3819"/>
      <c r="V179" s="3812"/>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24"/>
      <c r="H181" s="3824"/>
      <c r="I181" s="3824"/>
      <c r="J181" s="3824"/>
      <c r="K181" s="3824"/>
      <c r="L181" s="3824"/>
      <c r="M181" s="3824"/>
      <c r="N181" s="3824"/>
      <c r="O181" s="3824"/>
      <c r="P181" s="3824"/>
      <c r="Q181" s="873"/>
      <c r="R181" s="3766"/>
      <c r="S181" s="3817"/>
      <c r="T181" s="3817"/>
      <c r="U181" s="3817"/>
      <c r="V181" s="3767"/>
    </row>
    <row r="182" spans="2:22" ht="13.5" customHeight="1">
      <c r="B182" s="110" t="s">
        <v>741</v>
      </c>
      <c r="C182" s="3825"/>
      <c r="D182" s="3826"/>
      <c r="E182" s="3826"/>
      <c r="F182" s="3827"/>
      <c r="G182" s="3828"/>
      <c r="H182" s="3828"/>
      <c r="I182" s="3828"/>
      <c r="J182" s="3828"/>
      <c r="K182" s="3829"/>
      <c r="L182" s="3828"/>
      <c r="M182" s="3828"/>
      <c r="N182" s="3828"/>
      <c r="O182" s="3828"/>
      <c r="P182" s="3828"/>
      <c r="Q182" s="873"/>
      <c r="R182" s="3780"/>
      <c r="S182" s="3818"/>
      <c r="T182" s="3818"/>
      <c r="U182" s="3818"/>
      <c r="V182" s="378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11"/>
      <c r="S183" s="3819"/>
      <c r="T183" s="3819"/>
      <c r="U183" s="3819"/>
      <c r="V183" s="3812"/>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3824"/>
      <c r="H186" s="3824"/>
      <c r="I186" s="3824"/>
      <c r="J186" s="3824"/>
      <c r="K186" s="3830"/>
      <c r="L186" s="3824"/>
      <c r="M186" s="3824"/>
      <c r="N186" s="3824"/>
      <c r="O186" s="3824"/>
      <c r="P186" s="3824"/>
      <c r="Q186" s="873"/>
      <c r="R186" s="3766"/>
      <c r="S186" s="3817"/>
      <c r="T186" s="3817"/>
      <c r="U186" s="3817"/>
      <c r="V186" s="3767"/>
    </row>
    <row r="187" spans="2:22" ht="13.5" customHeight="1">
      <c r="B187" s="110" t="s">
        <v>741</v>
      </c>
      <c r="C187" s="3825"/>
      <c r="D187" s="3826"/>
      <c r="E187" s="3826"/>
      <c r="F187" s="3827"/>
      <c r="G187" s="3828"/>
      <c r="H187" s="3828"/>
      <c r="I187" s="3828"/>
      <c r="J187" s="3828"/>
      <c r="K187" s="3829"/>
      <c r="L187" s="3828"/>
      <c r="M187" s="3828"/>
      <c r="N187" s="3828"/>
      <c r="O187" s="3828"/>
      <c r="P187" s="3828"/>
      <c r="Q187" s="873"/>
      <c r="R187" s="3780"/>
      <c r="S187" s="3818"/>
      <c r="T187" s="3818"/>
      <c r="U187" s="3818"/>
      <c r="V187" s="378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11"/>
      <c r="S188" s="3819"/>
      <c r="T188" s="3819"/>
      <c r="U188" s="3819"/>
      <c r="V188" s="3812"/>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24"/>
      <c r="H190" s="3824"/>
      <c r="I190" s="3824"/>
      <c r="J190" s="3824"/>
      <c r="K190" s="3830"/>
      <c r="L190" s="3824"/>
      <c r="M190" s="3824"/>
      <c r="N190" s="3824"/>
      <c r="O190" s="3824"/>
      <c r="P190" s="3824"/>
      <c r="Q190" s="873"/>
      <c r="R190" s="3766"/>
      <c r="S190" s="3817"/>
      <c r="T190" s="3817"/>
      <c r="U190" s="3817"/>
      <c r="V190" s="3767"/>
    </row>
    <row r="191" spans="2:22" ht="13.5" customHeight="1">
      <c r="B191" s="110" t="s">
        <v>741</v>
      </c>
      <c r="C191" s="3825"/>
      <c r="D191" s="3826"/>
      <c r="E191" s="3826"/>
      <c r="F191" s="3827"/>
      <c r="G191" s="3828"/>
      <c r="H191" s="3828"/>
      <c r="I191" s="3828"/>
      <c r="J191" s="3828"/>
      <c r="K191" s="3829"/>
      <c r="L191" s="3828"/>
      <c r="M191" s="3828"/>
      <c r="N191" s="3828"/>
      <c r="O191" s="3828"/>
      <c r="P191" s="3828"/>
      <c r="Q191" s="873"/>
      <c r="R191" s="3780"/>
      <c r="S191" s="3818"/>
      <c r="T191" s="3818"/>
      <c r="U191" s="3818"/>
      <c r="V191" s="378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11"/>
      <c r="S192" s="3819"/>
      <c r="T192" s="3819"/>
      <c r="U192" s="3819"/>
      <c r="V192" s="3812"/>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3824"/>
      <c r="H195" s="3824"/>
      <c r="I195" s="3824"/>
      <c r="J195" s="3824"/>
      <c r="K195" s="3830"/>
      <c r="L195" s="3824"/>
      <c r="M195" s="3824"/>
      <c r="N195" s="3824"/>
      <c r="O195" s="3824"/>
      <c r="P195" s="3824"/>
      <c r="Q195" s="873"/>
      <c r="R195" s="3766"/>
      <c r="S195" s="3817"/>
      <c r="T195" s="3817"/>
      <c r="U195" s="3817"/>
      <c r="V195" s="3767"/>
    </row>
    <row r="196" spans="2:22" ht="13.5" customHeight="1">
      <c r="B196" s="110" t="s">
        <v>741</v>
      </c>
      <c r="C196" s="3825"/>
      <c r="D196" s="3826"/>
      <c r="E196" s="3826"/>
      <c r="F196" s="3827"/>
      <c r="G196" s="3828"/>
      <c r="H196" s="3828"/>
      <c r="I196" s="3828"/>
      <c r="J196" s="3828"/>
      <c r="K196" s="3829"/>
      <c r="L196" s="3828"/>
      <c r="M196" s="3828"/>
      <c r="N196" s="3828"/>
      <c r="O196" s="3828"/>
      <c r="P196" s="3828"/>
      <c r="Q196" s="873"/>
      <c r="R196" s="3780"/>
      <c r="S196" s="3818"/>
      <c r="T196" s="3818"/>
      <c r="U196" s="3818"/>
      <c r="V196" s="378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11"/>
      <c r="S197" s="3819"/>
      <c r="T197" s="3819"/>
      <c r="U197" s="3819"/>
      <c r="V197" s="3812"/>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24"/>
      <c r="H199" s="3824"/>
      <c r="I199" s="3824"/>
      <c r="J199" s="3824"/>
      <c r="K199" s="3830"/>
      <c r="L199" s="3824"/>
      <c r="M199" s="3824"/>
      <c r="N199" s="3824"/>
      <c r="O199" s="3824"/>
      <c r="P199" s="3824"/>
      <c r="Q199" s="873"/>
      <c r="R199" s="3766"/>
      <c r="S199" s="3817"/>
      <c r="T199" s="3817"/>
      <c r="U199" s="3817"/>
      <c r="V199" s="3767"/>
    </row>
    <row r="200" spans="2:22" ht="13.5" customHeight="1">
      <c r="B200" s="110" t="s">
        <v>741</v>
      </c>
      <c r="C200" s="3825"/>
      <c r="D200" s="3826"/>
      <c r="E200" s="3826"/>
      <c r="F200" s="3827"/>
      <c r="G200" s="3828"/>
      <c r="H200" s="3828"/>
      <c r="I200" s="3828"/>
      <c r="J200" s="3828"/>
      <c r="K200" s="3829"/>
      <c r="L200" s="3828"/>
      <c r="M200" s="3828"/>
      <c r="N200" s="3828"/>
      <c r="O200" s="3828"/>
      <c r="P200" s="3828"/>
      <c r="Q200" s="873"/>
      <c r="R200" s="3780"/>
      <c r="S200" s="3818"/>
      <c r="T200" s="3818"/>
      <c r="U200" s="3818"/>
      <c r="V200" s="378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11"/>
      <c r="S201" s="3819"/>
      <c r="T201" s="3819"/>
      <c r="U201" s="3819"/>
      <c r="V201" s="3812"/>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3824"/>
      <c r="H204" s="3824"/>
      <c r="I204" s="3824"/>
      <c r="J204" s="3824"/>
      <c r="K204" s="3830"/>
      <c r="L204" s="89"/>
      <c r="M204" s="89"/>
      <c r="N204" s="89"/>
      <c r="O204" s="89"/>
      <c r="P204" s="89"/>
      <c r="Q204" s="7"/>
      <c r="R204" s="3766"/>
      <c r="S204" s="3817"/>
      <c r="T204" s="3817"/>
      <c r="U204" s="3817"/>
      <c r="V204" s="3767"/>
    </row>
    <row r="205" spans="2:22" ht="13.5" customHeight="1">
      <c r="B205" s="110" t="s">
        <v>741</v>
      </c>
      <c r="C205" s="3825"/>
      <c r="D205" s="3826"/>
      <c r="E205" s="3826"/>
      <c r="F205" s="3827"/>
      <c r="G205" s="3828"/>
      <c r="H205" s="3828"/>
      <c r="I205" s="3828"/>
      <c r="J205" s="3828"/>
      <c r="K205" s="3829"/>
      <c r="L205" s="89"/>
      <c r="M205" s="89"/>
      <c r="N205" s="89"/>
      <c r="O205" s="89"/>
      <c r="P205" s="89"/>
      <c r="Q205" s="7"/>
      <c r="R205" s="3780"/>
      <c r="S205" s="3818"/>
      <c r="T205" s="3818"/>
      <c r="U205" s="3818"/>
      <c r="V205" s="378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11"/>
      <c r="S206" s="3819"/>
      <c r="T206" s="3819"/>
      <c r="U206" s="3819"/>
      <c r="V206" s="3812"/>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24"/>
      <c r="H208" s="3824"/>
      <c r="I208" s="3824"/>
      <c r="J208" s="3824"/>
      <c r="K208" s="3830"/>
      <c r="L208" s="89"/>
      <c r="M208" s="89"/>
      <c r="N208" s="89"/>
      <c r="O208" s="89"/>
      <c r="P208" s="89"/>
      <c r="Q208" s="7"/>
      <c r="R208" s="3766"/>
      <c r="S208" s="3817"/>
      <c r="T208" s="3817"/>
      <c r="U208" s="3817"/>
      <c r="V208" s="3767"/>
    </row>
    <row r="209" spans="1:492" ht="13.5" customHeight="1">
      <c r="B209" s="110" t="s">
        <v>741</v>
      </c>
      <c r="C209" s="3825"/>
      <c r="D209" s="3826"/>
      <c r="E209" s="3826"/>
      <c r="F209" s="3827"/>
      <c r="G209" s="3828"/>
      <c r="H209" s="3828"/>
      <c r="I209" s="3828"/>
      <c r="J209" s="3828"/>
      <c r="K209" s="3829"/>
      <c r="L209" s="89"/>
      <c r="M209" s="89"/>
      <c r="N209" s="89"/>
      <c r="O209" s="89"/>
      <c r="P209" s="89"/>
      <c r="Q209" s="7"/>
      <c r="R209" s="3780"/>
      <c r="S209" s="3818"/>
      <c r="T209" s="3818"/>
      <c r="U209" s="3818"/>
      <c r="V209" s="378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11"/>
      <c r="S210" s="3819"/>
      <c r="T210" s="3819"/>
      <c r="U210" s="3819"/>
      <c r="V210" s="3812"/>
    </row>
    <row r="211" spans="1:492" ht="2.25" customHeight="1">
      <c r="B211" s="12"/>
      <c r="F211" s="33"/>
      <c r="G211" s="33"/>
      <c r="J211" s="15"/>
      <c r="P211" s="7"/>
      <c r="Q211" s="7"/>
    </row>
    <row r="212" spans="1:492" s="90" customFormat="1" ht="11.25" customHeight="1">
      <c r="A212" s="3" t="s">
        <v>1792</v>
      </c>
      <c r="B212" s="2282" t="s">
        <v>1019</v>
      </c>
      <c r="C212" s="2282"/>
      <c r="D212" s="2282"/>
      <c r="E212" s="2282"/>
      <c r="F212" s="2282"/>
      <c r="G212" s="2282"/>
      <c r="H212" s="2282"/>
      <c r="I212" s="2282"/>
      <c r="J212" s="2282"/>
      <c r="K212" s="2282"/>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9"/>
      <c r="JW212" s="450"/>
      <c r="JX212" s="450"/>
      <c r="JY212" s="450"/>
      <c r="JZ212" s="450"/>
      <c r="KA212" s="2249"/>
      <c r="KB212" s="2249"/>
      <c r="KC212" s="2249"/>
      <c r="KD212" s="2249"/>
      <c r="KE212" s="2249"/>
      <c r="KF212" s="2249"/>
      <c r="KG212" s="2249"/>
      <c r="KH212" s="2249"/>
      <c r="KI212" s="2249"/>
      <c r="KJ212" s="2249"/>
      <c r="KK212" s="2249"/>
      <c r="KL212" s="2249"/>
      <c r="KM212" s="2249"/>
      <c r="KN212" s="2249"/>
      <c r="KO212" s="2249"/>
      <c r="KP212" s="2249"/>
      <c r="KQ212" s="2249"/>
      <c r="KR212" s="2249"/>
      <c r="KS212" s="2249"/>
      <c r="KT212" s="2249"/>
      <c r="KU212" s="2249"/>
      <c r="KV212" s="2249"/>
      <c r="KW212" s="2249"/>
      <c r="KX212" s="2249"/>
      <c r="KY212" s="2249"/>
      <c r="KZ212" s="2249"/>
      <c r="LA212" s="2249"/>
      <c r="LB212" s="2249"/>
      <c r="LC212" s="2249"/>
      <c r="LD212" s="2249"/>
      <c r="LE212" s="2249"/>
      <c r="LF212" s="2249"/>
      <c r="LG212" s="450"/>
      <c r="LH212" s="450"/>
      <c r="LI212" s="450"/>
      <c r="LJ212" s="450"/>
      <c r="LK212" s="450"/>
      <c r="LL212" s="450"/>
      <c r="LM212" s="2250"/>
      <c r="LN212" s="450"/>
      <c r="LO212" s="450"/>
      <c r="LP212" s="450"/>
      <c r="LQ212" s="450"/>
      <c r="LR212" s="450"/>
      <c r="LS212" s="450"/>
      <c r="LT212" s="450"/>
      <c r="LU212" s="450"/>
      <c r="LV212" s="450"/>
      <c r="LW212" s="450"/>
      <c r="LX212" s="450"/>
      <c r="LY212" s="450"/>
      <c r="LZ212" s="450"/>
      <c r="MA212" s="450"/>
      <c r="MB212" s="450"/>
      <c r="MC212" s="2250"/>
      <c r="MD212" s="2250"/>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2"/>
      <c r="C213" s="2282"/>
      <c r="D213" s="2282"/>
      <c r="E213" s="2282"/>
      <c r="F213" s="2282"/>
      <c r="G213" s="2282"/>
      <c r="H213" s="2282"/>
      <c r="I213" s="2282"/>
      <c r="J213" s="2282"/>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9"/>
      <c r="JW213" s="450"/>
      <c r="JX213" s="450"/>
      <c r="JY213" s="450"/>
      <c r="JZ213" s="450"/>
      <c r="KA213" s="2249"/>
      <c r="KB213" s="2249"/>
      <c r="KC213" s="2249"/>
      <c r="KD213" s="2249"/>
      <c r="KE213" s="2249"/>
      <c r="KF213" s="2249"/>
      <c r="KG213" s="2249"/>
      <c r="KH213" s="2249"/>
      <c r="KI213" s="2249"/>
      <c r="KJ213" s="2249"/>
      <c r="KK213" s="2249"/>
      <c r="KL213" s="2249"/>
      <c r="KM213" s="2249"/>
      <c r="KN213" s="2249"/>
      <c r="KO213" s="2249"/>
      <c r="KP213" s="2249"/>
      <c r="KQ213" s="2249"/>
      <c r="KR213" s="2249"/>
      <c r="KS213" s="2249"/>
      <c r="KT213" s="2249"/>
      <c r="KU213" s="2249"/>
      <c r="KV213" s="2249"/>
      <c r="KW213" s="2249"/>
      <c r="KX213" s="2249"/>
      <c r="KY213" s="2249"/>
      <c r="KZ213" s="2249"/>
      <c r="LA213" s="2249"/>
      <c r="LB213" s="2249"/>
      <c r="LC213" s="2249"/>
      <c r="LD213" s="2249"/>
      <c r="LE213" s="2249"/>
      <c r="LF213" s="2249"/>
      <c r="LG213" s="450"/>
      <c r="LH213" s="450"/>
      <c r="LI213" s="450"/>
      <c r="LJ213" s="450"/>
      <c r="LK213" s="450"/>
      <c r="LL213" s="450"/>
      <c r="LM213" s="2250"/>
      <c r="LN213" s="450"/>
      <c r="LO213" s="450"/>
      <c r="LP213" s="450"/>
      <c r="LQ213" s="450"/>
      <c r="LR213" s="450"/>
      <c r="LS213" s="450"/>
      <c r="LT213" s="450"/>
      <c r="LU213" s="450"/>
      <c r="LV213" s="450"/>
      <c r="LW213" s="450"/>
      <c r="LX213" s="450"/>
      <c r="LY213" s="450"/>
      <c r="LZ213" s="450"/>
      <c r="MA213" s="450"/>
      <c r="MB213" s="450"/>
      <c r="MC213" s="2250"/>
      <c r="MD213" s="2250"/>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766"/>
      <c r="S214" s="3817"/>
      <c r="T214" s="3817"/>
      <c r="U214" s="3817"/>
      <c r="V214" s="376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9"/>
      <c r="JW214" s="450"/>
      <c r="JX214" s="450"/>
      <c r="JY214" s="450"/>
      <c r="JZ214" s="450"/>
      <c r="KA214" s="2249"/>
      <c r="KB214" s="2249"/>
      <c r="KC214" s="2249"/>
      <c r="KD214" s="2249"/>
      <c r="KE214" s="2249"/>
      <c r="KF214" s="2249"/>
      <c r="KG214" s="2249"/>
      <c r="KH214" s="2249"/>
      <c r="KI214" s="2249"/>
      <c r="KJ214" s="2249"/>
      <c r="KK214" s="2249"/>
      <c r="KL214" s="2249"/>
      <c r="KM214" s="2249"/>
      <c r="KN214" s="2249"/>
      <c r="KO214" s="2249"/>
      <c r="KP214" s="2249"/>
      <c r="KQ214" s="2249"/>
      <c r="KR214" s="2249"/>
      <c r="KS214" s="2249"/>
      <c r="KT214" s="2249"/>
      <c r="KU214" s="2249"/>
      <c r="KV214" s="2249"/>
      <c r="KW214" s="2249"/>
      <c r="KX214" s="2249"/>
      <c r="KY214" s="2249"/>
      <c r="KZ214" s="2249"/>
      <c r="LA214" s="2249"/>
      <c r="LB214" s="2249"/>
      <c r="LC214" s="2249"/>
      <c r="LD214" s="2249"/>
      <c r="LE214" s="2249"/>
      <c r="LF214" s="2249"/>
      <c r="LG214" s="450"/>
      <c r="LH214" s="450"/>
      <c r="LI214" s="450"/>
      <c r="LJ214" s="450"/>
      <c r="LK214" s="450"/>
      <c r="LL214" s="450"/>
      <c r="LM214" s="2250"/>
      <c r="LN214" s="450"/>
      <c r="LO214" s="450"/>
      <c r="LP214" s="450"/>
      <c r="LQ214" s="450"/>
      <c r="LR214" s="450"/>
      <c r="LS214" s="450"/>
      <c r="LT214" s="450"/>
      <c r="LU214" s="450"/>
      <c r="LV214" s="450"/>
      <c r="LW214" s="450"/>
      <c r="LX214" s="450"/>
      <c r="LY214" s="450"/>
      <c r="LZ214" s="450"/>
      <c r="MA214" s="450"/>
      <c r="MB214" s="450"/>
      <c r="MC214" s="2250"/>
      <c r="MD214" s="2250"/>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4" customHeight="1">
      <c r="A215" s="1"/>
      <c r="B215" s="1" t="s">
        <v>2197</v>
      </c>
      <c r="C215" s="1"/>
      <c r="D215" s="1"/>
      <c r="E215" s="1"/>
      <c r="F215" s="3831">
        <f>39520+(18378*0.5)</f>
        <v>48709</v>
      </c>
      <c r="G215" s="3832"/>
      <c r="H215" s="1"/>
      <c r="I215" s="1" t="s">
        <v>1378</v>
      </c>
      <c r="J215" s="1"/>
      <c r="K215" s="3831"/>
      <c r="L215" s="3832"/>
      <c r="M215" s="1"/>
      <c r="N215" s="1" t="s">
        <v>929</v>
      </c>
      <c r="O215" s="1"/>
      <c r="P215" s="3833">
        <v>71243</v>
      </c>
      <c r="Q215" s="873"/>
      <c r="R215" s="3780"/>
      <c r="S215" s="3818"/>
      <c r="T215" s="3818"/>
      <c r="U215" s="3818"/>
      <c r="V215" s="378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9"/>
      <c r="JW215" s="450"/>
      <c r="JX215" s="450"/>
      <c r="JY215" s="450"/>
      <c r="JZ215" s="450"/>
      <c r="KA215" s="2249"/>
      <c r="KB215" s="2249"/>
      <c r="KC215" s="2249"/>
      <c r="KD215" s="2249"/>
      <c r="KE215" s="2249"/>
      <c r="KF215" s="2249"/>
      <c r="KG215" s="2249"/>
      <c r="KH215" s="2249"/>
      <c r="KI215" s="2249"/>
      <c r="KJ215" s="2249"/>
      <c r="KK215" s="2249"/>
      <c r="KL215" s="2249"/>
      <c r="KM215" s="2249"/>
      <c r="KN215" s="2249"/>
      <c r="KO215" s="2249"/>
      <c r="KP215" s="2249"/>
      <c r="KQ215" s="2249"/>
      <c r="KR215" s="2249"/>
      <c r="KS215" s="2249"/>
      <c r="KT215" s="2249"/>
      <c r="KU215" s="2249"/>
      <c r="KV215" s="2249"/>
      <c r="KW215" s="2249"/>
      <c r="KX215" s="2249"/>
      <c r="KY215" s="2249"/>
      <c r="KZ215" s="2249"/>
      <c r="LA215" s="2249"/>
      <c r="LB215" s="2249"/>
      <c r="LC215" s="2249"/>
      <c r="LD215" s="2249"/>
      <c r="LE215" s="2249"/>
      <c r="LF215" s="2249"/>
      <c r="LG215" s="450"/>
      <c r="LH215" s="450"/>
      <c r="LI215" s="450"/>
      <c r="LJ215" s="450"/>
      <c r="LK215" s="450"/>
      <c r="LL215" s="450"/>
      <c r="LM215" s="2250"/>
      <c r="LN215" s="450"/>
      <c r="LO215" s="450"/>
      <c r="LP215" s="450"/>
      <c r="LQ215" s="450"/>
      <c r="LR215" s="450"/>
      <c r="LS215" s="450"/>
      <c r="LT215" s="450"/>
      <c r="LU215" s="450"/>
      <c r="LV215" s="450"/>
      <c r="LW215" s="450"/>
      <c r="LX215" s="450"/>
      <c r="LY215" s="450"/>
      <c r="LZ215" s="450"/>
      <c r="MA215" s="450"/>
      <c r="MB215" s="450"/>
      <c r="MC215" s="2250"/>
      <c r="MD215" s="2250"/>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4" customHeight="1" thickBot="1">
      <c r="A216" s="1"/>
      <c r="B216" s="1" t="s">
        <v>1367</v>
      </c>
      <c r="C216" s="1"/>
      <c r="D216" s="1"/>
      <c r="E216" s="1"/>
      <c r="F216" s="3834">
        <f>41600+(18378*0.5)</f>
        <v>50789</v>
      </c>
      <c r="G216" s="3835"/>
      <c r="H216" s="1"/>
      <c r="I216" s="1" t="s">
        <v>1379</v>
      </c>
      <c r="J216" s="1"/>
      <c r="K216" s="3836"/>
      <c r="L216" s="3837"/>
      <c r="M216" s="1"/>
      <c r="N216" s="1" t="s">
        <v>147</v>
      </c>
      <c r="O216" s="1"/>
      <c r="P216" s="3838">
        <v>21600</v>
      </c>
      <c r="Q216" s="873"/>
      <c r="R216" s="3780"/>
      <c r="S216" s="3818"/>
      <c r="T216" s="3818"/>
      <c r="U216" s="3818"/>
      <c r="V216" s="378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9"/>
      <c r="JW216" s="450"/>
      <c r="JX216" s="450"/>
      <c r="JY216" s="450"/>
      <c r="JZ216" s="450"/>
      <c r="KA216" s="2249"/>
      <c r="KB216" s="2249"/>
      <c r="KC216" s="2249"/>
      <c r="KD216" s="2249"/>
      <c r="KE216" s="2249"/>
      <c r="KF216" s="2249"/>
      <c r="KG216" s="2249"/>
      <c r="KH216" s="2249"/>
      <c r="KI216" s="2249"/>
      <c r="KJ216" s="2249"/>
      <c r="KK216" s="2249"/>
      <c r="KL216" s="2249"/>
      <c r="KM216" s="2249"/>
      <c r="KN216" s="2249"/>
      <c r="KO216" s="2249"/>
      <c r="KP216" s="2249"/>
      <c r="KQ216" s="2249"/>
      <c r="KR216" s="2249"/>
      <c r="KS216" s="2249"/>
      <c r="KT216" s="2249"/>
      <c r="KU216" s="2249"/>
      <c r="KV216" s="2249"/>
      <c r="KW216" s="2249"/>
      <c r="KX216" s="2249"/>
      <c r="KY216" s="2249"/>
      <c r="KZ216" s="2249"/>
      <c r="LA216" s="2249"/>
      <c r="LB216" s="2249"/>
      <c r="LC216" s="2249"/>
      <c r="LD216" s="2249"/>
      <c r="LE216" s="2249"/>
      <c r="LF216" s="2249"/>
      <c r="LG216" s="450"/>
      <c r="LH216" s="450"/>
      <c r="LI216" s="450"/>
      <c r="LJ216" s="450"/>
      <c r="LK216" s="450"/>
      <c r="LL216" s="450"/>
      <c r="LM216" s="2250"/>
      <c r="LN216" s="450"/>
      <c r="LO216" s="450"/>
      <c r="LP216" s="450"/>
      <c r="LQ216" s="450"/>
      <c r="LR216" s="450"/>
      <c r="LS216" s="450"/>
      <c r="LT216" s="450"/>
      <c r="LU216" s="450"/>
      <c r="LV216" s="450"/>
      <c r="LW216" s="450"/>
      <c r="LX216" s="450"/>
      <c r="LY216" s="450"/>
      <c r="LZ216" s="450"/>
      <c r="MA216" s="450"/>
      <c r="MB216" s="450"/>
      <c r="MC216" s="2250"/>
      <c r="MD216" s="2250"/>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4" customHeight="1" thickTop="1" thickBot="1">
      <c r="A217" s="1"/>
      <c r="B217" s="1" t="s">
        <v>1239</v>
      </c>
      <c r="C217" s="1"/>
      <c r="D217" s="1"/>
      <c r="E217" s="1"/>
      <c r="F217" s="3834"/>
      <c r="G217" s="3835"/>
      <c r="H217" s="1"/>
      <c r="I217" s="1"/>
      <c r="J217" s="122" t="s">
        <v>191</v>
      </c>
      <c r="K217" s="2581">
        <f>SUM(K215:L216)</f>
        <v>0</v>
      </c>
      <c r="L217" s="2582"/>
      <c r="M217" s="1"/>
      <c r="N217" s="3839" t="s">
        <v>51</v>
      </c>
      <c r="O217" s="3840"/>
      <c r="P217" s="3841"/>
      <c r="Q217" s="873"/>
      <c r="R217" s="3780"/>
      <c r="S217" s="3818"/>
      <c r="T217" s="3818"/>
      <c r="U217" s="3818"/>
      <c r="V217" s="378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9"/>
      <c r="JW217" s="450"/>
      <c r="JX217" s="450"/>
      <c r="JY217" s="450"/>
      <c r="JZ217" s="450"/>
      <c r="KA217" s="2249"/>
      <c r="KB217" s="2249"/>
      <c r="KC217" s="2249"/>
      <c r="KD217" s="2249"/>
      <c r="KE217" s="2249"/>
      <c r="KF217" s="2249"/>
      <c r="KG217" s="2249"/>
      <c r="KH217" s="2249"/>
      <c r="KI217" s="2249"/>
      <c r="KJ217" s="2249"/>
      <c r="KK217" s="2249"/>
      <c r="KL217" s="2249"/>
      <c r="KM217" s="2249"/>
      <c r="KN217" s="2249"/>
      <c r="KO217" s="2249"/>
      <c r="KP217" s="2249"/>
      <c r="KQ217" s="2249"/>
      <c r="KR217" s="2249"/>
      <c r="KS217" s="2249"/>
      <c r="KT217" s="2249"/>
      <c r="KU217" s="2249"/>
      <c r="KV217" s="2249"/>
      <c r="KW217" s="2249"/>
      <c r="KX217" s="2249"/>
      <c r="KY217" s="2249"/>
      <c r="KZ217" s="2249"/>
      <c r="LA217" s="2249"/>
      <c r="LB217" s="2249"/>
      <c r="LC217" s="2249"/>
      <c r="LD217" s="2249"/>
      <c r="LE217" s="2249"/>
      <c r="LF217" s="2249"/>
      <c r="LG217" s="450"/>
      <c r="LH217" s="450"/>
      <c r="LI217" s="450"/>
      <c r="LJ217" s="450"/>
      <c r="LK217" s="450"/>
      <c r="LL217" s="450"/>
      <c r="LM217" s="2250"/>
      <c r="LN217" s="450"/>
      <c r="LO217" s="450"/>
      <c r="LP217" s="450"/>
      <c r="LQ217" s="450"/>
      <c r="LR217" s="450"/>
      <c r="LS217" s="450"/>
      <c r="LT217" s="450"/>
      <c r="LU217" s="450"/>
      <c r="LV217" s="450"/>
      <c r="LW217" s="450"/>
      <c r="LX217" s="450"/>
      <c r="LY217" s="450"/>
      <c r="LZ217" s="450"/>
      <c r="MA217" s="450"/>
      <c r="MB217" s="450"/>
      <c r="MC217" s="2250"/>
      <c r="MD217" s="2250"/>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4" customHeight="1" thickTop="1" thickBot="1">
      <c r="A218" s="1"/>
      <c r="B218" s="3842" t="s">
        <v>51</v>
      </c>
      <c r="C218" s="3843"/>
      <c r="D218" s="3843"/>
      <c r="E218" s="3844"/>
      <c r="F218" s="3836"/>
      <c r="G218" s="3837"/>
      <c r="H218" s="1"/>
      <c r="I218" s="1"/>
      <c r="J218" s="1"/>
      <c r="K218" s="1"/>
      <c r="L218" s="1"/>
      <c r="M218" s="1"/>
      <c r="N218" s="10" t="s">
        <v>191</v>
      </c>
      <c r="O218" s="1"/>
      <c r="P218" s="405">
        <f>SUM(P215:P217)</f>
        <v>92843</v>
      </c>
      <c r="Q218" s="873"/>
      <c r="R218" s="3780"/>
      <c r="S218" s="3818"/>
      <c r="T218" s="3818"/>
      <c r="U218" s="3818"/>
      <c r="V218" s="378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9"/>
      <c r="JW218" s="450"/>
      <c r="JX218" s="450"/>
      <c r="JY218" s="450"/>
      <c r="JZ218" s="450"/>
      <c r="KA218" s="2249"/>
      <c r="KB218" s="2249"/>
      <c r="KC218" s="2249"/>
      <c r="KD218" s="2249"/>
      <c r="KE218" s="2249"/>
      <c r="KF218" s="2249"/>
      <c r="KG218" s="2249"/>
      <c r="KH218" s="2249"/>
      <c r="KI218" s="2249"/>
      <c r="KJ218" s="2249"/>
      <c r="KK218" s="2249"/>
      <c r="KL218" s="2249"/>
      <c r="KM218" s="2249"/>
      <c r="KN218" s="2249"/>
      <c r="KO218" s="2249"/>
      <c r="KP218" s="2249"/>
      <c r="KQ218" s="2249"/>
      <c r="KR218" s="2249"/>
      <c r="KS218" s="2249"/>
      <c r="KT218" s="2249"/>
      <c r="KU218" s="2249"/>
      <c r="KV218" s="2249"/>
      <c r="KW218" s="2249"/>
      <c r="KX218" s="2249"/>
      <c r="KY218" s="2249"/>
      <c r="KZ218" s="2249"/>
      <c r="LA218" s="2249"/>
      <c r="LB218" s="2249"/>
      <c r="LC218" s="2249"/>
      <c r="LD218" s="2249"/>
      <c r="LE218" s="2249"/>
      <c r="LF218" s="2249"/>
      <c r="LG218" s="450"/>
      <c r="LH218" s="450"/>
      <c r="LI218" s="450"/>
      <c r="LJ218" s="450"/>
      <c r="LK218" s="450"/>
      <c r="LL218" s="450"/>
      <c r="LM218" s="2250"/>
      <c r="LN218" s="450"/>
      <c r="LO218" s="450"/>
      <c r="LP218" s="450"/>
      <c r="LQ218" s="450"/>
      <c r="LR218" s="450"/>
      <c r="LS218" s="450"/>
      <c r="LT218" s="450"/>
      <c r="LU218" s="450"/>
      <c r="LV218" s="450"/>
      <c r="LW218" s="450"/>
      <c r="LX218" s="450"/>
      <c r="LY218" s="450"/>
      <c r="LZ218" s="450"/>
      <c r="MA218" s="450"/>
      <c r="MB218" s="450"/>
      <c r="MC218" s="2250"/>
      <c r="MD218" s="2250"/>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4" customHeight="1" thickTop="1">
      <c r="A219" s="1"/>
      <c r="B219" s="1"/>
      <c r="C219" s="10" t="s">
        <v>191</v>
      </c>
      <c r="D219" s="1"/>
      <c r="E219" s="1"/>
      <c r="F219" s="2581">
        <f>SUM(F215:G218)</f>
        <v>99498</v>
      </c>
      <c r="G219" s="2582"/>
      <c r="H219" s="1"/>
      <c r="I219" s="1"/>
      <c r="J219" s="11"/>
      <c r="K219" s="1"/>
      <c r="L219" s="1"/>
      <c r="M219" s="1"/>
      <c r="N219" s="1"/>
      <c r="O219" s="1"/>
      <c r="P219" s="1"/>
      <c r="Q219" s="1"/>
      <c r="R219" s="3780"/>
      <c r="S219" s="3818"/>
      <c r="T219" s="3818"/>
      <c r="U219" s="3818"/>
      <c r="V219" s="378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9"/>
      <c r="JW219" s="450"/>
      <c r="JX219" s="450"/>
      <c r="JY219" s="450"/>
      <c r="JZ219" s="450"/>
      <c r="KA219" s="2249"/>
      <c r="KB219" s="2249"/>
      <c r="KC219" s="2249"/>
      <c r="KD219" s="2249"/>
      <c r="KE219" s="2249"/>
      <c r="KF219" s="2249"/>
      <c r="KG219" s="2249"/>
      <c r="KH219" s="2249"/>
      <c r="KI219" s="2249"/>
      <c r="KJ219" s="2249"/>
      <c r="KK219" s="2249"/>
      <c r="KL219" s="2249"/>
      <c r="KM219" s="2249"/>
      <c r="KN219" s="2249"/>
      <c r="KO219" s="2249"/>
      <c r="KP219" s="2249"/>
      <c r="KQ219" s="2249"/>
      <c r="KR219" s="2249"/>
      <c r="KS219" s="2249"/>
      <c r="KT219" s="2249"/>
      <c r="KU219" s="2249"/>
      <c r="KV219" s="2249"/>
      <c r="KW219" s="2249"/>
      <c r="KX219" s="2249"/>
      <c r="KY219" s="2249"/>
      <c r="KZ219" s="2249"/>
      <c r="LA219" s="2249"/>
      <c r="LB219" s="2249"/>
      <c r="LC219" s="2249"/>
      <c r="LD219" s="2249"/>
      <c r="LE219" s="2249"/>
      <c r="LF219" s="2249"/>
      <c r="LG219" s="450"/>
      <c r="LH219" s="450"/>
      <c r="LI219" s="450"/>
      <c r="LJ219" s="450"/>
      <c r="LK219" s="450"/>
      <c r="LL219" s="450"/>
      <c r="LM219" s="2250"/>
      <c r="LN219" s="450"/>
      <c r="LO219" s="450"/>
      <c r="LP219" s="450"/>
      <c r="LQ219" s="450"/>
      <c r="LR219" s="450"/>
      <c r="LS219" s="450"/>
      <c r="LT219" s="450"/>
      <c r="LU219" s="450"/>
      <c r="LV219" s="450"/>
      <c r="LW219" s="450"/>
      <c r="LX219" s="450"/>
      <c r="LY219" s="450"/>
      <c r="LZ219" s="450"/>
      <c r="MA219" s="450"/>
      <c r="MB219" s="450"/>
      <c r="MC219" s="2250"/>
      <c r="MD219" s="2250"/>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80"/>
      <c r="S220" s="3818"/>
      <c r="T220" s="3818"/>
      <c r="U220" s="3818"/>
      <c r="V220" s="378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9"/>
      <c r="JW220" s="450"/>
      <c r="JX220" s="450"/>
      <c r="JY220" s="450"/>
      <c r="JZ220" s="450"/>
      <c r="KA220" s="2249"/>
      <c r="KB220" s="2249"/>
      <c r="KC220" s="2249"/>
      <c r="KD220" s="2249"/>
      <c r="KE220" s="2249"/>
      <c r="KF220" s="2249"/>
      <c r="KG220" s="2249"/>
      <c r="KH220" s="2249"/>
      <c r="KI220" s="2249"/>
      <c r="KJ220" s="2249"/>
      <c r="KK220" s="2249"/>
      <c r="KL220" s="2249"/>
      <c r="KM220" s="2249"/>
      <c r="KN220" s="2249"/>
      <c r="KO220" s="2249"/>
      <c r="KP220" s="2249"/>
      <c r="KQ220" s="2249"/>
      <c r="KR220" s="2249"/>
      <c r="KS220" s="2249"/>
      <c r="KT220" s="2249"/>
      <c r="KU220" s="2249"/>
      <c r="KV220" s="2249"/>
      <c r="KW220" s="2249"/>
      <c r="KX220" s="2249"/>
      <c r="KY220" s="2249"/>
      <c r="KZ220" s="2249"/>
      <c r="LA220" s="2249"/>
      <c r="LB220" s="2249"/>
      <c r="LC220" s="2249"/>
      <c r="LD220" s="2249"/>
      <c r="LE220" s="2249"/>
      <c r="LF220" s="2249"/>
      <c r="LG220" s="450"/>
      <c r="LH220" s="450"/>
      <c r="LI220" s="450"/>
      <c r="LJ220" s="450"/>
      <c r="LK220" s="450"/>
      <c r="LL220" s="450"/>
      <c r="LM220" s="2250"/>
      <c r="LN220" s="450"/>
      <c r="LO220" s="450"/>
      <c r="LP220" s="450"/>
      <c r="LQ220" s="450"/>
      <c r="LR220" s="450"/>
      <c r="LS220" s="450"/>
      <c r="LT220" s="450"/>
      <c r="LU220" s="450"/>
      <c r="LV220" s="450"/>
      <c r="LW220" s="450"/>
      <c r="LX220" s="450"/>
      <c r="LY220" s="450"/>
      <c r="LZ220" s="450"/>
      <c r="MA220" s="450"/>
      <c r="MB220" s="450"/>
      <c r="MC220" s="2250"/>
      <c r="MD220" s="2250"/>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32166</v>
      </c>
      <c r="Q221" s="874"/>
      <c r="R221" s="3780"/>
      <c r="S221" s="3818"/>
      <c r="T221" s="3818"/>
      <c r="U221" s="3818"/>
      <c r="V221" s="378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9"/>
      <c r="JW221" s="450"/>
      <c r="JX221" s="450"/>
      <c r="JY221" s="450"/>
      <c r="JZ221" s="450"/>
      <c r="KA221" s="2249"/>
      <c r="KB221" s="2249"/>
      <c r="KC221" s="2249"/>
      <c r="KD221" s="2249"/>
      <c r="KE221" s="2249"/>
      <c r="KF221" s="2249"/>
      <c r="KG221" s="2249"/>
      <c r="KH221" s="2249"/>
      <c r="KI221" s="2249"/>
      <c r="KJ221" s="2249"/>
      <c r="KK221" s="2249"/>
      <c r="KL221" s="2249"/>
      <c r="KM221" s="2249"/>
      <c r="KN221" s="2249"/>
      <c r="KO221" s="2249"/>
      <c r="KP221" s="2249"/>
      <c r="KQ221" s="2249"/>
      <c r="KR221" s="2249"/>
      <c r="KS221" s="2249"/>
      <c r="KT221" s="2249"/>
      <c r="KU221" s="2249"/>
      <c r="KV221" s="2249"/>
      <c r="KW221" s="2249"/>
      <c r="KX221" s="2249"/>
      <c r="KY221" s="2249"/>
      <c r="KZ221" s="2249"/>
      <c r="LA221" s="2249"/>
      <c r="LB221" s="2249"/>
      <c r="LC221" s="2249"/>
      <c r="LD221" s="2249"/>
      <c r="LE221" s="2249"/>
      <c r="LF221" s="2249"/>
      <c r="LG221" s="450"/>
      <c r="LH221" s="450"/>
      <c r="LI221" s="450"/>
      <c r="LJ221" s="450"/>
      <c r="LK221" s="450"/>
      <c r="LL221" s="450"/>
      <c r="LM221" s="2250"/>
      <c r="LN221" s="450"/>
      <c r="LO221" s="450"/>
      <c r="LP221" s="450"/>
      <c r="LQ221" s="450"/>
      <c r="LR221" s="450"/>
      <c r="LS221" s="450"/>
      <c r="LT221" s="450"/>
      <c r="LU221" s="450"/>
      <c r="LV221" s="450"/>
      <c r="LW221" s="450"/>
      <c r="LX221" s="450"/>
      <c r="LY221" s="450"/>
      <c r="LZ221" s="450"/>
      <c r="MA221" s="450"/>
      <c r="MB221" s="450"/>
      <c r="MC221" s="2250"/>
      <c r="MD221" s="2250"/>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4" customHeight="1">
      <c r="A222" s="1"/>
      <c r="B222" s="1" t="s">
        <v>1372</v>
      </c>
      <c r="C222" s="1"/>
      <c r="D222" s="8"/>
      <c r="E222" s="1"/>
      <c r="F222" s="3831">
        <v>6400</v>
      </c>
      <c r="G222" s="3832"/>
      <c r="H222" s="1"/>
      <c r="I222" s="1" t="s">
        <v>1602</v>
      </c>
      <c r="J222" s="1"/>
      <c r="K222" s="3845">
        <v>2000</v>
      </c>
      <c r="L222" s="3846"/>
      <c r="M222" s="1"/>
      <c r="N222" s="393">
        <f>+P221/(O67*0.93)</f>
        <v>411.75115207373267</v>
      </c>
      <c r="O222" s="66" t="s">
        <v>2757</v>
      </c>
      <c r="P222" s="1"/>
      <c r="Q222" s="1"/>
      <c r="R222" s="3780"/>
      <c r="S222" s="3818"/>
      <c r="T222" s="3818"/>
      <c r="U222" s="3818"/>
      <c r="V222" s="378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9"/>
      <c r="JW222" s="450"/>
      <c r="JX222" s="450"/>
      <c r="JY222" s="450"/>
      <c r="JZ222" s="450"/>
      <c r="KA222" s="2249"/>
      <c r="KB222" s="2249"/>
      <c r="KC222" s="2249"/>
      <c r="KD222" s="2249"/>
      <c r="KE222" s="2249"/>
      <c r="KF222" s="2249"/>
      <c r="KG222" s="2249"/>
      <c r="KH222" s="2249"/>
      <c r="KI222" s="2249"/>
      <c r="KJ222" s="2249"/>
      <c r="KK222" s="2249"/>
      <c r="KL222" s="2249"/>
      <c r="KM222" s="2249"/>
      <c r="KN222" s="2249"/>
      <c r="KO222" s="2249"/>
      <c r="KP222" s="2249"/>
      <c r="KQ222" s="2249"/>
      <c r="KR222" s="2249"/>
      <c r="KS222" s="2249"/>
      <c r="KT222" s="2249"/>
      <c r="KU222" s="2249"/>
      <c r="KV222" s="2249"/>
      <c r="KW222" s="2249"/>
      <c r="KX222" s="2249"/>
      <c r="KY222" s="2249"/>
      <c r="KZ222" s="2249"/>
      <c r="LA222" s="2249"/>
      <c r="LB222" s="2249"/>
      <c r="LC222" s="2249"/>
      <c r="LD222" s="2249"/>
      <c r="LE222" s="2249"/>
      <c r="LF222" s="2249"/>
      <c r="LG222" s="450"/>
      <c r="LH222" s="450"/>
      <c r="LI222" s="450"/>
      <c r="LJ222" s="450"/>
      <c r="LK222" s="450"/>
      <c r="LL222" s="450"/>
      <c r="LM222" s="2250"/>
      <c r="LN222" s="450"/>
      <c r="LO222" s="450"/>
      <c r="LP222" s="450"/>
      <c r="LQ222" s="450"/>
      <c r="LR222" s="450"/>
      <c r="LS222" s="450"/>
      <c r="LT222" s="450"/>
      <c r="LU222" s="450"/>
      <c r="LV222" s="450"/>
      <c r="LW222" s="450"/>
      <c r="LX222" s="450"/>
      <c r="LY222" s="450"/>
      <c r="LZ222" s="450"/>
      <c r="MA222" s="450"/>
      <c r="MB222" s="450"/>
      <c r="MC222" s="2250"/>
      <c r="MD222" s="2250"/>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4" customHeight="1">
      <c r="A223" s="1"/>
      <c r="B223" s="1" t="s">
        <v>1373</v>
      </c>
      <c r="C223" s="1"/>
      <c r="D223" s="8"/>
      <c r="E223" s="1"/>
      <c r="F223" s="3834">
        <v>5600</v>
      </c>
      <c r="G223" s="3835"/>
      <c r="H223" s="1"/>
      <c r="I223" s="1" t="s">
        <v>2050</v>
      </c>
      <c r="J223" s="1"/>
      <c r="K223" s="3847">
        <v>8000</v>
      </c>
      <c r="L223" s="3848"/>
      <c r="M223" s="1"/>
      <c r="N223" s="393">
        <f>+P221/(O67*0.93)/12</f>
        <v>34.312596006144389</v>
      </c>
      <c r="O223" s="66" t="s">
        <v>2758</v>
      </c>
      <c r="P223" s="1"/>
      <c r="Q223" s="1"/>
      <c r="R223" s="3780"/>
      <c r="S223" s="3818"/>
      <c r="T223" s="3818"/>
      <c r="U223" s="3818"/>
      <c r="V223" s="378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9"/>
      <c r="JW223" s="450"/>
      <c r="JX223" s="450"/>
      <c r="JY223" s="450"/>
      <c r="JZ223" s="450"/>
      <c r="KA223" s="2249"/>
      <c r="KB223" s="2249"/>
      <c r="KC223" s="2249"/>
      <c r="KD223" s="2249"/>
      <c r="KE223" s="2249"/>
      <c r="KF223" s="2249"/>
      <c r="KG223" s="2249"/>
      <c r="KH223" s="2249"/>
      <c r="KI223" s="2249"/>
      <c r="KJ223" s="2249"/>
      <c r="KK223" s="2249"/>
      <c r="KL223" s="2249"/>
      <c r="KM223" s="2249"/>
      <c r="KN223" s="2249"/>
      <c r="KO223" s="2249"/>
      <c r="KP223" s="2249"/>
      <c r="KQ223" s="2249"/>
      <c r="KR223" s="2249"/>
      <c r="KS223" s="2249"/>
      <c r="KT223" s="2249"/>
      <c r="KU223" s="2249"/>
      <c r="KV223" s="2249"/>
      <c r="KW223" s="2249"/>
      <c r="KX223" s="2249"/>
      <c r="KY223" s="2249"/>
      <c r="KZ223" s="2249"/>
      <c r="LA223" s="2249"/>
      <c r="LB223" s="2249"/>
      <c r="LC223" s="2249"/>
      <c r="LD223" s="2249"/>
      <c r="LE223" s="2249"/>
      <c r="LF223" s="2249"/>
      <c r="LG223" s="450"/>
      <c r="LH223" s="450"/>
      <c r="LI223" s="450"/>
      <c r="LJ223" s="450"/>
      <c r="LK223" s="450"/>
      <c r="LL223" s="450"/>
      <c r="LM223" s="2250"/>
      <c r="LN223" s="450"/>
      <c r="LO223" s="450"/>
      <c r="LP223" s="450"/>
      <c r="LQ223" s="450"/>
      <c r="LR223" s="450"/>
      <c r="LS223" s="450"/>
      <c r="LT223" s="450"/>
      <c r="LU223" s="450"/>
      <c r="LV223" s="450"/>
      <c r="LW223" s="450"/>
      <c r="LX223" s="450"/>
      <c r="LY223" s="450"/>
      <c r="LZ223" s="450"/>
      <c r="MA223" s="450"/>
      <c r="MB223" s="450"/>
      <c r="MC223" s="2250"/>
      <c r="MD223" s="2250"/>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4" customHeight="1">
      <c r="A224" s="1"/>
      <c r="B224" s="1" t="s">
        <v>1374</v>
      </c>
      <c r="C224" s="1"/>
      <c r="D224" s="8"/>
      <c r="E224" s="1"/>
      <c r="F224" s="3834">
        <v>2500</v>
      </c>
      <c r="G224" s="3835"/>
      <c r="H224" s="1"/>
      <c r="I224" s="1" t="s">
        <v>1603</v>
      </c>
      <c r="J224" s="1"/>
      <c r="K224" s="3847">
        <v>2500</v>
      </c>
      <c r="L224" s="3848"/>
      <c r="M224" s="1"/>
      <c r="N224" s="35" t="s">
        <v>3726</v>
      </c>
      <c r="O224" s="972"/>
      <c r="P224" s="972"/>
      <c r="Q224" s="2298"/>
      <c r="R224" s="3780"/>
      <c r="S224" s="3818"/>
      <c r="T224" s="3818"/>
      <c r="U224" s="3818"/>
      <c r="V224" s="378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9"/>
      <c r="JW224" s="450"/>
      <c r="JX224" s="450"/>
      <c r="JY224" s="450"/>
      <c r="JZ224" s="450"/>
      <c r="KA224" s="2249"/>
      <c r="KB224" s="2249"/>
      <c r="KC224" s="2249"/>
      <c r="KD224" s="2249"/>
      <c r="KE224" s="2249"/>
      <c r="KF224" s="2249"/>
      <c r="KG224" s="2249"/>
      <c r="KH224" s="2249"/>
      <c r="KI224" s="2249"/>
      <c r="KJ224" s="2249"/>
      <c r="KK224" s="2249"/>
      <c r="KL224" s="2249"/>
      <c r="KM224" s="2249"/>
      <c r="KN224" s="2249"/>
      <c r="KO224" s="2249"/>
      <c r="KP224" s="2249"/>
      <c r="KQ224" s="2249"/>
      <c r="KR224" s="2249"/>
      <c r="KS224" s="2249"/>
      <c r="KT224" s="2249"/>
      <c r="KU224" s="2249"/>
      <c r="KV224" s="2249"/>
      <c r="KW224" s="2249"/>
      <c r="KX224" s="2249"/>
      <c r="KY224" s="2249"/>
      <c r="KZ224" s="2249"/>
      <c r="LA224" s="2249"/>
      <c r="LB224" s="2249"/>
      <c r="LC224" s="2249"/>
      <c r="LD224" s="2249"/>
      <c r="LE224" s="2249"/>
      <c r="LF224" s="2249"/>
      <c r="LG224" s="450"/>
      <c r="LH224" s="450"/>
      <c r="LI224" s="450"/>
      <c r="LJ224" s="450"/>
      <c r="LK224" s="450"/>
      <c r="LL224" s="450"/>
      <c r="LM224" s="2250"/>
      <c r="LN224" s="450"/>
      <c r="LO224" s="450"/>
      <c r="LP224" s="450"/>
      <c r="LQ224" s="450"/>
      <c r="LR224" s="450"/>
      <c r="LS224" s="450"/>
      <c r="LT224" s="450"/>
      <c r="LU224" s="450"/>
      <c r="LV224" s="450"/>
      <c r="LW224" s="450"/>
      <c r="LX224" s="450"/>
      <c r="LY224" s="450"/>
      <c r="LZ224" s="450"/>
      <c r="MA224" s="450"/>
      <c r="MB224" s="450"/>
      <c r="MC224" s="2250"/>
      <c r="MD224" s="2250"/>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4" customHeight="1" thickBot="1">
      <c r="A225" s="1"/>
      <c r="B225" s="1" t="s">
        <v>2342</v>
      </c>
      <c r="C225" s="1"/>
      <c r="D225" s="8"/>
      <c r="E225" s="1"/>
      <c r="F225" s="3834"/>
      <c r="G225" s="3835"/>
      <c r="H225" s="1"/>
      <c r="I225" s="3839"/>
      <c r="J225" s="3840"/>
      <c r="K225" s="3849"/>
      <c r="L225" s="3850"/>
      <c r="M225" s="1"/>
      <c r="N225" s="972"/>
      <c r="O225" s="972"/>
      <c r="P225" s="972"/>
      <c r="Q225" s="2298"/>
      <c r="R225" s="3780"/>
      <c r="S225" s="3818"/>
      <c r="T225" s="3818"/>
      <c r="U225" s="3818"/>
      <c r="V225" s="378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9"/>
      <c r="JW225" s="450"/>
      <c r="JX225" s="450"/>
      <c r="JY225" s="450"/>
      <c r="JZ225" s="450"/>
      <c r="KA225" s="2249"/>
      <c r="KB225" s="2249"/>
      <c r="KC225" s="2249"/>
      <c r="KD225" s="2249"/>
      <c r="KE225" s="2249"/>
      <c r="KF225" s="2249"/>
      <c r="KG225" s="2249"/>
      <c r="KH225" s="2249"/>
      <c r="KI225" s="2249"/>
      <c r="KJ225" s="2249"/>
      <c r="KK225" s="2249"/>
      <c r="KL225" s="2249"/>
      <c r="KM225" s="2249"/>
      <c r="KN225" s="2249"/>
      <c r="KO225" s="2249"/>
      <c r="KP225" s="2249"/>
      <c r="KQ225" s="2249"/>
      <c r="KR225" s="2249"/>
      <c r="KS225" s="2249"/>
      <c r="KT225" s="2249"/>
      <c r="KU225" s="2249"/>
      <c r="KV225" s="2249"/>
      <c r="KW225" s="2249"/>
      <c r="KX225" s="2249"/>
      <c r="KY225" s="2249"/>
      <c r="KZ225" s="2249"/>
      <c r="LA225" s="2249"/>
      <c r="LB225" s="2249"/>
      <c r="LC225" s="2249"/>
      <c r="LD225" s="2249"/>
      <c r="LE225" s="2249"/>
      <c r="LF225" s="2249"/>
      <c r="LG225" s="450"/>
      <c r="LH225" s="450"/>
      <c r="LI225" s="450"/>
      <c r="LJ225" s="450"/>
      <c r="LK225" s="450"/>
      <c r="LL225" s="450"/>
      <c r="LM225" s="2250"/>
      <c r="LN225" s="450"/>
      <c r="LO225" s="450"/>
      <c r="LP225" s="450"/>
      <c r="LQ225" s="450"/>
      <c r="LR225" s="450"/>
      <c r="LS225" s="450"/>
      <c r="LT225" s="450"/>
      <c r="LU225" s="450"/>
      <c r="LV225" s="450"/>
      <c r="LW225" s="450"/>
      <c r="LX225" s="450"/>
      <c r="LY225" s="450"/>
      <c r="LZ225" s="450"/>
      <c r="MA225" s="450"/>
      <c r="MB225" s="450"/>
      <c r="MC225" s="2250"/>
      <c r="MD225" s="2250"/>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4" customHeight="1" thickTop="1" thickBot="1">
      <c r="A226" s="1"/>
      <c r="B226" s="1" t="s">
        <v>1600</v>
      </c>
      <c r="C226" s="1"/>
      <c r="D226" s="8"/>
      <c r="E226" s="1"/>
      <c r="F226" s="3834"/>
      <c r="G226" s="3835"/>
      <c r="H226" s="1"/>
      <c r="I226" s="9"/>
      <c r="J226" s="10" t="s">
        <v>191</v>
      </c>
      <c r="K226" s="2583">
        <f>SUM(K222:K225)</f>
        <v>12500</v>
      </c>
      <c r="L226" s="2584"/>
      <c r="M226" s="2585" t="str">
        <f>IF(P228="","",IF(P226&lt;P228, "WARNING! OE below required minimum.",""))</f>
        <v/>
      </c>
      <c r="N226" s="9" t="s">
        <v>2187</v>
      </c>
      <c r="O226" s="4"/>
      <c r="P226" s="403">
        <f>F219+F228+F239+K217+K226+K236+P218+P221</f>
        <v>334107</v>
      </c>
      <c r="R226" s="3780"/>
      <c r="S226" s="3818"/>
      <c r="T226" s="3818"/>
      <c r="U226" s="3818"/>
      <c r="V226" s="378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9"/>
      <c r="JW226" s="450"/>
      <c r="JX226" s="450"/>
      <c r="JY226" s="450"/>
      <c r="JZ226" s="450"/>
      <c r="KA226" s="2249"/>
      <c r="KB226" s="2249"/>
      <c r="KC226" s="2249"/>
      <c r="KD226" s="2249"/>
      <c r="KE226" s="2249"/>
      <c r="KF226" s="2249"/>
      <c r="KG226" s="2249"/>
      <c r="KH226" s="2249"/>
      <c r="KI226" s="2249"/>
      <c r="KJ226" s="2249"/>
      <c r="KK226" s="2249"/>
      <c r="KL226" s="2249"/>
      <c r="KM226" s="2249"/>
      <c r="KN226" s="2249"/>
      <c r="KO226" s="2249"/>
      <c r="KP226" s="2249"/>
      <c r="KQ226" s="2249"/>
      <c r="KR226" s="2249"/>
      <c r="KS226" s="2249"/>
      <c r="KT226" s="2249"/>
      <c r="KU226" s="2249"/>
      <c r="KV226" s="2249"/>
      <c r="KW226" s="2249"/>
      <c r="KX226" s="2249"/>
      <c r="KY226" s="2249"/>
      <c r="KZ226" s="2249"/>
      <c r="LA226" s="2249"/>
      <c r="LB226" s="2249"/>
      <c r="LC226" s="2249"/>
      <c r="LD226" s="2249"/>
      <c r="LE226" s="2249"/>
      <c r="LF226" s="2249"/>
      <c r="LG226" s="450"/>
      <c r="LH226" s="450"/>
      <c r="LI226" s="450"/>
      <c r="LJ226" s="450"/>
      <c r="LK226" s="450"/>
      <c r="LL226" s="450"/>
      <c r="LM226" s="2250"/>
      <c r="LN226" s="450"/>
      <c r="LO226" s="450"/>
      <c r="LP226" s="450"/>
      <c r="LQ226" s="450"/>
      <c r="LR226" s="450"/>
      <c r="LS226" s="450"/>
      <c r="LT226" s="450"/>
      <c r="LU226" s="450"/>
      <c r="LV226" s="450"/>
      <c r="LW226" s="450"/>
      <c r="LX226" s="450"/>
      <c r="LY226" s="450"/>
      <c r="LZ226" s="450"/>
      <c r="MA226" s="450"/>
      <c r="MB226" s="450"/>
      <c r="MC226" s="2250"/>
      <c r="MD226" s="2250"/>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4" customHeight="1" thickBot="1">
      <c r="A227" s="1"/>
      <c r="B227" s="3842" t="s">
        <v>51</v>
      </c>
      <c r="C227" s="3843"/>
      <c r="D227" s="3843"/>
      <c r="E227" s="3844"/>
      <c r="F227" s="3836"/>
      <c r="G227" s="3837"/>
      <c r="H227" s="1"/>
      <c r="I227" s="1"/>
      <c r="J227" s="11"/>
      <c r="K227" s="1"/>
      <c r="L227" s="1"/>
      <c r="M227" s="2585"/>
      <c r="N227" s="66" t="s">
        <v>2759</v>
      </c>
      <c r="O227" s="393">
        <f>+P226/O67</f>
        <v>3977.4642857142858</v>
      </c>
      <c r="Q227" s="873"/>
      <c r="R227" s="3780"/>
      <c r="S227" s="3818"/>
      <c r="T227" s="3818"/>
      <c r="U227" s="3818"/>
      <c r="V227" s="378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9"/>
      <c r="JW227" s="450"/>
      <c r="JX227" s="450"/>
      <c r="JY227" s="450"/>
      <c r="JZ227" s="450"/>
      <c r="KA227" s="2249"/>
      <c r="KB227" s="2249"/>
      <c r="KC227" s="2249"/>
      <c r="KD227" s="2249"/>
      <c r="KE227" s="2249"/>
      <c r="KF227" s="2249"/>
      <c r="KG227" s="2249"/>
      <c r="KH227" s="2249"/>
      <c r="KI227" s="2249"/>
      <c r="KJ227" s="2249"/>
      <c r="KK227" s="2249"/>
      <c r="KL227" s="2249"/>
      <c r="KM227" s="2249"/>
      <c r="KN227" s="2249"/>
      <c r="KO227" s="2249"/>
      <c r="KP227" s="2249"/>
      <c r="KQ227" s="2249"/>
      <c r="KR227" s="2249"/>
      <c r="KS227" s="2249"/>
      <c r="KT227" s="2249"/>
      <c r="KU227" s="2249"/>
      <c r="KV227" s="2249"/>
      <c r="KW227" s="2249"/>
      <c r="KX227" s="2249"/>
      <c r="KY227" s="2249"/>
      <c r="KZ227" s="2249"/>
      <c r="LA227" s="2249"/>
      <c r="LB227" s="2249"/>
      <c r="LC227" s="2249"/>
      <c r="LD227" s="2249"/>
      <c r="LE227" s="2249"/>
      <c r="LF227" s="2249"/>
      <c r="LG227" s="450"/>
      <c r="LH227" s="450"/>
      <c r="LI227" s="450"/>
      <c r="LJ227" s="450"/>
      <c r="LK227" s="450"/>
      <c r="LL227" s="450"/>
      <c r="LM227" s="2250"/>
      <c r="LN227" s="450"/>
      <c r="LO227" s="450"/>
      <c r="LP227" s="450"/>
      <c r="LQ227" s="450"/>
      <c r="LR227" s="450"/>
      <c r="LS227" s="450"/>
      <c r="LT227" s="450"/>
      <c r="LU227" s="450"/>
      <c r="LV227" s="450"/>
      <c r="LW227" s="450"/>
      <c r="LX227" s="450"/>
      <c r="LY227" s="450"/>
      <c r="LZ227" s="450"/>
      <c r="MA227" s="450"/>
      <c r="MB227" s="450"/>
      <c r="MC227" s="2250"/>
      <c r="MD227" s="2250"/>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4" customHeight="1" thickTop="1">
      <c r="A228" s="1"/>
      <c r="B228" s="1"/>
      <c r="C228" s="10" t="s">
        <v>191</v>
      </c>
      <c r="D228" s="1"/>
      <c r="E228" s="1"/>
      <c r="F228" s="2581">
        <f>SUM(F222:G227)</f>
        <v>14500</v>
      </c>
      <c r="G228" s="2582"/>
      <c r="H228" s="1"/>
      <c r="I228" s="1"/>
      <c r="J228" s="11"/>
      <c r="K228" s="1"/>
      <c r="L228" s="1"/>
      <c r="M228" s="2585"/>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273000</v>
      </c>
      <c r="R228" s="3780"/>
      <c r="S228" s="3818"/>
      <c r="T228" s="3818"/>
      <c r="U228" s="3818"/>
      <c r="V228" s="378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9"/>
      <c r="JW228" s="450"/>
      <c r="JX228" s="450"/>
      <c r="JY228" s="450"/>
      <c r="JZ228" s="450"/>
      <c r="KA228" s="2249"/>
      <c r="KB228" s="2249"/>
      <c r="KC228" s="2249"/>
      <c r="KD228" s="2249"/>
      <c r="KE228" s="2249"/>
      <c r="KF228" s="2249"/>
      <c r="KG228" s="2249"/>
      <c r="KH228" s="2249"/>
      <c r="KI228" s="2249"/>
      <c r="KJ228" s="2249"/>
      <c r="KK228" s="2249"/>
      <c r="KL228" s="2249"/>
      <c r="KM228" s="2249"/>
      <c r="KN228" s="2249"/>
      <c r="KO228" s="2249"/>
      <c r="KP228" s="2249"/>
      <c r="KQ228" s="2249"/>
      <c r="KR228" s="2249"/>
      <c r="KS228" s="2249"/>
      <c r="KT228" s="2249"/>
      <c r="KU228" s="2249"/>
      <c r="KV228" s="2249"/>
      <c r="KW228" s="2249"/>
      <c r="KX228" s="2249"/>
      <c r="KY228" s="2249"/>
      <c r="KZ228" s="2249"/>
      <c r="LA228" s="2249"/>
      <c r="LB228" s="2249"/>
      <c r="LC228" s="2249"/>
      <c r="LD228" s="2249"/>
      <c r="LE228" s="2249"/>
      <c r="LF228" s="2249"/>
      <c r="LG228" s="450"/>
      <c r="LH228" s="450"/>
      <c r="LI228" s="450"/>
      <c r="LJ228" s="450"/>
      <c r="LK228" s="450"/>
      <c r="LL228" s="450"/>
      <c r="LM228" s="2250"/>
      <c r="LN228" s="450"/>
      <c r="LO228" s="450"/>
      <c r="LP228" s="450"/>
      <c r="LQ228" s="450"/>
      <c r="LR228" s="450"/>
      <c r="LS228" s="450"/>
      <c r="LT228" s="450"/>
      <c r="LU228" s="450"/>
      <c r="LV228" s="450"/>
      <c r="LW228" s="450"/>
      <c r="LX228" s="450"/>
      <c r="LY228" s="450"/>
      <c r="LZ228" s="450"/>
      <c r="MA228" s="450"/>
      <c r="MB228" s="450"/>
      <c r="MC228" s="2250"/>
      <c r="MD228" s="2250"/>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85"/>
      <c r="N229" s="1"/>
      <c r="O229" s="1"/>
      <c r="P229" s="4"/>
      <c r="Q229" s="4"/>
      <c r="R229" s="3780"/>
      <c r="S229" s="3818"/>
      <c r="T229" s="3818"/>
      <c r="U229" s="3818"/>
      <c r="V229" s="378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9"/>
      <c r="JW229" s="450"/>
      <c r="JX229" s="450"/>
      <c r="JY229" s="450"/>
      <c r="JZ229" s="450"/>
      <c r="KA229" s="2249"/>
      <c r="KB229" s="2249"/>
      <c r="KC229" s="2249"/>
      <c r="KD229" s="2249"/>
      <c r="KE229" s="2249"/>
      <c r="KF229" s="2249"/>
      <c r="KG229" s="2249"/>
      <c r="KH229" s="2249"/>
      <c r="KI229" s="2249"/>
      <c r="KJ229" s="2249"/>
      <c r="KK229" s="2249"/>
      <c r="KL229" s="2249"/>
      <c r="KM229" s="2249"/>
      <c r="KN229" s="2249"/>
      <c r="KO229" s="2249"/>
      <c r="KP229" s="2249"/>
      <c r="KQ229" s="2249"/>
      <c r="KR229" s="2249"/>
      <c r="KS229" s="2249"/>
      <c r="KT229" s="2249"/>
      <c r="KU229" s="2249"/>
      <c r="KV229" s="2249"/>
      <c r="KW229" s="2249"/>
      <c r="KX229" s="2249"/>
      <c r="KY229" s="2249"/>
      <c r="KZ229" s="2249"/>
      <c r="LA229" s="2249"/>
      <c r="LB229" s="2249"/>
      <c r="LC229" s="2249"/>
      <c r="LD229" s="2249"/>
      <c r="LE229" s="2249"/>
      <c r="LF229" s="2249"/>
      <c r="LG229" s="450"/>
      <c r="LH229" s="450"/>
      <c r="LI229" s="450"/>
      <c r="LJ229" s="450"/>
      <c r="LK229" s="450"/>
      <c r="LL229" s="450"/>
      <c r="LM229" s="2250"/>
      <c r="LN229" s="450"/>
      <c r="LO229" s="450"/>
      <c r="LP229" s="450"/>
      <c r="LQ229" s="450"/>
      <c r="LR229" s="450"/>
      <c r="LS229" s="450"/>
      <c r="LT229" s="450"/>
      <c r="LU229" s="450"/>
      <c r="LV229" s="450"/>
      <c r="LW229" s="450"/>
      <c r="LX229" s="450"/>
      <c r="LY229" s="450"/>
      <c r="LZ229" s="450"/>
      <c r="MA229" s="450"/>
      <c r="MB229" s="450"/>
      <c r="MC229" s="2250"/>
      <c r="MD229" s="2250"/>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2" t="s">
        <v>5009</v>
      </c>
      <c r="K230" s="1"/>
      <c r="L230" s="1"/>
      <c r="M230" s="1"/>
      <c r="N230" s="9" t="s">
        <v>3481</v>
      </c>
      <c r="O230" s="9"/>
      <c r="P230" s="3851">
        <f>P239</f>
        <v>21000</v>
      </c>
      <c r="Q230" s="874"/>
      <c r="R230" s="3780"/>
      <c r="S230" s="3818"/>
      <c r="T230" s="3818"/>
      <c r="U230" s="3818"/>
      <c r="V230" s="378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9"/>
      <c r="JW230" s="450"/>
      <c r="JX230" s="450"/>
      <c r="JY230" s="450"/>
      <c r="JZ230" s="450"/>
      <c r="KA230" s="2249"/>
      <c r="KB230" s="2249"/>
      <c r="KC230" s="2249"/>
      <c r="KD230" s="2249"/>
      <c r="KE230" s="2249"/>
      <c r="KF230" s="2249"/>
      <c r="KG230" s="2249"/>
      <c r="KH230" s="2249"/>
      <c r="KI230" s="2249"/>
      <c r="KJ230" s="2249"/>
      <c r="KK230" s="2249"/>
      <c r="KL230" s="2249"/>
      <c r="KM230" s="2249"/>
      <c r="KN230" s="2249"/>
      <c r="KO230" s="2249"/>
      <c r="KP230" s="2249"/>
      <c r="KQ230" s="2249"/>
      <c r="KR230" s="2249"/>
      <c r="KS230" s="2249"/>
      <c r="KT230" s="2249"/>
      <c r="KU230" s="2249"/>
      <c r="KV230" s="2249"/>
      <c r="KW230" s="2249"/>
      <c r="KX230" s="2249"/>
      <c r="KY230" s="2249"/>
      <c r="KZ230" s="2249"/>
      <c r="LA230" s="2249"/>
      <c r="LB230" s="2249"/>
      <c r="LC230" s="2249"/>
      <c r="LD230" s="2249"/>
      <c r="LE230" s="2249"/>
      <c r="LF230" s="2249"/>
      <c r="LG230" s="450"/>
      <c r="LH230" s="450"/>
      <c r="LI230" s="450"/>
      <c r="LJ230" s="450"/>
      <c r="LK230" s="450"/>
      <c r="LL230" s="450"/>
      <c r="LM230" s="2250"/>
      <c r="LN230" s="450"/>
      <c r="LO230" s="450"/>
      <c r="LP230" s="450"/>
      <c r="LQ230" s="450"/>
      <c r="LR230" s="450"/>
      <c r="LS230" s="450"/>
      <c r="LT230" s="450"/>
      <c r="LU230" s="450"/>
      <c r="LV230" s="450"/>
      <c r="LW230" s="450"/>
      <c r="LX230" s="450"/>
      <c r="LY230" s="450"/>
      <c r="LZ230" s="450"/>
      <c r="MA230" s="450"/>
      <c r="MB230" s="450"/>
      <c r="MC230" s="2250"/>
      <c r="MD230" s="2250"/>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4" customHeight="1" thickBot="1">
      <c r="A231" s="1"/>
      <c r="B231" s="1" t="s">
        <v>1604</v>
      </c>
      <c r="C231" s="1"/>
      <c r="D231" s="8"/>
      <c r="E231" s="1"/>
      <c r="F231" s="3852">
        <v>10000</v>
      </c>
      <c r="G231" s="3853"/>
      <c r="H231" s="1"/>
      <c r="I231" s="1" t="s">
        <v>1368</v>
      </c>
      <c r="J231" s="460">
        <f>K231/12/O67</f>
        <v>12.896825396825395</v>
      </c>
      <c r="K231" s="3845">
        <v>13000</v>
      </c>
      <c r="L231" s="3846"/>
      <c r="M231" s="2577" t="str">
        <f>IF(P230&lt;P239, "WARNING! RR proposed is below the DCA required minimum.","")</f>
        <v/>
      </c>
      <c r="N231" s="995" t="s">
        <v>5008</v>
      </c>
      <c r="O231" s="990"/>
      <c r="P231" s="996">
        <f>P230/O239</f>
        <v>250</v>
      </c>
      <c r="Q231" s="3854"/>
      <c r="R231" s="3780"/>
      <c r="S231" s="3818"/>
      <c r="T231" s="3818"/>
      <c r="U231" s="3818"/>
      <c r="V231" s="378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9"/>
      <c r="JW231" s="450"/>
      <c r="JX231" s="450"/>
      <c r="JY231" s="450"/>
      <c r="JZ231" s="450"/>
      <c r="KA231" s="2249"/>
      <c r="KB231" s="2249"/>
      <c r="KC231" s="2249"/>
      <c r="KD231" s="2249"/>
      <c r="KE231" s="2249"/>
      <c r="KF231" s="2249"/>
      <c r="KG231" s="2249"/>
      <c r="KH231" s="2249"/>
      <c r="KI231" s="2249"/>
      <c r="KJ231" s="2249"/>
      <c r="KK231" s="2249"/>
      <c r="KL231" s="2249"/>
      <c r="KM231" s="2249"/>
      <c r="KN231" s="2249"/>
      <c r="KO231" s="2249"/>
      <c r="KP231" s="2249"/>
      <c r="KQ231" s="2249"/>
      <c r="KR231" s="2249"/>
      <c r="KS231" s="2249"/>
      <c r="KT231" s="2249"/>
      <c r="KU231" s="2249"/>
      <c r="KV231" s="2249"/>
      <c r="KW231" s="2249"/>
      <c r="KX231" s="2249"/>
      <c r="KY231" s="2249"/>
      <c r="KZ231" s="2249"/>
      <c r="LA231" s="2249"/>
      <c r="LB231" s="2249"/>
      <c r="LC231" s="2249"/>
      <c r="LD231" s="2249"/>
      <c r="LE231" s="2249"/>
      <c r="LF231" s="2249"/>
      <c r="LG231" s="450"/>
      <c r="LH231" s="450"/>
      <c r="LI231" s="450"/>
      <c r="LJ231" s="450"/>
      <c r="LK231" s="450"/>
      <c r="LL231" s="450"/>
      <c r="LM231" s="2250"/>
      <c r="LN231" s="450"/>
      <c r="LO231" s="450"/>
      <c r="LP231" s="450"/>
      <c r="LQ231" s="450"/>
      <c r="LR231" s="450"/>
      <c r="LS231" s="450"/>
      <c r="LT231" s="450"/>
      <c r="LU231" s="450"/>
      <c r="LV231" s="450"/>
      <c r="LW231" s="450"/>
      <c r="LX231" s="450"/>
      <c r="LY231" s="450"/>
      <c r="LZ231" s="450"/>
      <c r="MA231" s="450"/>
      <c r="MB231" s="450"/>
      <c r="MC231" s="2250"/>
      <c r="MD231" s="2250"/>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4" customHeight="1">
      <c r="A232" s="1"/>
      <c r="B232" s="1" t="s">
        <v>1605</v>
      </c>
      <c r="C232" s="1"/>
      <c r="D232" s="8"/>
      <c r="E232" s="1"/>
      <c r="F232" s="3855"/>
      <c r="G232" s="3856"/>
      <c r="H232" s="1"/>
      <c r="I232" s="1" t="s">
        <v>1369</v>
      </c>
      <c r="J232" s="460">
        <f>K232/12/O67</f>
        <v>0</v>
      </c>
      <c r="K232" s="3847"/>
      <c r="L232" s="3848"/>
      <c r="M232" s="2577"/>
      <c r="N232" s="2578" t="s">
        <v>3734</v>
      </c>
      <c r="O232" s="2579"/>
      <c r="P232" s="2580"/>
      <c r="R232" s="3780"/>
      <c r="S232" s="3818"/>
      <c r="T232" s="3818"/>
      <c r="U232" s="3818"/>
      <c r="V232" s="378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9"/>
      <c r="JW232" s="450"/>
      <c r="JX232" s="450"/>
      <c r="JY232" s="450"/>
      <c r="JZ232" s="450"/>
      <c r="KA232" s="2249"/>
      <c r="KB232" s="2249"/>
      <c r="KC232" s="2249"/>
      <c r="KD232" s="2249"/>
      <c r="KE232" s="2249"/>
      <c r="KF232" s="2249"/>
      <c r="KG232" s="2249"/>
      <c r="KH232" s="2249"/>
      <c r="KI232" s="2249"/>
      <c r="KJ232" s="2249"/>
      <c r="KK232" s="2249"/>
      <c r="KL232" s="2249"/>
      <c r="KM232" s="2249"/>
      <c r="KN232" s="2249"/>
      <c r="KO232" s="2249"/>
      <c r="KP232" s="2249"/>
      <c r="KQ232" s="2249"/>
      <c r="KR232" s="2249"/>
      <c r="KS232" s="2249"/>
      <c r="KT232" s="2249"/>
      <c r="KU232" s="2249"/>
      <c r="KV232" s="2249"/>
      <c r="KW232" s="2249"/>
      <c r="KX232" s="2249"/>
      <c r="KY232" s="2249"/>
      <c r="KZ232" s="2249"/>
      <c r="LA232" s="2249"/>
      <c r="LB232" s="2249"/>
      <c r="LC232" s="2249"/>
      <c r="LD232" s="2249"/>
      <c r="LE232" s="2249"/>
      <c r="LF232" s="2249"/>
      <c r="LG232" s="450"/>
      <c r="LH232" s="450"/>
      <c r="LI232" s="450"/>
      <c r="LJ232" s="450"/>
      <c r="LK232" s="450"/>
      <c r="LL232" s="450"/>
      <c r="LM232" s="2250"/>
      <c r="LN232" s="450"/>
      <c r="LO232" s="450"/>
      <c r="LP232" s="450"/>
      <c r="LQ232" s="450"/>
      <c r="LR232" s="450"/>
      <c r="LS232" s="450"/>
      <c r="LT232" s="450"/>
      <c r="LU232" s="450"/>
      <c r="LV232" s="450"/>
      <c r="LW232" s="450"/>
      <c r="LX232" s="450"/>
      <c r="LY232" s="450"/>
      <c r="LZ232" s="450"/>
      <c r="MA232" s="450"/>
      <c r="MB232" s="450"/>
      <c r="MC232" s="2250"/>
      <c r="MD232" s="2250"/>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4" customHeight="1">
      <c r="A233" s="1"/>
      <c r="B233" s="1" t="s">
        <v>1606</v>
      </c>
      <c r="C233" s="1"/>
      <c r="D233" s="8"/>
      <c r="E233" s="1"/>
      <c r="F233" s="3855">
        <v>18500</v>
      </c>
      <c r="G233" s="3856"/>
      <c r="H233" s="1"/>
      <c r="I233" s="1" t="s">
        <v>2353</v>
      </c>
      <c r="J233" s="460">
        <f>K233/12/O67</f>
        <v>14.880952380952381</v>
      </c>
      <c r="K233" s="3847">
        <v>15000</v>
      </c>
      <c r="L233" s="3848"/>
      <c r="M233" s="2577"/>
      <c r="N233" s="989" t="s">
        <v>2715</v>
      </c>
      <c r="O233" s="870" t="s">
        <v>3845</v>
      </c>
      <c r="P233" s="991" t="s">
        <v>3438</v>
      </c>
      <c r="Q233" s="870"/>
      <c r="R233" s="3780"/>
      <c r="S233" s="3818"/>
      <c r="T233" s="3818"/>
      <c r="U233" s="3818"/>
      <c r="V233" s="378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9"/>
      <c r="JW233" s="450"/>
      <c r="JX233" s="450"/>
      <c r="JY233" s="450"/>
      <c r="JZ233" s="450"/>
      <c r="KA233" s="2249"/>
      <c r="KB233" s="2249"/>
      <c r="KC233" s="2249"/>
      <c r="KD233" s="2249"/>
      <c r="KE233" s="2249"/>
      <c r="KF233" s="2249"/>
      <c r="KG233" s="2249"/>
      <c r="KH233" s="2249"/>
      <c r="KI233" s="2249"/>
      <c r="KJ233" s="2249"/>
      <c r="KK233" s="2249"/>
      <c r="KL233" s="2249"/>
      <c r="KM233" s="2249"/>
      <c r="KN233" s="2249"/>
      <c r="KO233" s="2249"/>
      <c r="KP233" s="2249"/>
      <c r="KQ233" s="2249"/>
      <c r="KR233" s="2249"/>
      <c r="KS233" s="2249"/>
      <c r="KT233" s="2249"/>
      <c r="KU233" s="2249"/>
      <c r="KV233" s="2249"/>
      <c r="KW233" s="2249"/>
      <c r="KX233" s="2249"/>
      <c r="KY233" s="2249"/>
      <c r="KZ233" s="2249"/>
      <c r="LA233" s="2249"/>
      <c r="LB233" s="2249"/>
      <c r="LC233" s="2249"/>
      <c r="LD233" s="2249"/>
      <c r="LE233" s="2249"/>
      <c r="LF233" s="2249"/>
      <c r="LG233" s="450"/>
      <c r="LH233" s="450"/>
      <c r="LI233" s="450"/>
      <c r="LJ233" s="450"/>
      <c r="LK233" s="450"/>
      <c r="LL233" s="450"/>
      <c r="LM233" s="2250"/>
      <c r="LN233" s="450"/>
      <c r="LO233" s="450"/>
      <c r="LP233" s="450"/>
      <c r="LQ233" s="450"/>
      <c r="LR233" s="450"/>
      <c r="LS233" s="450"/>
      <c r="LT233" s="450"/>
      <c r="LU233" s="450"/>
      <c r="LV233" s="450"/>
      <c r="LW233" s="450"/>
      <c r="LX233" s="450"/>
      <c r="LY233" s="450"/>
      <c r="LZ233" s="450"/>
      <c r="MA233" s="450"/>
      <c r="MB233" s="450"/>
      <c r="MC233" s="2250"/>
      <c r="MD233" s="2250"/>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4" customHeight="1">
      <c r="A234" s="1"/>
      <c r="B234" s="1" t="s">
        <v>1003</v>
      </c>
      <c r="C234" s="1"/>
      <c r="D234" s="8"/>
      <c r="E234" s="1"/>
      <c r="F234" s="3834">
        <v>4200</v>
      </c>
      <c r="G234" s="3835"/>
      <c r="H234" s="1"/>
      <c r="I234" s="1" t="s">
        <v>1371</v>
      </c>
      <c r="J234" s="1"/>
      <c r="K234" s="3847">
        <v>7200</v>
      </c>
      <c r="L234" s="3848"/>
      <c r="M234" s="2577"/>
      <c r="N234" s="627" t="s">
        <v>39</v>
      </c>
      <c r="O234" s="628"/>
      <c r="P234" s="629"/>
      <c r="Q234" s="628"/>
      <c r="R234" s="3780"/>
      <c r="S234" s="3818"/>
      <c r="T234" s="3818"/>
      <c r="U234" s="3818"/>
      <c r="V234" s="378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9"/>
      <c r="JW234" s="450"/>
      <c r="JX234" s="450"/>
      <c r="JY234" s="450"/>
      <c r="JZ234" s="450"/>
      <c r="KA234" s="2249"/>
      <c r="KB234" s="2249"/>
      <c r="KC234" s="2249"/>
      <c r="KD234" s="2249"/>
      <c r="KE234" s="2249"/>
      <c r="KF234" s="2249"/>
      <c r="KG234" s="2249"/>
      <c r="KH234" s="2249"/>
      <c r="KI234" s="2249"/>
      <c r="KJ234" s="2249"/>
      <c r="KK234" s="2249"/>
      <c r="KL234" s="2249"/>
      <c r="KM234" s="2249"/>
      <c r="KN234" s="2249"/>
      <c r="KO234" s="2249"/>
      <c r="KP234" s="2249"/>
      <c r="KQ234" s="2249"/>
      <c r="KR234" s="2249"/>
      <c r="KS234" s="2249"/>
      <c r="KT234" s="2249"/>
      <c r="KU234" s="2249"/>
      <c r="KV234" s="2249"/>
      <c r="KW234" s="2249"/>
      <c r="KX234" s="2249"/>
      <c r="KY234" s="2249"/>
      <c r="KZ234" s="2249"/>
      <c r="LA234" s="2249"/>
      <c r="LB234" s="2249"/>
      <c r="LC234" s="2249"/>
      <c r="LD234" s="2249"/>
      <c r="LE234" s="2249"/>
      <c r="LF234" s="2249"/>
      <c r="LG234" s="450"/>
      <c r="LH234" s="450"/>
      <c r="LI234" s="450"/>
      <c r="LJ234" s="450"/>
      <c r="LK234" s="450"/>
      <c r="LL234" s="450"/>
      <c r="LM234" s="2250"/>
      <c r="LN234" s="450"/>
      <c r="LO234" s="450"/>
      <c r="LP234" s="450"/>
      <c r="LQ234" s="450"/>
      <c r="LR234" s="450"/>
      <c r="LS234" s="450"/>
      <c r="LT234" s="450"/>
      <c r="LU234" s="450"/>
      <c r="LV234" s="450"/>
      <c r="LW234" s="450"/>
      <c r="LX234" s="450"/>
      <c r="LY234" s="450"/>
      <c r="LZ234" s="450"/>
      <c r="MA234" s="450"/>
      <c r="MB234" s="450"/>
      <c r="MC234" s="2250"/>
      <c r="MD234" s="2250"/>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4" customHeight="1" thickBot="1">
      <c r="A235" s="1"/>
      <c r="B235" s="1" t="s">
        <v>1004</v>
      </c>
      <c r="C235" s="1"/>
      <c r="D235" s="8"/>
      <c r="E235" s="1"/>
      <c r="F235" s="3834">
        <v>7500</v>
      </c>
      <c r="G235" s="3835"/>
      <c r="H235" s="1"/>
      <c r="I235" s="3839" t="s">
        <v>51</v>
      </c>
      <c r="J235" s="3840"/>
      <c r="K235" s="3849"/>
      <c r="L235" s="3850"/>
      <c r="M235" s="2577"/>
      <c r="N235" s="492" t="s">
        <v>3430</v>
      </c>
      <c r="O235" s="876" t="str">
        <f>CONCATENATE(SUM(ME48:MI48)," units x $",'DCA Underwriting Assumptions'!$Q$64," =")</f>
        <v>0 units x $350 =</v>
      </c>
      <c r="P235" s="630">
        <f>SUM(ME48:MI48)*'DCA Underwriting Assumptions'!$Q$64</f>
        <v>0</v>
      </c>
      <c r="Q235" s="876"/>
      <c r="R235" s="3780"/>
      <c r="S235" s="3818"/>
      <c r="T235" s="3818"/>
      <c r="U235" s="3818"/>
      <c r="V235" s="378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9"/>
      <c r="JW235" s="450"/>
      <c r="JX235" s="450"/>
      <c r="JY235" s="450"/>
      <c r="JZ235" s="450"/>
      <c r="KA235" s="2249"/>
      <c r="KB235" s="2249"/>
      <c r="KC235" s="2249"/>
      <c r="KD235" s="2249"/>
      <c r="KE235" s="2249"/>
      <c r="KF235" s="2249"/>
      <c r="KG235" s="2249"/>
      <c r="KH235" s="2249"/>
      <c r="KI235" s="2249"/>
      <c r="KJ235" s="2249"/>
      <c r="KK235" s="2249"/>
      <c r="KL235" s="2249"/>
      <c r="KM235" s="2249"/>
      <c r="KN235" s="2249"/>
      <c r="KO235" s="2249"/>
      <c r="KP235" s="2249"/>
      <c r="KQ235" s="2249"/>
      <c r="KR235" s="2249"/>
      <c r="KS235" s="2249"/>
      <c r="KT235" s="2249"/>
      <c r="KU235" s="2249"/>
      <c r="KV235" s="2249"/>
      <c r="KW235" s="2249"/>
      <c r="KX235" s="2249"/>
      <c r="KY235" s="2249"/>
      <c r="KZ235" s="2249"/>
      <c r="LA235" s="2249"/>
      <c r="LB235" s="2249"/>
      <c r="LC235" s="2249"/>
      <c r="LD235" s="2249"/>
      <c r="LE235" s="2249"/>
      <c r="LF235" s="2249"/>
      <c r="LG235" s="450"/>
      <c r="LH235" s="450"/>
      <c r="LI235" s="450"/>
      <c r="LJ235" s="450"/>
      <c r="LK235" s="450"/>
      <c r="LL235" s="450"/>
      <c r="LM235" s="2250"/>
      <c r="LN235" s="450"/>
      <c r="LO235" s="450"/>
      <c r="LP235" s="450"/>
      <c r="LQ235" s="450"/>
      <c r="LR235" s="450"/>
      <c r="LS235" s="450"/>
      <c r="LT235" s="450"/>
      <c r="LU235" s="450"/>
      <c r="LV235" s="450"/>
      <c r="LW235" s="450"/>
      <c r="LX235" s="450"/>
      <c r="LY235" s="450"/>
      <c r="LZ235" s="450"/>
      <c r="MA235" s="450"/>
      <c r="MB235" s="450"/>
      <c r="MC235" s="2250"/>
      <c r="MD235" s="2250"/>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4" customHeight="1" thickTop="1">
      <c r="A236" s="1"/>
      <c r="B236" s="1" t="s">
        <v>1005</v>
      </c>
      <c r="C236" s="1"/>
      <c r="D236" s="8"/>
      <c r="E236" s="1"/>
      <c r="F236" s="3834"/>
      <c r="G236" s="3835"/>
      <c r="H236" s="1"/>
      <c r="I236" s="1"/>
      <c r="J236" s="10" t="s">
        <v>191</v>
      </c>
      <c r="K236" s="2583">
        <f>SUM(K231:K235)</f>
        <v>35200</v>
      </c>
      <c r="L236" s="2584"/>
      <c r="M236" s="2577"/>
      <c r="N236" s="492" t="s">
        <v>3429</v>
      </c>
      <c r="O236" s="876" t="str">
        <f>CONCATENATE(SUM(MJ48:MN48)," units x $",'DCA Underwriting Assumptions'!$Q$65," =")</f>
        <v>84 units x $250 =</v>
      </c>
      <c r="P236" s="630">
        <f>SUM(MJ48:MN48)*'DCA Underwriting Assumptions'!$Q$65</f>
        <v>21000</v>
      </c>
      <c r="Q236" s="876"/>
      <c r="R236" s="3780"/>
      <c r="S236" s="3818"/>
      <c r="T236" s="3818"/>
      <c r="U236" s="3818"/>
      <c r="V236" s="378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9"/>
      <c r="JW236" s="450"/>
      <c r="JX236" s="450"/>
      <c r="JY236" s="450"/>
      <c r="JZ236" s="450"/>
      <c r="KA236" s="2249"/>
      <c r="KB236" s="2249"/>
      <c r="KC236" s="2249"/>
      <c r="KD236" s="2249"/>
      <c r="KE236" s="2249"/>
      <c r="KF236" s="2249"/>
      <c r="KG236" s="2249"/>
      <c r="KH236" s="2249"/>
      <c r="KI236" s="2249"/>
      <c r="KJ236" s="2249"/>
      <c r="KK236" s="2249"/>
      <c r="KL236" s="2249"/>
      <c r="KM236" s="2249"/>
      <c r="KN236" s="2249"/>
      <c r="KO236" s="2249"/>
      <c r="KP236" s="2249"/>
      <c r="KQ236" s="2249"/>
      <c r="KR236" s="2249"/>
      <c r="KS236" s="2249"/>
      <c r="KT236" s="2249"/>
      <c r="KU236" s="2249"/>
      <c r="KV236" s="2249"/>
      <c r="KW236" s="2249"/>
      <c r="KX236" s="2249"/>
      <c r="KY236" s="2249"/>
      <c r="KZ236" s="2249"/>
      <c r="LA236" s="2249"/>
      <c r="LB236" s="2249"/>
      <c r="LC236" s="2249"/>
      <c r="LD236" s="2249"/>
      <c r="LE236" s="2249"/>
      <c r="LF236" s="2249"/>
      <c r="LG236" s="450"/>
      <c r="LH236" s="450"/>
      <c r="LI236" s="450"/>
      <c r="LJ236" s="450"/>
      <c r="LK236" s="450"/>
      <c r="LL236" s="450"/>
      <c r="LM236" s="2250"/>
      <c r="LN236" s="450"/>
      <c r="LO236" s="450"/>
      <c r="LP236" s="450"/>
      <c r="LQ236" s="450"/>
      <c r="LR236" s="450"/>
      <c r="LS236" s="450"/>
      <c r="LT236" s="450"/>
      <c r="LU236" s="450"/>
      <c r="LV236" s="450"/>
      <c r="LW236" s="450"/>
      <c r="LX236" s="450"/>
      <c r="LY236" s="450"/>
      <c r="LZ236" s="450"/>
      <c r="MA236" s="450"/>
      <c r="MB236" s="450"/>
      <c r="MC236" s="2250"/>
      <c r="MD236" s="2250"/>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4" customHeight="1">
      <c r="A237" s="1"/>
      <c r="B237" s="1" t="s">
        <v>868</v>
      </c>
      <c r="C237" s="1"/>
      <c r="D237" s="8"/>
      <c r="E237" s="1"/>
      <c r="F237" s="3834">
        <v>7200</v>
      </c>
      <c r="G237" s="3835"/>
      <c r="H237" s="1"/>
      <c r="I237" s="1"/>
      <c r="J237" s="11"/>
      <c r="K237" s="1"/>
      <c r="L237" s="1"/>
      <c r="M237" s="2577"/>
      <c r="N237" s="631" t="s">
        <v>3433</v>
      </c>
      <c r="O237" s="876" t="str">
        <f>CONCATENATE(SUM(MO48:MS48)," units x $",'DCA Underwriting Assumptions'!$Q$66," =")</f>
        <v>0 units x $420 =</v>
      </c>
      <c r="P237" s="630">
        <f>SUM(MO48:MS48)*'DCA Underwriting Assumptions'!$Q$66</f>
        <v>0</v>
      </c>
      <c r="Q237" s="876"/>
      <c r="R237" s="3780"/>
      <c r="S237" s="3818"/>
      <c r="T237" s="3818"/>
      <c r="U237" s="3818"/>
      <c r="V237" s="378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9"/>
      <c r="JW237" s="450"/>
      <c r="JX237" s="450"/>
      <c r="JY237" s="450"/>
      <c r="JZ237" s="450"/>
      <c r="KA237" s="2249"/>
      <c r="KB237" s="2249"/>
      <c r="KC237" s="2249"/>
      <c r="KD237" s="2249"/>
      <c r="KE237" s="2249"/>
      <c r="KF237" s="2249"/>
      <c r="KG237" s="2249"/>
      <c r="KH237" s="2249"/>
      <c r="KI237" s="2249"/>
      <c r="KJ237" s="2249"/>
      <c r="KK237" s="2249"/>
      <c r="KL237" s="2249"/>
      <c r="KM237" s="2249"/>
      <c r="KN237" s="2249"/>
      <c r="KO237" s="2249"/>
      <c r="KP237" s="2249"/>
      <c r="KQ237" s="2249"/>
      <c r="KR237" s="2249"/>
      <c r="KS237" s="2249"/>
      <c r="KT237" s="2249"/>
      <c r="KU237" s="2249"/>
      <c r="KV237" s="2249"/>
      <c r="KW237" s="2249"/>
      <c r="KX237" s="2249"/>
      <c r="KY237" s="2249"/>
      <c r="KZ237" s="2249"/>
      <c r="LA237" s="2249"/>
      <c r="LB237" s="2249"/>
      <c r="LC237" s="2249"/>
      <c r="LD237" s="2249"/>
      <c r="LE237" s="2249"/>
      <c r="LF237" s="2249"/>
      <c r="LG237" s="450"/>
      <c r="LH237" s="450"/>
      <c r="LI237" s="450"/>
      <c r="LJ237" s="450"/>
      <c r="LK237" s="450"/>
      <c r="LL237" s="450"/>
      <c r="LM237" s="2250"/>
      <c r="LN237" s="450"/>
      <c r="LO237" s="450"/>
      <c r="LP237" s="450"/>
      <c r="LQ237" s="450"/>
      <c r="LR237" s="450"/>
      <c r="LS237" s="450"/>
      <c r="LT237" s="450"/>
      <c r="LU237" s="450"/>
      <c r="LV237" s="450"/>
      <c r="LW237" s="450"/>
      <c r="LX237" s="450"/>
      <c r="LY237" s="450"/>
      <c r="LZ237" s="450"/>
      <c r="MA237" s="450"/>
      <c r="MB237" s="450"/>
      <c r="MC237" s="2250"/>
      <c r="MD237" s="2250"/>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4" customHeight="1" thickBot="1">
      <c r="A238" s="1"/>
      <c r="B238" s="3842" t="s">
        <v>51</v>
      </c>
      <c r="C238" s="3843"/>
      <c r="D238" s="3843"/>
      <c r="E238" s="3844"/>
      <c r="F238" s="3836"/>
      <c r="G238" s="3837"/>
      <c r="H238" s="1"/>
      <c r="I238" s="1"/>
      <c r="J238" s="11"/>
      <c r="K238" s="1"/>
      <c r="L238" s="1"/>
      <c r="M238" s="1"/>
      <c r="N238" s="631" t="s">
        <v>3428</v>
      </c>
      <c r="O238" s="876" t="str">
        <f>CONCATENATE(O113," units x $",'DCA Underwriting Assumptions'!$Q$66," =")</f>
        <v>0 units x $420 =</v>
      </c>
      <c r="P238" s="630">
        <f>O113*'DCA Underwriting Assumptions'!$Q$66</f>
        <v>0</v>
      </c>
      <c r="Q238" s="876"/>
      <c r="R238" s="3780"/>
      <c r="S238" s="3818"/>
      <c r="T238" s="3818"/>
      <c r="U238" s="3818"/>
      <c r="V238" s="378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9"/>
      <c r="JW238" s="450"/>
      <c r="JX238" s="450"/>
      <c r="JY238" s="450"/>
      <c r="JZ238" s="450"/>
      <c r="KA238" s="2249"/>
      <c r="KB238" s="2249"/>
      <c r="KC238" s="2249"/>
      <c r="KD238" s="2249"/>
      <c r="KE238" s="2249"/>
      <c r="KF238" s="2249"/>
      <c r="KG238" s="2249"/>
      <c r="KH238" s="2249"/>
      <c r="KI238" s="2249"/>
      <c r="KJ238" s="2249"/>
      <c r="KK238" s="2249"/>
      <c r="KL238" s="2249"/>
      <c r="KM238" s="2249"/>
      <c r="KN238" s="2249"/>
      <c r="KO238" s="2249"/>
      <c r="KP238" s="2249"/>
      <c r="KQ238" s="2249"/>
      <c r="KR238" s="2249"/>
      <c r="KS238" s="2249"/>
      <c r="KT238" s="2249"/>
      <c r="KU238" s="2249"/>
      <c r="KV238" s="2249"/>
      <c r="KW238" s="2249"/>
      <c r="KX238" s="2249"/>
      <c r="KY238" s="2249"/>
      <c r="KZ238" s="2249"/>
      <c r="LA238" s="2249"/>
      <c r="LB238" s="2249"/>
      <c r="LC238" s="2249"/>
      <c r="LD238" s="2249"/>
      <c r="LE238" s="2249"/>
      <c r="LF238" s="2249"/>
      <c r="LG238" s="450"/>
      <c r="LH238" s="450"/>
      <c r="LI238" s="450"/>
      <c r="LJ238" s="450"/>
      <c r="LK238" s="450"/>
      <c r="LL238" s="450"/>
      <c r="LM238" s="2250"/>
      <c r="LN238" s="450"/>
      <c r="LO238" s="450"/>
      <c r="LP238" s="450"/>
      <c r="LQ238" s="450"/>
      <c r="LR238" s="450"/>
      <c r="LS238" s="450"/>
      <c r="LT238" s="450"/>
      <c r="LU238" s="450"/>
      <c r="LV238" s="450"/>
      <c r="LW238" s="450"/>
      <c r="LX238" s="450"/>
      <c r="LY238" s="450"/>
      <c r="LZ238" s="450"/>
      <c r="MA238" s="450"/>
      <c r="MB238" s="450"/>
      <c r="MC238" s="2250"/>
      <c r="MD238" s="2250"/>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4" customHeight="1" thickTop="1">
      <c r="A239" s="1"/>
      <c r="B239" s="9"/>
      <c r="C239" s="10" t="s">
        <v>191</v>
      </c>
      <c r="D239" s="1"/>
      <c r="E239" s="1"/>
      <c r="F239" s="2575">
        <f>SUM(F231:G238)</f>
        <v>47400</v>
      </c>
      <c r="G239" s="2576"/>
      <c r="H239" s="1"/>
      <c r="I239" s="1"/>
      <c r="J239" s="11"/>
      <c r="K239" s="1"/>
      <c r="L239" s="1"/>
      <c r="M239" s="1"/>
      <c r="N239" s="992" t="s">
        <v>2718</v>
      </c>
      <c r="O239" s="993">
        <f>SUM(ME48:MI48)+SUM(MJ48:MN48)+SUM(MO48:MS48)+O113</f>
        <v>84</v>
      </c>
      <c r="P239" s="994">
        <f>SUM(P235:P238)</f>
        <v>21000</v>
      </c>
      <c r="Q239" s="876"/>
      <c r="R239" s="3811"/>
      <c r="S239" s="3819"/>
      <c r="T239" s="3819"/>
      <c r="U239" s="3819"/>
      <c r="V239" s="3812"/>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9"/>
      <c r="JW239" s="450"/>
      <c r="JX239" s="450"/>
      <c r="JY239" s="450"/>
      <c r="JZ239" s="450"/>
      <c r="KA239" s="2249"/>
      <c r="KB239" s="2249"/>
      <c r="KC239" s="2249"/>
      <c r="KD239" s="2249"/>
      <c r="KE239" s="2249"/>
      <c r="KF239" s="2249"/>
      <c r="KG239" s="2249"/>
      <c r="KH239" s="2249"/>
      <c r="KI239" s="2249"/>
      <c r="KJ239" s="2249"/>
      <c r="KK239" s="2249"/>
      <c r="KL239" s="2249"/>
      <c r="KM239" s="2249"/>
      <c r="KN239" s="2249"/>
      <c r="KO239" s="2249"/>
      <c r="KP239" s="2249"/>
      <c r="KQ239" s="2249"/>
      <c r="KR239" s="2249"/>
      <c r="KS239" s="2249"/>
      <c r="KT239" s="2249"/>
      <c r="KU239" s="2249"/>
      <c r="KV239" s="2249"/>
      <c r="KW239" s="2249"/>
      <c r="KX239" s="2249"/>
      <c r="KY239" s="2249"/>
      <c r="KZ239" s="2249"/>
      <c r="LA239" s="2249"/>
      <c r="LB239" s="2249"/>
      <c r="LC239" s="2249"/>
      <c r="LD239" s="2249"/>
      <c r="LE239" s="2249"/>
      <c r="LF239" s="2249"/>
      <c r="LG239" s="450"/>
      <c r="LH239" s="450"/>
      <c r="LI239" s="450"/>
      <c r="LJ239" s="450"/>
      <c r="LK239" s="450"/>
      <c r="LL239" s="450"/>
      <c r="LM239" s="2250"/>
      <c r="LN239" s="450"/>
      <c r="LO239" s="450"/>
      <c r="LP239" s="450"/>
      <c r="LQ239" s="450"/>
      <c r="LR239" s="450"/>
      <c r="LS239" s="450"/>
      <c r="LT239" s="450"/>
      <c r="LU239" s="450"/>
      <c r="LV239" s="450"/>
      <c r="LW239" s="450"/>
      <c r="LX239" s="450"/>
      <c r="LY239" s="450"/>
      <c r="LZ239" s="450"/>
      <c r="MA239" s="450"/>
      <c r="MB239" s="450"/>
      <c r="MC239" s="2250"/>
      <c r="MD239" s="2250"/>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9"/>
      <c r="JW240" s="450"/>
      <c r="JX240" s="450"/>
      <c r="JY240" s="450"/>
      <c r="JZ240" s="450"/>
      <c r="KA240" s="2249"/>
      <c r="KB240" s="2249"/>
      <c r="KC240" s="2249"/>
      <c r="KD240" s="2249"/>
      <c r="KE240" s="2249"/>
      <c r="KF240" s="2249"/>
      <c r="KG240" s="2249"/>
      <c r="KH240" s="2249"/>
      <c r="KI240" s="2249"/>
      <c r="KJ240" s="2249"/>
      <c r="KK240" s="2249"/>
      <c r="KL240" s="2249"/>
      <c r="KM240" s="2249"/>
      <c r="KN240" s="2249"/>
      <c r="KO240" s="2249"/>
      <c r="KP240" s="2249"/>
      <c r="KQ240" s="2249"/>
      <c r="KR240" s="2249"/>
      <c r="KS240" s="2249"/>
      <c r="KT240" s="2249"/>
      <c r="KU240" s="2249"/>
      <c r="KV240" s="2249"/>
      <c r="KW240" s="2249"/>
      <c r="KX240" s="2249"/>
      <c r="KY240" s="2249"/>
      <c r="KZ240" s="2249"/>
      <c r="LA240" s="2249"/>
      <c r="LB240" s="2249"/>
      <c r="LC240" s="2249"/>
      <c r="LD240" s="2249"/>
      <c r="LE240" s="2249"/>
      <c r="LF240" s="2249"/>
      <c r="LG240" s="450"/>
      <c r="LH240" s="450"/>
      <c r="LI240" s="450"/>
      <c r="LJ240" s="450"/>
      <c r="LK240" s="450"/>
      <c r="LL240" s="450"/>
      <c r="LM240" s="2250"/>
      <c r="LN240" s="450"/>
      <c r="LO240" s="450"/>
      <c r="LP240" s="450"/>
      <c r="LQ240" s="450"/>
      <c r="LR240" s="450"/>
      <c r="LS240" s="450"/>
      <c r="LT240" s="450"/>
      <c r="LU240" s="450"/>
      <c r="LV240" s="450"/>
      <c r="LW240" s="450"/>
      <c r="LX240" s="450"/>
      <c r="LY240" s="450"/>
      <c r="LZ240" s="450"/>
      <c r="MA240" s="450"/>
      <c r="MB240" s="450"/>
      <c r="MC240" s="2250"/>
      <c r="MD240" s="2250"/>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4" customHeight="1" thickBot="1">
      <c r="A241" s="1"/>
      <c r="B241" s="9"/>
      <c r="C241" s="10"/>
      <c r="D241" s="1"/>
      <c r="E241" s="1"/>
      <c r="F241" s="11"/>
      <c r="G241" s="11"/>
      <c r="H241" s="1"/>
      <c r="I241" s="1"/>
      <c r="J241" s="11"/>
      <c r="K241" s="1"/>
      <c r="L241" s="1"/>
      <c r="M241" s="1"/>
      <c r="N241" s="9" t="s">
        <v>2188</v>
      </c>
      <c r="O241" s="1"/>
      <c r="P241" s="403">
        <f>P226+P230</f>
        <v>355107</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9"/>
      <c r="JW241" s="450"/>
      <c r="JX241" s="450"/>
      <c r="JY241" s="450"/>
      <c r="JZ241" s="450"/>
      <c r="KA241" s="2249"/>
      <c r="KB241" s="2249"/>
      <c r="KC241" s="2249"/>
      <c r="KD241" s="2249"/>
      <c r="KE241" s="2249"/>
      <c r="KF241" s="2249"/>
      <c r="KG241" s="2249"/>
      <c r="KH241" s="2249"/>
      <c r="KI241" s="2249"/>
      <c r="KJ241" s="2249"/>
      <c r="KK241" s="2249"/>
      <c r="KL241" s="2249"/>
      <c r="KM241" s="2249"/>
      <c r="KN241" s="2249"/>
      <c r="KO241" s="2249"/>
      <c r="KP241" s="2249"/>
      <c r="KQ241" s="2249"/>
      <c r="KR241" s="2249"/>
      <c r="KS241" s="2249"/>
      <c r="KT241" s="2249"/>
      <c r="KU241" s="2249"/>
      <c r="KV241" s="2249"/>
      <c r="KW241" s="2249"/>
      <c r="KX241" s="2249"/>
      <c r="KY241" s="2249"/>
      <c r="KZ241" s="2249"/>
      <c r="LA241" s="2249"/>
      <c r="LB241" s="2249"/>
      <c r="LC241" s="2249"/>
      <c r="LD241" s="2249"/>
      <c r="LE241" s="2249"/>
      <c r="LF241" s="2249"/>
      <c r="LG241" s="450"/>
      <c r="LH241" s="450"/>
      <c r="LI241" s="450"/>
      <c r="LJ241" s="450"/>
      <c r="LK241" s="450"/>
      <c r="LL241" s="450"/>
      <c r="LM241" s="2250"/>
      <c r="LN241" s="450"/>
      <c r="LO241" s="450"/>
      <c r="LP241" s="450"/>
      <c r="LQ241" s="450"/>
      <c r="LR241" s="450"/>
      <c r="LS241" s="450"/>
      <c r="LT241" s="450"/>
      <c r="LU241" s="450"/>
      <c r="LV241" s="450"/>
      <c r="LW241" s="450"/>
      <c r="LX241" s="450"/>
      <c r="LY241" s="450"/>
      <c r="LZ241" s="450"/>
      <c r="MA241" s="450"/>
      <c r="MB241" s="450"/>
      <c r="MC241" s="2250"/>
      <c r="MD241" s="2250"/>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9"/>
      <c r="JW242" s="450"/>
      <c r="JX242" s="450"/>
      <c r="JY242" s="450"/>
      <c r="JZ242" s="450"/>
      <c r="KA242" s="2249"/>
      <c r="KB242" s="2249"/>
      <c r="KC242" s="2249"/>
      <c r="KD242" s="2249"/>
      <c r="KE242" s="2249"/>
      <c r="KF242" s="2249"/>
      <c r="KG242" s="2249"/>
      <c r="KH242" s="2249"/>
      <c r="KI242" s="2249"/>
      <c r="KJ242" s="2249"/>
      <c r="KK242" s="2249"/>
      <c r="KL242" s="2249"/>
      <c r="KM242" s="2249"/>
      <c r="KN242" s="2249"/>
      <c r="KO242" s="2249"/>
      <c r="KP242" s="2249"/>
      <c r="KQ242" s="2249"/>
      <c r="KR242" s="2249"/>
      <c r="KS242" s="2249"/>
      <c r="KT242" s="2249"/>
      <c r="KU242" s="2249"/>
      <c r="KV242" s="2249"/>
      <c r="KW242" s="2249"/>
      <c r="KX242" s="2249"/>
      <c r="KY242" s="2249"/>
      <c r="KZ242" s="2249"/>
      <c r="LA242" s="2249"/>
      <c r="LB242" s="2249"/>
      <c r="LC242" s="2249"/>
      <c r="LD242" s="2249"/>
      <c r="LE242" s="2249"/>
      <c r="LF242" s="2249"/>
      <c r="LG242" s="450"/>
      <c r="LH242" s="450"/>
      <c r="LI242" s="450"/>
      <c r="LJ242" s="450"/>
      <c r="LK242" s="450"/>
      <c r="LL242" s="450"/>
      <c r="LM242" s="2250"/>
      <c r="LN242" s="450"/>
      <c r="LO242" s="450"/>
      <c r="LP242" s="450"/>
      <c r="LQ242" s="450"/>
      <c r="LR242" s="450"/>
      <c r="LS242" s="450"/>
      <c r="LT242" s="450"/>
      <c r="LU242" s="450"/>
      <c r="LV242" s="450"/>
      <c r="LW242" s="450"/>
      <c r="LX242" s="450"/>
      <c r="LY242" s="450"/>
      <c r="LZ242" s="450"/>
      <c r="MA242" s="450"/>
      <c r="MB242" s="450"/>
      <c r="MC242" s="2250"/>
      <c r="MD242" s="2250"/>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2" t="s">
        <v>4995</v>
      </c>
      <c r="G243" s="11"/>
      <c r="H243" s="3857"/>
      <c r="I243" s="3858"/>
      <c r="J243" s="2247" t="s">
        <v>5069</v>
      </c>
      <c r="K243" s="3859"/>
      <c r="N243" s="9" t="s">
        <v>4998</v>
      </c>
      <c r="O243" s="1"/>
      <c r="P243" s="3860">
        <f>H243*K243</f>
        <v>0</v>
      </c>
      <c r="Q243" s="873"/>
      <c r="R243" s="3861"/>
      <c r="S243" s="3862"/>
      <c r="T243" s="3862"/>
      <c r="U243" s="3862"/>
      <c r="V243" s="386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9"/>
      <c r="JW243" s="450"/>
      <c r="JX243" s="450"/>
      <c r="JY243" s="450"/>
      <c r="JZ243" s="450"/>
      <c r="KA243" s="2249"/>
      <c r="KB243" s="2249"/>
      <c r="KC243" s="2249"/>
      <c r="KD243" s="2249"/>
      <c r="KE243" s="2249"/>
      <c r="KF243" s="2249"/>
      <c r="KG243" s="2249"/>
      <c r="KH243" s="2249"/>
      <c r="KI243" s="2249"/>
      <c r="KJ243" s="2249"/>
      <c r="KK243" s="2249"/>
      <c r="KL243" s="2249"/>
      <c r="KM243" s="2249"/>
      <c r="KN243" s="2249"/>
      <c r="KO243" s="2249"/>
      <c r="KP243" s="2249"/>
      <c r="KQ243" s="2249"/>
      <c r="KR243" s="2249"/>
      <c r="KS243" s="2249"/>
      <c r="KT243" s="2249"/>
      <c r="KU243" s="2249"/>
      <c r="KV243" s="2249"/>
      <c r="KW243" s="2249"/>
      <c r="KX243" s="2249"/>
      <c r="KY243" s="2249"/>
      <c r="KZ243" s="2249"/>
      <c r="LA243" s="2249"/>
      <c r="LB243" s="2249"/>
      <c r="LC243" s="2249"/>
      <c r="LD243" s="2249"/>
      <c r="LE243" s="2249"/>
      <c r="LF243" s="2249"/>
      <c r="LG243" s="450"/>
      <c r="LH243" s="450"/>
      <c r="LI243" s="450"/>
      <c r="LJ243" s="450"/>
      <c r="LK243" s="450"/>
      <c r="LL243" s="450"/>
      <c r="LM243" s="2250"/>
      <c r="LN243" s="450"/>
      <c r="LO243" s="450"/>
      <c r="LP243" s="450"/>
      <c r="LQ243" s="450"/>
      <c r="LR243" s="450"/>
      <c r="LS243" s="450"/>
      <c r="LT243" s="450"/>
      <c r="LU243" s="450"/>
      <c r="LV243" s="450"/>
      <c r="LW243" s="450"/>
      <c r="LX243" s="450"/>
      <c r="LY243" s="450"/>
      <c r="LZ243" s="450"/>
      <c r="MA243" s="450"/>
      <c r="MB243" s="450"/>
      <c r="MC243" s="2250"/>
      <c r="MD243" s="2250"/>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9"/>
      <c r="JW244" s="450"/>
      <c r="JX244" s="450"/>
      <c r="JY244" s="450"/>
      <c r="JZ244" s="450"/>
      <c r="KA244" s="2249"/>
      <c r="KB244" s="2249"/>
      <c r="KC244" s="2249"/>
      <c r="KD244" s="2249"/>
      <c r="KE244" s="2249"/>
      <c r="KF244" s="2249"/>
      <c r="KG244" s="2249"/>
      <c r="KH244" s="2249"/>
      <c r="KI244" s="2249"/>
      <c r="KJ244" s="2249"/>
      <c r="KK244" s="2249"/>
      <c r="KL244" s="2249"/>
      <c r="KM244" s="2249"/>
      <c r="KN244" s="2249"/>
      <c r="KO244" s="2249"/>
      <c r="KP244" s="2249"/>
      <c r="KQ244" s="2249"/>
      <c r="KR244" s="2249"/>
      <c r="KS244" s="2249"/>
      <c r="KT244" s="2249"/>
      <c r="KU244" s="2249"/>
      <c r="KV244" s="2249"/>
      <c r="KW244" s="2249"/>
      <c r="KX244" s="2249"/>
      <c r="KY244" s="2249"/>
      <c r="KZ244" s="2249"/>
      <c r="LA244" s="2249"/>
      <c r="LB244" s="2249"/>
      <c r="LC244" s="2249"/>
      <c r="LD244" s="2249"/>
      <c r="LE244" s="2249"/>
      <c r="LF244" s="2249"/>
      <c r="LG244" s="450"/>
      <c r="LH244" s="450"/>
      <c r="LI244" s="450"/>
      <c r="LJ244" s="450"/>
      <c r="LK244" s="450"/>
      <c r="LL244" s="450"/>
      <c r="LM244" s="2250"/>
      <c r="LN244" s="450"/>
      <c r="LO244" s="450"/>
      <c r="LP244" s="450"/>
      <c r="LQ244" s="450"/>
      <c r="LR244" s="450"/>
      <c r="LS244" s="450"/>
      <c r="LT244" s="450"/>
      <c r="LU244" s="450"/>
      <c r="LV244" s="450"/>
      <c r="LW244" s="450"/>
      <c r="LX244" s="450"/>
      <c r="LY244" s="450"/>
      <c r="LZ244" s="450"/>
      <c r="MA244" s="450"/>
      <c r="MB244" s="450"/>
      <c r="MC244" s="2250"/>
      <c r="MD244" s="2250"/>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3738" t="s">
        <v>2993</v>
      </c>
      <c r="J245" s="2162" t="s">
        <v>5072</v>
      </c>
      <c r="K245" s="3738" t="s">
        <v>1771</v>
      </c>
      <c r="L245" s="72" t="s">
        <v>5073</v>
      </c>
      <c r="M245" s="3859"/>
      <c r="N245" s="469" t="s">
        <v>5071</v>
      </c>
      <c r="O245" s="1"/>
      <c r="P245" s="3864"/>
      <c r="Q245" s="873"/>
      <c r="R245" s="3861"/>
      <c r="S245" s="3862"/>
      <c r="T245" s="3862"/>
      <c r="U245" s="3862"/>
      <c r="V245" s="386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9"/>
      <c r="JW245" s="450"/>
      <c r="JX245" s="450"/>
      <c r="JY245" s="450"/>
      <c r="JZ245" s="450"/>
      <c r="KA245" s="2249"/>
      <c r="KB245" s="2249"/>
      <c r="KC245" s="2249"/>
      <c r="KD245" s="2249"/>
      <c r="KE245" s="2249"/>
      <c r="KF245" s="2249"/>
      <c r="KG245" s="2249"/>
      <c r="KH245" s="2249"/>
      <c r="KI245" s="2249"/>
      <c r="KJ245" s="2249"/>
      <c r="KK245" s="2249"/>
      <c r="KL245" s="2249"/>
      <c r="KM245" s="2249"/>
      <c r="KN245" s="2249"/>
      <c r="KO245" s="2249"/>
      <c r="KP245" s="2249"/>
      <c r="KQ245" s="2249"/>
      <c r="KR245" s="2249"/>
      <c r="KS245" s="2249"/>
      <c r="KT245" s="2249"/>
      <c r="KU245" s="2249"/>
      <c r="KV245" s="2249"/>
      <c r="KW245" s="2249"/>
      <c r="KX245" s="2249"/>
      <c r="KY245" s="2249"/>
      <c r="KZ245" s="2249"/>
      <c r="LA245" s="2249"/>
      <c r="LB245" s="2249"/>
      <c r="LC245" s="2249"/>
      <c r="LD245" s="2249"/>
      <c r="LE245" s="2249"/>
      <c r="LF245" s="2249"/>
      <c r="LG245" s="450"/>
      <c r="LH245" s="450"/>
      <c r="LI245" s="450"/>
      <c r="LJ245" s="450"/>
      <c r="LK245" s="450"/>
      <c r="LL245" s="450"/>
      <c r="LM245" s="2250"/>
      <c r="LN245" s="450"/>
      <c r="LO245" s="450"/>
      <c r="LP245" s="450"/>
      <c r="LQ245" s="450"/>
      <c r="LR245" s="450"/>
      <c r="LS245" s="450"/>
      <c r="LT245" s="450"/>
      <c r="LU245" s="450"/>
      <c r="LV245" s="450"/>
      <c r="LW245" s="450"/>
      <c r="LX245" s="450"/>
      <c r="LY245" s="450"/>
      <c r="LZ245" s="450"/>
      <c r="MA245" s="450"/>
      <c r="MB245" s="450"/>
      <c r="MC245" s="2250"/>
      <c r="MD245" s="2250"/>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9"/>
      <c r="JW246" s="450"/>
      <c r="JX246" s="450"/>
      <c r="JY246" s="450"/>
      <c r="JZ246" s="450"/>
      <c r="KA246" s="2249"/>
      <c r="KB246" s="2249"/>
      <c r="KC246" s="2249"/>
      <c r="KD246" s="2249"/>
      <c r="KE246" s="2249"/>
      <c r="KF246" s="2249"/>
      <c r="KG246" s="2249"/>
      <c r="KH246" s="2249"/>
      <c r="KI246" s="2249"/>
      <c r="KJ246" s="2249"/>
      <c r="KK246" s="2249"/>
      <c r="KL246" s="2249"/>
      <c r="KM246" s="2249"/>
      <c r="KN246" s="2249"/>
      <c r="KO246" s="2249"/>
      <c r="KP246" s="2249"/>
      <c r="KQ246" s="2249"/>
      <c r="KR246" s="2249"/>
      <c r="KS246" s="2249"/>
      <c r="KT246" s="2249"/>
      <c r="KU246" s="2249"/>
      <c r="KV246" s="2249"/>
      <c r="KW246" s="2249"/>
      <c r="KX246" s="2249"/>
      <c r="KY246" s="2249"/>
      <c r="KZ246" s="2249"/>
      <c r="LA246" s="2249"/>
      <c r="LB246" s="2249"/>
      <c r="LC246" s="2249"/>
      <c r="LD246" s="2249"/>
      <c r="LE246" s="2249"/>
      <c r="LF246" s="2249"/>
      <c r="LG246" s="450"/>
      <c r="LH246" s="450"/>
      <c r="LI246" s="450"/>
      <c r="LJ246" s="450"/>
      <c r="LK246" s="450"/>
      <c r="LL246" s="450"/>
      <c r="LM246" s="2250"/>
      <c r="LN246" s="450"/>
      <c r="LO246" s="450"/>
      <c r="LP246" s="450"/>
      <c r="LQ246" s="450"/>
      <c r="LR246" s="450"/>
      <c r="LS246" s="450"/>
      <c r="LT246" s="450"/>
      <c r="LU246" s="450"/>
      <c r="LV246" s="450"/>
      <c r="LW246" s="450"/>
      <c r="LX246" s="450"/>
      <c r="LY246" s="450"/>
      <c r="LZ246" s="450"/>
      <c r="MA246" s="450"/>
      <c r="MB246" s="450"/>
      <c r="MC246" s="2250"/>
      <c r="MD246" s="2250"/>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4993</v>
      </c>
      <c r="N247" s="12"/>
    </row>
    <row r="248" spans="1:492" ht="408.75" customHeight="1">
      <c r="A248" s="3635" t="s">
        <v>5317</v>
      </c>
      <c r="B248" s="3635"/>
      <c r="C248" s="3635"/>
      <c r="D248" s="3635"/>
      <c r="E248" s="3635"/>
      <c r="F248" s="3635"/>
      <c r="G248" s="3635"/>
      <c r="H248" s="3635"/>
      <c r="I248" s="3635"/>
      <c r="J248" s="3635"/>
      <c r="K248" s="3635"/>
      <c r="L248" s="3635"/>
      <c r="M248" s="3636"/>
      <c r="N248" s="3636"/>
      <c r="O248" s="3636"/>
      <c r="P248" s="3636"/>
      <c r="Q248" s="2572" t="s">
        <v>4101</v>
      </c>
      <c r="R248" s="2322"/>
      <c r="S248" s="2322"/>
      <c r="T248" s="2322"/>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9"/>
      <c r="JW253" s="450"/>
      <c r="JX253" s="450"/>
      <c r="JY253" s="450"/>
      <c r="JZ253" s="450"/>
      <c r="KA253" s="2249"/>
      <c r="KB253" s="2249"/>
      <c r="KC253" s="2249"/>
      <c r="KD253" s="2249"/>
      <c r="KE253" s="2249"/>
      <c r="KF253" s="2249"/>
      <c r="KG253" s="2249"/>
      <c r="KH253" s="2249"/>
      <c r="KI253" s="2249"/>
      <c r="KJ253" s="2249"/>
      <c r="KK253" s="2249"/>
      <c r="KL253" s="2249"/>
      <c r="KM253" s="2249"/>
      <c r="KN253" s="2249"/>
      <c r="KO253" s="2249"/>
      <c r="KP253" s="2249"/>
      <c r="KQ253" s="2249"/>
      <c r="KR253" s="2249"/>
      <c r="KS253" s="2249"/>
      <c r="KT253" s="2249"/>
      <c r="KU253" s="2249"/>
      <c r="KV253" s="2249"/>
      <c r="KW253" s="2249"/>
      <c r="KX253" s="2249"/>
      <c r="KY253" s="2249"/>
      <c r="KZ253" s="2249"/>
      <c r="LA253" s="2249"/>
      <c r="LB253" s="2249"/>
      <c r="LC253" s="2249"/>
      <c r="LD253" s="2249"/>
      <c r="LE253" s="2249"/>
      <c r="LF253" s="2249"/>
      <c r="LG253" s="450"/>
      <c r="LH253" s="450"/>
      <c r="LI253" s="450"/>
      <c r="LJ253" s="450"/>
      <c r="LK253" s="450"/>
      <c r="LL253" s="450"/>
      <c r="LM253" s="2250"/>
      <c r="LN253" s="450"/>
      <c r="LO253" s="450"/>
      <c r="LP253" s="450"/>
      <c r="LQ253" s="450"/>
      <c r="LR253" s="450"/>
      <c r="LS253" s="450"/>
      <c r="LT253" s="450"/>
      <c r="LU253" s="450"/>
      <c r="LV253" s="450"/>
      <c r="LW253" s="450"/>
      <c r="LX253" s="450"/>
      <c r="LY253" s="450"/>
      <c r="LZ253" s="450"/>
      <c r="MA253" s="450"/>
      <c r="MB253" s="450"/>
      <c r="MC253" s="2250"/>
      <c r="MD253" s="2250"/>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9"/>
      <c r="JW254" s="450"/>
      <c r="JX254" s="450"/>
      <c r="JY254" s="450"/>
      <c r="JZ254" s="450"/>
      <c r="KA254" s="2249"/>
      <c r="KB254" s="2249"/>
      <c r="KC254" s="2249"/>
      <c r="KD254" s="2249"/>
      <c r="KE254" s="2249"/>
      <c r="KF254" s="2249"/>
      <c r="KG254" s="2249"/>
      <c r="KH254" s="2249"/>
      <c r="KI254" s="2249"/>
      <c r="KJ254" s="2249"/>
      <c r="KK254" s="2249"/>
      <c r="KL254" s="2249"/>
      <c r="KM254" s="2249"/>
      <c r="KN254" s="2249"/>
      <c r="KO254" s="2249"/>
      <c r="KP254" s="2249"/>
      <c r="KQ254" s="2249"/>
      <c r="KR254" s="2249"/>
      <c r="KS254" s="2249"/>
      <c r="KT254" s="2249"/>
      <c r="KU254" s="2249"/>
      <c r="KV254" s="2249"/>
      <c r="KW254" s="2249"/>
      <c r="KX254" s="2249"/>
      <c r="KY254" s="2249"/>
      <c r="KZ254" s="2249"/>
      <c r="LA254" s="2249"/>
      <c r="LB254" s="2249"/>
      <c r="LC254" s="2249"/>
      <c r="LD254" s="2249"/>
      <c r="LE254" s="2249"/>
      <c r="LF254" s="2249"/>
      <c r="LG254" s="450"/>
      <c r="LH254" s="450"/>
      <c r="LI254" s="450"/>
      <c r="LJ254" s="450"/>
      <c r="LK254" s="450"/>
      <c r="LL254" s="450"/>
      <c r="LM254" s="2250"/>
      <c r="LN254" s="450"/>
      <c r="LO254" s="450"/>
      <c r="LP254" s="450"/>
      <c r="LQ254" s="450"/>
      <c r="LR254" s="450"/>
      <c r="LS254" s="450"/>
      <c r="LT254" s="450"/>
      <c r="LU254" s="450"/>
      <c r="LV254" s="450"/>
      <c r="LW254" s="450"/>
      <c r="LX254" s="450"/>
      <c r="LY254" s="450"/>
      <c r="LZ254" s="450"/>
      <c r="MA254" s="450"/>
      <c r="MB254" s="450"/>
      <c r="MC254" s="2250"/>
      <c r="MD254" s="2250"/>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9"/>
      <c r="JW255" s="450"/>
      <c r="JX255" s="450"/>
      <c r="JY255" s="450"/>
      <c r="JZ255" s="450"/>
      <c r="KA255" s="2249"/>
      <c r="KB255" s="2249"/>
      <c r="KC255" s="2249"/>
      <c r="KD255" s="2249"/>
      <c r="KE255" s="2249"/>
      <c r="KF255" s="2249"/>
      <c r="KG255" s="2249"/>
      <c r="KH255" s="2249"/>
      <c r="KI255" s="2249"/>
      <c r="KJ255" s="2249"/>
      <c r="KK255" s="2249"/>
      <c r="KL255" s="2249"/>
      <c r="KM255" s="2249"/>
      <c r="KN255" s="2249"/>
      <c r="KO255" s="2249"/>
      <c r="KP255" s="2249"/>
      <c r="KQ255" s="2249"/>
      <c r="KR255" s="2249"/>
      <c r="KS255" s="2249"/>
      <c r="KT255" s="2249"/>
      <c r="KU255" s="2249"/>
      <c r="KV255" s="2249"/>
      <c r="KW255" s="2249"/>
      <c r="KX255" s="2249"/>
      <c r="KY255" s="2249"/>
      <c r="KZ255" s="2249"/>
      <c r="LA255" s="2249"/>
      <c r="LB255" s="2249"/>
      <c r="LC255" s="2249"/>
      <c r="LD255" s="2249"/>
      <c r="LE255" s="2249"/>
      <c r="LF255" s="2249"/>
      <c r="LG255" s="450"/>
      <c r="LH255" s="450"/>
      <c r="LI255" s="450"/>
      <c r="LJ255" s="450"/>
      <c r="LK255" s="450"/>
      <c r="LL255" s="450"/>
      <c r="LM255" s="2250"/>
      <c r="LN255" s="450"/>
      <c r="LO255" s="450"/>
      <c r="LP255" s="450"/>
      <c r="LQ255" s="450"/>
      <c r="LR255" s="450"/>
      <c r="LS255" s="450"/>
      <c r="LT255" s="450"/>
      <c r="LU255" s="450"/>
      <c r="LV255" s="450"/>
      <c r="LW255" s="450"/>
      <c r="LX255" s="450"/>
      <c r="LY255" s="450"/>
      <c r="LZ255" s="450"/>
      <c r="MA255" s="450"/>
      <c r="MB255" s="450"/>
      <c r="MC255" s="2250"/>
      <c r="MD255" s="2250"/>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9"/>
      <c r="JW256" s="450"/>
      <c r="JX256" s="450"/>
      <c r="JY256" s="450"/>
      <c r="JZ256" s="450"/>
      <c r="KA256" s="2249"/>
      <c r="KB256" s="2249"/>
      <c r="KC256" s="2249"/>
      <c r="KD256" s="2249"/>
      <c r="KE256" s="2249"/>
      <c r="KF256" s="2249"/>
      <c r="KG256" s="2249"/>
      <c r="KH256" s="2249"/>
      <c r="KI256" s="2249"/>
      <c r="KJ256" s="2249"/>
      <c r="KK256" s="2249"/>
      <c r="KL256" s="2249"/>
      <c r="KM256" s="2249"/>
      <c r="KN256" s="2249"/>
      <c r="KO256" s="2249"/>
      <c r="KP256" s="2249"/>
      <c r="KQ256" s="2249"/>
      <c r="KR256" s="2249"/>
      <c r="KS256" s="2249"/>
      <c r="KT256" s="2249"/>
      <c r="KU256" s="2249"/>
      <c r="KV256" s="2249"/>
      <c r="KW256" s="2249"/>
      <c r="KX256" s="2249"/>
      <c r="KY256" s="2249"/>
      <c r="KZ256" s="2249"/>
      <c r="LA256" s="2249"/>
      <c r="LB256" s="2249"/>
      <c r="LC256" s="2249"/>
      <c r="LD256" s="2249"/>
      <c r="LE256" s="2249"/>
      <c r="LF256" s="2249"/>
      <c r="LG256" s="450"/>
      <c r="LH256" s="450"/>
      <c r="LI256" s="450"/>
      <c r="LJ256" s="450"/>
      <c r="LK256" s="450"/>
      <c r="LL256" s="450"/>
      <c r="LM256" s="2250"/>
      <c r="LN256" s="450"/>
      <c r="LO256" s="450"/>
      <c r="LP256" s="450"/>
      <c r="LQ256" s="450"/>
      <c r="LR256" s="450"/>
      <c r="LS256" s="450"/>
      <c r="LT256" s="450"/>
      <c r="LU256" s="450"/>
      <c r="LV256" s="450"/>
      <c r="LW256" s="450"/>
      <c r="LX256" s="450"/>
      <c r="LY256" s="450"/>
      <c r="LZ256" s="450"/>
      <c r="MA256" s="450"/>
      <c r="MB256" s="450"/>
      <c r="MC256" s="2250"/>
      <c r="MD256" s="2250"/>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9"/>
      <c r="JW257" s="450"/>
      <c r="JX257" s="450"/>
      <c r="JY257" s="450"/>
      <c r="JZ257" s="450"/>
      <c r="KA257" s="2249"/>
      <c r="KB257" s="2249"/>
      <c r="KC257" s="2249"/>
      <c r="KD257" s="2249"/>
      <c r="KE257" s="2249"/>
      <c r="KF257" s="2249"/>
      <c r="KG257" s="2249"/>
      <c r="KH257" s="2249"/>
      <c r="KI257" s="2249"/>
      <c r="KJ257" s="2249"/>
      <c r="KK257" s="2249"/>
      <c r="KL257" s="2249"/>
      <c r="KM257" s="2249"/>
      <c r="KN257" s="2249"/>
      <c r="KO257" s="2249"/>
      <c r="KP257" s="2249"/>
      <c r="KQ257" s="2249"/>
      <c r="KR257" s="2249"/>
      <c r="KS257" s="2249"/>
      <c r="KT257" s="2249"/>
      <c r="KU257" s="2249"/>
      <c r="KV257" s="2249"/>
      <c r="KW257" s="2249"/>
      <c r="KX257" s="2249"/>
      <c r="KY257" s="2249"/>
      <c r="KZ257" s="2249"/>
      <c r="LA257" s="2249"/>
      <c r="LB257" s="2249"/>
      <c r="LC257" s="2249"/>
      <c r="LD257" s="2249"/>
      <c r="LE257" s="2249"/>
      <c r="LF257" s="2249"/>
      <c r="LG257" s="450"/>
      <c r="LH257" s="450"/>
      <c r="LI257" s="450"/>
      <c r="LJ257" s="450"/>
      <c r="LK257" s="450"/>
      <c r="LL257" s="450"/>
      <c r="LM257" s="2250"/>
      <c r="LN257" s="450"/>
      <c r="LO257" s="450"/>
      <c r="LP257" s="450"/>
      <c r="LQ257" s="450"/>
      <c r="LR257" s="450"/>
      <c r="LS257" s="450"/>
      <c r="LT257" s="450"/>
      <c r="LU257" s="450"/>
      <c r="LV257" s="450"/>
      <c r="LW257" s="450"/>
      <c r="LX257" s="450"/>
      <c r="LY257" s="450"/>
      <c r="LZ257" s="450"/>
      <c r="MA257" s="450"/>
      <c r="MB257" s="450"/>
      <c r="MC257" s="2250"/>
      <c r="MD257" s="2250"/>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5"/>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9"/>
      <c r="JW258" s="450"/>
      <c r="JX258" s="450"/>
      <c r="JY258" s="450"/>
      <c r="JZ258" s="450"/>
      <c r="KA258" s="2249"/>
      <c r="KB258" s="2249"/>
      <c r="KC258" s="2249"/>
      <c r="KD258" s="2249"/>
      <c r="KE258" s="2249"/>
      <c r="KF258" s="2249"/>
      <c r="KG258" s="2249"/>
      <c r="KH258" s="2249"/>
      <c r="KI258" s="2249"/>
      <c r="KJ258" s="2249"/>
      <c r="KK258" s="2249"/>
      <c r="KL258" s="2249"/>
      <c r="KM258" s="2249"/>
      <c r="KN258" s="2249"/>
      <c r="KO258" s="2249"/>
      <c r="KP258" s="2249"/>
      <c r="KQ258" s="2249"/>
      <c r="KR258" s="2249"/>
      <c r="KS258" s="2249"/>
      <c r="KT258" s="2249"/>
      <c r="KU258" s="2249"/>
      <c r="KV258" s="2249"/>
      <c r="KW258" s="2249"/>
      <c r="KX258" s="2249"/>
      <c r="KY258" s="2249"/>
      <c r="KZ258" s="2249"/>
      <c r="LA258" s="2249"/>
      <c r="LB258" s="2249"/>
      <c r="LC258" s="2249"/>
      <c r="LD258" s="2249"/>
      <c r="LE258" s="2249"/>
      <c r="LF258" s="2249"/>
      <c r="LG258" s="450"/>
      <c r="LH258" s="450"/>
      <c r="LI258" s="450"/>
      <c r="LJ258" s="450"/>
      <c r="LK258" s="450"/>
      <c r="LL258" s="450"/>
      <c r="LM258" s="2250"/>
      <c r="LN258" s="450"/>
      <c r="LO258" s="450"/>
      <c r="LP258" s="450"/>
      <c r="LQ258" s="450"/>
      <c r="LR258" s="450"/>
      <c r="LS258" s="450"/>
      <c r="LT258" s="450"/>
      <c r="LU258" s="450"/>
      <c r="LV258" s="450"/>
      <c r="LW258" s="450"/>
      <c r="LX258" s="450"/>
      <c r="LY258" s="450"/>
      <c r="LZ258" s="450"/>
      <c r="MA258" s="450"/>
      <c r="MB258" s="450"/>
      <c r="MC258" s="2250"/>
      <c r="MD258" s="2250"/>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9"/>
      <c r="JW259" s="450"/>
      <c r="JX259" s="450"/>
      <c r="JY259" s="450"/>
      <c r="JZ259" s="450"/>
      <c r="KA259" s="2249"/>
      <c r="KB259" s="2249"/>
      <c r="KC259" s="2249"/>
      <c r="KD259" s="2249"/>
      <c r="KE259" s="2249"/>
      <c r="KF259" s="2249"/>
      <c r="KG259" s="2249"/>
      <c r="KH259" s="2249"/>
      <c r="KI259" s="2249"/>
      <c r="KJ259" s="2249"/>
      <c r="KK259" s="2249"/>
      <c r="KL259" s="2249"/>
      <c r="KM259" s="2249"/>
      <c r="KN259" s="2249"/>
      <c r="KO259" s="2249"/>
      <c r="KP259" s="2249"/>
      <c r="KQ259" s="2249"/>
      <c r="KR259" s="2249"/>
      <c r="KS259" s="2249"/>
      <c r="KT259" s="2249"/>
      <c r="KU259" s="2249"/>
      <c r="KV259" s="2249"/>
      <c r="KW259" s="2249"/>
      <c r="KX259" s="2249"/>
      <c r="KY259" s="2249"/>
      <c r="KZ259" s="2249"/>
      <c r="LA259" s="2249"/>
      <c r="LB259" s="2249"/>
      <c r="LC259" s="2249"/>
      <c r="LD259" s="2249"/>
      <c r="LE259" s="2249"/>
      <c r="LF259" s="2249"/>
      <c r="LG259" s="450"/>
      <c r="LH259" s="450"/>
      <c r="LI259" s="450"/>
      <c r="LJ259" s="450"/>
      <c r="LK259" s="450"/>
      <c r="LL259" s="450"/>
      <c r="LM259" s="2250"/>
      <c r="LN259" s="450"/>
      <c r="LO259" s="450"/>
      <c r="LP259" s="450"/>
      <c r="LQ259" s="450"/>
      <c r="LR259" s="450"/>
      <c r="LS259" s="450"/>
      <c r="LT259" s="450"/>
      <c r="LU259" s="450"/>
      <c r="LV259" s="450"/>
      <c r="LW259" s="450"/>
      <c r="LX259" s="450"/>
      <c r="LY259" s="450"/>
      <c r="LZ259" s="450"/>
      <c r="MA259" s="450"/>
      <c r="MB259" s="450"/>
      <c r="MC259" s="2250"/>
      <c r="MD259" s="2250"/>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9"/>
      <c r="JW264" s="450"/>
      <c r="JX264" s="450"/>
      <c r="JY264" s="450"/>
      <c r="JZ264" s="450"/>
      <c r="KA264" s="2249"/>
      <c r="KB264" s="2249"/>
      <c r="KC264" s="2249"/>
      <c r="KD264" s="2249"/>
      <c r="KE264" s="2249"/>
      <c r="KF264" s="2249"/>
      <c r="KG264" s="2249"/>
      <c r="KH264" s="2249"/>
      <c r="KI264" s="2249"/>
      <c r="KJ264" s="2249"/>
      <c r="KK264" s="2249"/>
      <c r="KL264" s="2249"/>
      <c r="KM264" s="2249"/>
      <c r="KN264" s="2249"/>
      <c r="KO264" s="2249"/>
      <c r="KP264" s="2249"/>
      <c r="KQ264" s="2249"/>
      <c r="KR264" s="2249"/>
      <c r="KS264" s="2249"/>
      <c r="KT264" s="2249"/>
      <c r="KU264" s="2249"/>
      <c r="KV264" s="2249"/>
      <c r="KW264" s="2249"/>
      <c r="KX264" s="2249"/>
      <c r="KY264" s="2249"/>
      <c r="KZ264" s="2249"/>
      <c r="LA264" s="2249"/>
      <c r="LB264" s="2249"/>
      <c r="LC264" s="2249"/>
      <c r="LD264" s="2249"/>
      <c r="LE264" s="2249"/>
      <c r="LF264" s="2249"/>
      <c r="LG264" s="450"/>
      <c r="LH264" s="450"/>
      <c r="LI264" s="450"/>
      <c r="LJ264" s="450"/>
      <c r="LK264" s="450"/>
      <c r="LL264" s="450"/>
      <c r="LM264" s="2250"/>
      <c r="LN264" s="450"/>
      <c r="LO264" s="450"/>
      <c r="LP264" s="450"/>
      <c r="LQ264" s="450"/>
      <c r="LR264" s="450"/>
      <c r="LS264" s="450"/>
      <c r="LT264" s="450"/>
      <c r="LU264" s="450"/>
      <c r="LV264" s="450"/>
      <c r="LW264" s="450"/>
      <c r="LX264" s="450"/>
      <c r="LY264" s="450"/>
      <c r="LZ264" s="450"/>
      <c r="MA264" s="450"/>
      <c r="MB264" s="450"/>
      <c r="MC264" s="2250"/>
      <c r="MD264" s="2250"/>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9"/>
      <c r="JW265" s="450"/>
      <c r="JX265" s="450"/>
      <c r="JY265" s="450"/>
      <c r="JZ265" s="450"/>
      <c r="KA265" s="2249"/>
      <c r="KB265" s="2249"/>
      <c r="KC265" s="2249"/>
      <c r="KD265" s="2249"/>
      <c r="KE265" s="2249"/>
      <c r="KF265" s="2249"/>
      <c r="KG265" s="2249"/>
      <c r="KH265" s="2249"/>
      <c r="KI265" s="2249"/>
      <c r="KJ265" s="2249"/>
      <c r="KK265" s="2249"/>
      <c r="KL265" s="2249"/>
      <c r="KM265" s="2249"/>
      <c r="KN265" s="2249"/>
      <c r="KO265" s="2249"/>
      <c r="KP265" s="2249"/>
      <c r="KQ265" s="2249"/>
      <c r="KR265" s="2249"/>
      <c r="KS265" s="2249"/>
      <c r="KT265" s="2249"/>
      <c r="KU265" s="2249"/>
      <c r="KV265" s="2249"/>
      <c r="KW265" s="2249"/>
      <c r="KX265" s="2249"/>
      <c r="KY265" s="2249"/>
      <c r="KZ265" s="2249"/>
      <c r="LA265" s="2249"/>
      <c r="LB265" s="2249"/>
      <c r="LC265" s="2249"/>
      <c r="LD265" s="2249"/>
      <c r="LE265" s="2249"/>
      <c r="LF265" s="2249"/>
      <c r="LG265" s="450"/>
      <c r="LH265" s="450"/>
      <c r="LI265" s="450"/>
      <c r="LJ265" s="450"/>
      <c r="LK265" s="450"/>
      <c r="LL265" s="450"/>
      <c r="LM265" s="2250"/>
      <c r="LN265" s="450"/>
      <c r="LO265" s="450"/>
      <c r="LP265" s="450"/>
      <c r="LQ265" s="450"/>
      <c r="LR265" s="450"/>
      <c r="LS265" s="450"/>
      <c r="LT265" s="450"/>
      <c r="LU265" s="450"/>
      <c r="LV265" s="450"/>
      <c r="LW265" s="450"/>
      <c r="LX265" s="450"/>
      <c r="LY265" s="450"/>
      <c r="LZ265" s="450"/>
      <c r="MA265" s="450"/>
      <c r="MB265" s="450"/>
      <c r="MC265" s="2250"/>
      <c r="MD265" s="2250"/>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5"/>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9"/>
      <c r="JW266" s="450"/>
      <c r="JX266" s="450"/>
      <c r="JY266" s="450"/>
      <c r="JZ266" s="450"/>
      <c r="KA266" s="2249"/>
      <c r="KB266" s="2249"/>
      <c r="KC266" s="2249"/>
      <c r="KD266" s="2249"/>
      <c r="KE266" s="2249"/>
      <c r="KF266" s="2249"/>
      <c r="KG266" s="2249"/>
      <c r="KH266" s="2249"/>
      <c r="KI266" s="2249"/>
      <c r="KJ266" s="2249"/>
      <c r="KK266" s="2249"/>
      <c r="KL266" s="2249"/>
      <c r="KM266" s="2249"/>
      <c r="KN266" s="2249"/>
      <c r="KO266" s="2249"/>
      <c r="KP266" s="2249"/>
      <c r="KQ266" s="2249"/>
      <c r="KR266" s="2249"/>
      <c r="KS266" s="2249"/>
      <c r="KT266" s="2249"/>
      <c r="KU266" s="2249"/>
      <c r="KV266" s="2249"/>
      <c r="KW266" s="2249"/>
      <c r="KX266" s="2249"/>
      <c r="KY266" s="2249"/>
      <c r="KZ266" s="2249"/>
      <c r="LA266" s="2249"/>
      <c r="LB266" s="2249"/>
      <c r="LC266" s="2249"/>
      <c r="LD266" s="2249"/>
      <c r="LE266" s="2249"/>
      <c r="LF266" s="2249"/>
      <c r="LG266" s="450"/>
      <c r="LH266" s="450"/>
      <c r="LI266" s="450"/>
      <c r="LJ266" s="450"/>
      <c r="LK266" s="450"/>
      <c r="LL266" s="450"/>
      <c r="LM266" s="2250"/>
      <c r="LN266" s="450"/>
      <c r="LO266" s="450"/>
      <c r="LP266" s="450"/>
      <c r="LQ266" s="450"/>
      <c r="LR266" s="450"/>
      <c r="LS266" s="450"/>
      <c r="LT266" s="450"/>
      <c r="LU266" s="450"/>
      <c r="LV266" s="450"/>
      <c r="LW266" s="450"/>
      <c r="LX266" s="450"/>
      <c r="LY266" s="450"/>
      <c r="LZ266" s="450"/>
      <c r="MA266" s="450"/>
      <c r="MB266" s="450"/>
      <c r="MC266" s="2250"/>
      <c r="MD266" s="2250"/>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9"/>
      <c r="JW267" s="450"/>
      <c r="JX267" s="450"/>
      <c r="JY267" s="450"/>
      <c r="JZ267" s="450"/>
      <c r="KA267" s="2249"/>
      <c r="KB267" s="2249"/>
      <c r="KC267" s="2249"/>
      <c r="KD267" s="2249"/>
      <c r="KE267" s="2249"/>
      <c r="KF267" s="2249"/>
      <c r="KG267" s="2249"/>
      <c r="KH267" s="2249"/>
      <c r="KI267" s="2249"/>
      <c r="KJ267" s="2249"/>
      <c r="KK267" s="2249"/>
      <c r="KL267" s="2249"/>
      <c r="KM267" s="2249"/>
      <c r="KN267" s="2249"/>
      <c r="KO267" s="2249"/>
      <c r="KP267" s="2249"/>
      <c r="KQ267" s="2249"/>
      <c r="KR267" s="2249"/>
      <c r="KS267" s="2249"/>
      <c r="KT267" s="2249"/>
      <c r="KU267" s="2249"/>
      <c r="KV267" s="2249"/>
      <c r="KW267" s="2249"/>
      <c r="KX267" s="2249"/>
      <c r="KY267" s="2249"/>
      <c r="KZ267" s="2249"/>
      <c r="LA267" s="2249"/>
      <c r="LB267" s="2249"/>
      <c r="LC267" s="2249"/>
      <c r="LD267" s="2249"/>
      <c r="LE267" s="2249"/>
      <c r="LF267" s="2249"/>
      <c r="LG267" s="450"/>
      <c r="LH267" s="450"/>
      <c r="LI267" s="450"/>
      <c r="LJ267" s="450"/>
      <c r="LK267" s="450"/>
      <c r="LL267" s="450"/>
      <c r="LM267" s="2250"/>
      <c r="LN267" s="450"/>
      <c r="LO267" s="450"/>
      <c r="LP267" s="450"/>
      <c r="LQ267" s="450"/>
      <c r="LR267" s="450"/>
      <c r="LS267" s="450"/>
      <c r="LT267" s="450"/>
      <c r="LU267" s="450"/>
      <c r="LV267" s="450"/>
      <c r="LW267" s="450"/>
      <c r="LX267" s="450"/>
      <c r="LY267" s="450"/>
      <c r="LZ267" s="450"/>
      <c r="MA267" s="450"/>
      <c r="MB267" s="450"/>
      <c r="MC267" s="2250"/>
      <c r="MD267" s="2250"/>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9"/>
      <c r="JW268" s="450"/>
      <c r="JX268" s="450"/>
      <c r="JY268" s="450"/>
      <c r="JZ268" s="450"/>
      <c r="KA268" s="2249"/>
      <c r="KB268" s="2249"/>
      <c r="KC268" s="2249"/>
      <c r="KD268" s="2249"/>
      <c r="KE268" s="2249"/>
      <c r="KF268" s="2249"/>
      <c r="KG268" s="2249"/>
      <c r="KH268" s="2249"/>
      <c r="KI268" s="2249"/>
      <c r="KJ268" s="2249"/>
      <c r="KK268" s="2249"/>
      <c r="KL268" s="2249"/>
      <c r="KM268" s="2249"/>
      <c r="KN268" s="2249"/>
      <c r="KO268" s="2249"/>
      <c r="KP268" s="2249"/>
      <c r="KQ268" s="2249"/>
      <c r="KR268" s="2249"/>
      <c r="KS268" s="2249"/>
      <c r="KT268" s="2249"/>
      <c r="KU268" s="2249"/>
      <c r="KV268" s="2249"/>
      <c r="KW268" s="2249"/>
      <c r="KX268" s="2249"/>
      <c r="KY268" s="2249"/>
      <c r="KZ268" s="2249"/>
      <c r="LA268" s="2249"/>
      <c r="LB268" s="2249"/>
      <c r="LC268" s="2249"/>
      <c r="LD268" s="2249"/>
      <c r="LE268" s="2249"/>
      <c r="LF268" s="2249"/>
      <c r="LG268" s="450"/>
      <c r="LH268" s="450"/>
      <c r="LI268" s="450"/>
      <c r="LJ268" s="450"/>
      <c r="LK268" s="450"/>
      <c r="LL268" s="450"/>
      <c r="LM268" s="2250"/>
      <c r="LN268" s="450"/>
      <c r="LO268" s="450"/>
      <c r="LP268" s="450"/>
      <c r="LQ268" s="450"/>
      <c r="LR268" s="450"/>
      <c r="LS268" s="450"/>
      <c r="LT268" s="450"/>
      <c r="LU268" s="450"/>
      <c r="LV268" s="450"/>
      <c r="LW268" s="450"/>
      <c r="LX268" s="450"/>
      <c r="LY268" s="450"/>
      <c r="LZ268" s="450"/>
      <c r="MA268" s="450"/>
      <c r="MB268" s="450"/>
      <c r="MC268" s="2250"/>
      <c r="MD268" s="2250"/>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9"/>
      <c r="JW276" s="450"/>
      <c r="JX276" s="450"/>
      <c r="JY276" s="450"/>
      <c r="JZ276" s="450"/>
      <c r="KA276" s="2249"/>
      <c r="KB276" s="2249"/>
      <c r="KC276" s="2249"/>
      <c r="KD276" s="2249"/>
      <c r="KE276" s="2249"/>
      <c r="KF276" s="2249"/>
      <c r="KG276" s="2249"/>
      <c r="KH276" s="2249"/>
      <c r="KI276" s="2249"/>
      <c r="KJ276" s="2249"/>
      <c r="KK276" s="2249"/>
      <c r="KL276" s="2249"/>
      <c r="KM276" s="2249"/>
      <c r="KN276" s="2249"/>
      <c r="KO276" s="2249"/>
      <c r="KP276" s="2249"/>
      <c r="KQ276" s="2249"/>
      <c r="KR276" s="2249"/>
      <c r="KS276" s="2249"/>
      <c r="KT276" s="2249"/>
      <c r="KU276" s="2249"/>
      <c r="KV276" s="2249"/>
      <c r="KW276" s="2249"/>
      <c r="KX276" s="2249"/>
      <c r="KY276" s="2249"/>
      <c r="KZ276" s="2249"/>
      <c r="LA276" s="2249"/>
      <c r="LB276" s="2249"/>
      <c r="LC276" s="2249"/>
      <c r="LD276" s="2249"/>
      <c r="LE276" s="2249"/>
      <c r="LF276" s="2249"/>
      <c r="LG276" s="450"/>
      <c r="LH276" s="450"/>
      <c r="LI276" s="450"/>
      <c r="LJ276" s="450"/>
      <c r="LK276" s="450"/>
      <c r="LL276" s="450"/>
      <c r="LM276" s="2250"/>
      <c r="LN276" s="450"/>
      <c r="LO276" s="450"/>
      <c r="LP276" s="450"/>
      <c r="LQ276" s="450"/>
      <c r="LR276" s="450"/>
      <c r="LS276" s="450"/>
      <c r="LT276" s="450"/>
      <c r="LU276" s="450"/>
      <c r="LV276" s="450"/>
      <c r="LW276" s="450"/>
      <c r="LX276" s="450"/>
      <c r="LY276" s="450"/>
      <c r="LZ276" s="450"/>
      <c r="MA276" s="450"/>
      <c r="MB276" s="450"/>
      <c r="MC276" s="2250"/>
      <c r="MD276" s="2250"/>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9"/>
      <c r="JW277" s="450"/>
      <c r="JX277" s="450"/>
      <c r="JY277" s="450"/>
      <c r="JZ277" s="450"/>
      <c r="KA277" s="2249"/>
      <c r="KB277" s="2249"/>
      <c r="KC277" s="2249"/>
      <c r="KD277" s="2249"/>
      <c r="KE277" s="2249"/>
      <c r="KF277" s="2249"/>
      <c r="KG277" s="2249"/>
      <c r="KH277" s="2249"/>
      <c r="KI277" s="2249"/>
      <c r="KJ277" s="2249"/>
      <c r="KK277" s="2249"/>
      <c r="KL277" s="2249"/>
      <c r="KM277" s="2249"/>
      <c r="KN277" s="2249"/>
      <c r="KO277" s="2249"/>
      <c r="KP277" s="2249"/>
      <c r="KQ277" s="2249"/>
      <c r="KR277" s="2249"/>
      <c r="KS277" s="2249"/>
      <c r="KT277" s="2249"/>
      <c r="KU277" s="2249"/>
      <c r="KV277" s="2249"/>
      <c r="KW277" s="2249"/>
      <c r="KX277" s="2249"/>
      <c r="KY277" s="2249"/>
      <c r="KZ277" s="2249"/>
      <c r="LA277" s="2249"/>
      <c r="LB277" s="2249"/>
      <c r="LC277" s="2249"/>
      <c r="LD277" s="2249"/>
      <c r="LE277" s="2249"/>
      <c r="LF277" s="2249"/>
      <c r="LG277" s="450"/>
      <c r="LH277" s="450"/>
      <c r="LI277" s="450"/>
      <c r="LJ277" s="450"/>
      <c r="LK277" s="450"/>
      <c r="LL277" s="450"/>
      <c r="LM277" s="2250"/>
      <c r="LN277" s="450"/>
      <c r="LO277" s="450"/>
      <c r="LP277" s="450"/>
      <c r="LQ277" s="450"/>
      <c r="LR277" s="450"/>
      <c r="LS277" s="450"/>
      <c r="LT277" s="450"/>
      <c r="LU277" s="450"/>
      <c r="LV277" s="450"/>
      <c r="LW277" s="450"/>
      <c r="LX277" s="450"/>
      <c r="LY277" s="450"/>
      <c r="LZ277" s="450"/>
      <c r="MA277" s="450"/>
      <c r="MB277" s="450"/>
      <c r="MC277" s="2250"/>
      <c r="MD277" s="2250"/>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5"/>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9"/>
      <c r="JW278" s="450"/>
      <c r="JX278" s="450"/>
      <c r="JY278" s="450"/>
      <c r="JZ278" s="450"/>
      <c r="KA278" s="2249"/>
      <c r="KB278" s="2249"/>
      <c r="KC278" s="2249"/>
      <c r="KD278" s="2249"/>
      <c r="KE278" s="2249"/>
      <c r="KF278" s="2249"/>
      <c r="KG278" s="2249"/>
      <c r="KH278" s="2249"/>
      <c r="KI278" s="2249"/>
      <c r="KJ278" s="2249"/>
      <c r="KK278" s="2249"/>
      <c r="KL278" s="2249"/>
      <c r="KM278" s="2249"/>
      <c r="KN278" s="2249"/>
      <c r="KO278" s="2249"/>
      <c r="KP278" s="2249"/>
      <c r="KQ278" s="2249"/>
      <c r="KR278" s="2249"/>
      <c r="KS278" s="2249"/>
      <c r="KT278" s="2249"/>
      <c r="KU278" s="2249"/>
      <c r="KV278" s="2249"/>
      <c r="KW278" s="2249"/>
      <c r="KX278" s="2249"/>
      <c r="KY278" s="2249"/>
      <c r="KZ278" s="2249"/>
      <c r="LA278" s="2249"/>
      <c r="LB278" s="2249"/>
      <c r="LC278" s="2249"/>
      <c r="LD278" s="2249"/>
      <c r="LE278" s="2249"/>
      <c r="LF278" s="2249"/>
      <c r="LG278" s="450"/>
      <c r="LH278" s="450"/>
      <c r="LI278" s="450"/>
      <c r="LJ278" s="450"/>
      <c r="LK278" s="450"/>
      <c r="LL278" s="450"/>
      <c r="LM278" s="2250"/>
      <c r="LN278" s="450"/>
      <c r="LO278" s="450"/>
      <c r="LP278" s="450"/>
      <c r="LQ278" s="450"/>
      <c r="LR278" s="450"/>
      <c r="LS278" s="450"/>
      <c r="LT278" s="450"/>
      <c r="LU278" s="450"/>
      <c r="LV278" s="450"/>
      <c r="LW278" s="450"/>
      <c r="LX278" s="450"/>
      <c r="LY278" s="450"/>
      <c r="LZ278" s="450"/>
      <c r="MA278" s="450"/>
      <c r="MB278" s="450"/>
      <c r="MC278" s="2250"/>
      <c r="MD278" s="2250"/>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9"/>
      <c r="JW279" s="450"/>
      <c r="JX279" s="450"/>
      <c r="JY279" s="450"/>
      <c r="JZ279" s="450"/>
      <c r="KA279" s="2249"/>
      <c r="KB279" s="2249"/>
      <c r="KC279" s="2249"/>
      <c r="KD279" s="2249"/>
      <c r="KE279" s="2249"/>
      <c r="KF279" s="2249"/>
      <c r="KG279" s="2249"/>
      <c r="KH279" s="2249"/>
      <c r="KI279" s="2249"/>
      <c r="KJ279" s="2249"/>
      <c r="KK279" s="2249"/>
      <c r="KL279" s="2249"/>
      <c r="KM279" s="2249"/>
      <c r="KN279" s="2249"/>
      <c r="KO279" s="2249"/>
      <c r="KP279" s="2249"/>
      <c r="KQ279" s="2249"/>
      <c r="KR279" s="2249"/>
      <c r="KS279" s="2249"/>
      <c r="KT279" s="2249"/>
      <c r="KU279" s="2249"/>
      <c r="KV279" s="2249"/>
      <c r="KW279" s="2249"/>
      <c r="KX279" s="2249"/>
      <c r="KY279" s="2249"/>
      <c r="KZ279" s="2249"/>
      <c r="LA279" s="2249"/>
      <c r="LB279" s="2249"/>
      <c r="LC279" s="2249"/>
      <c r="LD279" s="2249"/>
      <c r="LE279" s="2249"/>
      <c r="LF279" s="2249"/>
      <c r="LG279" s="450"/>
      <c r="LH279" s="450"/>
      <c r="LI279" s="450"/>
      <c r="LJ279" s="450"/>
      <c r="LK279" s="450"/>
      <c r="LL279" s="450"/>
      <c r="LM279" s="2250"/>
      <c r="LN279" s="450"/>
      <c r="LO279" s="450"/>
      <c r="LP279" s="450"/>
      <c r="LQ279" s="450"/>
      <c r="LR279" s="450"/>
      <c r="LS279" s="450"/>
      <c r="LT279" s="450"/>
      <c r="LU279" s="450"/>
      <c r="LV279" s="450"/>
      <c r="LW279" s="450"/>
      <c r="LX279" s="450"/>
      <c r="LY279" s="450"/>
      <c r="LZ279" s="450"/>
      <c r="MA279" s="450"/>
      <c r="MB279" s="450"/>
      <c r="MC279" s="2250"/>
      <c r="MD279" s="2250"/>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9"/>
      <c r="JW280" s="450"/>
      <c r="JX280" s="450"/>
      <c r="JY280" s="450"/>
      <c r="JZ280" s="450"/>
      <c r="KA280" s="2249"/>
      <c r="KB280" s="2249"/>
      <c r="KC280" s="2249"/>
      <c r="KD280" s="2249"/>
      <c r="KE280" s="2249"/>
      <c r="KF280" s="2249"/>
      <c r="KG280" s="2249"/>
      <c r="KH280" s="2249"/>
      <c r="KI280" s="2249"/>
      <c r="KJ280" s="2249"/>
      <c r="KK280" s="2249"/>
      <c r="KL280" s="2249"/>
      <c r="KM280" s="2249"/>
      <c r="KN280" s="2249"/>
      <c r="KO280" s="2249"/>
      <c r="KP280" s="2249"/>
      <c r="KQ280" s="2249"/>
      <c r="KR280" s="2249"/>
      <c r="KS280" s="2249"/>
      <c r="KT280" s="2249"/>
      <c r="KU280" s="2249"/>
      <c r="KV280" s="2249"/>
      <c r="KW280" s="2249"/>
      <c r="KX280" s="2249"/>
      <c r="KY280" s="2249"/>
      <c r="KZ280" s="2249"/>
      <c r="LA280" s="2249"/>
      <c r="LB280" s="2249"/>
      <c r="LC280" s="2249"/>
      <c r="LD280" s="2249"/>
      <c r="LE280" s="2249"/>
      <c r="LF280" s="2249"/>
      <c r="LG280" s="450"/>
      <c r="LH280" s="450"/>
      <c r="LI280" s="450"/>
      <c r="LJ280" s="450"/>
      <c r="LK280" s="450"/>
      <c r="LL280" s="450"/>
      <c r="LM280" s="2250"/>
      <c r="LN280" s="450"/>
      <c r="LO280" s="450"/>
      <c r="LP280" s="450"/>
      <c r="LQ280" s="450"/>
      <c r="LR280" s="450"/>
      <c r="LS280" s="450"/>
      <c r="LT280" s="450"/>
      <c r="LU280" s="450"/>
      <c r="LV280" s="450"/>
      <c r="LW280" s="450"/>
      <c r="LX280" s="450"/>
      <c r="LY280" s="450"/>
      <c r="LZ280" s="450"/>
      <c r="MA280" s="450"/>
      <c r="MB280" s="450"/>
      <c r="MC280" s="2250"/>
      <c r="MD280" s="2250"/>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cbHdgdfYp7EiuZvOVp9y/ts66yzIfKV2SM7Tk1Vo++xxEesez7vzGTYCrQqDUBGWxHIRNNYbUMj4n3vEcoyrLQ==" saltValue="ZImwIxsGbSRRXYJY3lstG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39" stopIfTrue="1">
      <formula>AND($B10="PHA", $H10&gt;0)</formula>
    </cfRule>
  </conditionalFormatting>
  <conditionalFormatting sqref="T114 T69 T89:T91 T100 T79:T80">
    <cfRule type="cellIs" dxfId="220" priority="40" stopIfTrue="1" operator="greaterThan">
      <formula>0</formula>
    </cfRule>
  </conditionalFormatting>
  <conditionalFormatting sqref="A10:A47">
    <cfRule type="cellIs" dxfId="219" priority="41" stopIfTrue="1" operator="equal">
      <formula>1</formula>
    </cfRule>
  </conditionalFormatting>
  <conditionalFormatting sqref="I10:I47">
    <cfRule type="expression" priority="38" stopIfTrue="1">
      <formula>AND($B10="PHA", $H10&gt;0)</formula>
    </cfRule>
  </conditionalFormatting>
  <conditionalFormatting sqref="O173">
    <cfRule type="cellIs" dxfId="218" priority="37" operator="greaterThan">
      <formula>0.02</formula>
    </cfRule>
  </conditionalFormatting>
  <conditionalFormatting sqref="P10:P18 P21 P26 P31 P36:P47">
    <cfRule type="expression" dxfId="217" priority="35">
      <formula>AND($O$10="New Construction",$P$10="Yes")</formula>
    </cfRule>
  </conditionalFormatting>
  <conditionalFormatting sqref="J71:O77">
    <cfRule type="cellIs" dxfId="216" priority="34" stopIfTrue="1" operator="equal">
      <formula>0</formula>
    </cfRule>
  </conditionalFormatting>
  <conditionalFormatting sqref="J56:O67 J81:O142 J144:O156">
    <cfRule type="cellIs" dxfId="215" priority="31" operator="equal">
      <formula>0</formula>
    </cfRule>
  </conditionalFormatting>
  <conditionalFormatting sqref="B49:C49">
    <cfRule type="cellIs" dxfId="214" priority="26" operator="greaterThan">
      <formula>60.0000001</formula>
    </cfRule>
  </conditionalFormatting>
  <conditionalFormatting sqref="K53:N53">
    <cfRule type="containsText" dxfId="213" priority="25" operator="containsText" text="&lt;&lt; Select LIHTC Election &gt;&gt;">
      <formula>NOT(ISERROR(SEARCH("&lt;&lt; Select LIHTC Election &gt;&gt;",K53)))</formula>
    </cfRule>
  </conditionalFormatting>
  <conditionalFormatting sqref="T143">
    <cfRule type="cellIs" dxfId="212" priority="23" stopIfTrue="1" operator="greaterThan">
      <formula>0</formula>
    </cfRule>
  </conditionalFormatting>
  <conditionalFormatting sqref="J143:O143">
    <cfRule type="cellIs" dxfId="211" priority="22" operator="equal">
      <formula>0</formula>
    </cfRule>
  </conditionalFormatting>
  <conditionalFormatting sqref="K90:N90">
    <cfRule type="cellIs" dxfId="210" priority="16" operator="equal">
      <formula>"&lt;&lt; Select LIHTC Election &gt;&gt;"</formula>
    </cfRule>
    <cfRule type="containsText" dxfId="209" priority="20" operator="containsText" text="&lt;&lt; Select Election or Income Averaging &gt;&gt;">
      <formula>NOT(ISERROR(SEARCH("&lt;&lt; Select Election or Income Averaging &gt;&gt;",K90)))</formula>
    </cfRule>
  </conditionalFormatting>
  <conditionalFormatting sqref="K133:N133">
    <cfRule type="cellIs" dxfId="208" priority="15" operator="equal">
      <formula>"&lt;&lt; Select LIHTC Election &gt;&gt;"</formula>
    </cfRule>
    <cfRule type="containsText" dxfId="207" priority="18" operator="containsText" text="&lt;&lt; Select Election or Income Averaging &gt;&gt;">
      <formula>NOT(ISERROR(SEARCH("&lt;&lt; Select Election or Income Averaging &gt;&gt;",K133)))</formula>
    </cfRule>
  </conditionalFormatting>
  <conditionalFormatting sqref="P19">
    <cfRule type="expression" dxfId="206" priority="14">
      <formula>AND($O$10="New Construction",$P$10="Yes")</formula>
    </cfRule>
  </conditionalFormatting>
  <conditionalFormatting sqref="P20">
    <cfRule type="expression" dxfId="205" priority="13">
      <formula>AND($O$10="New Construction",$P$10="Yes")</formula>
    </cfRule>
  </conditionalFormatting>
  <conditionalFormatting sqref="P22">
    <cfRule type="expression" dxfId="204" priority="12">
      <formula>AND($O$10="New Construction",$P$10="Yes")</formula>
    </cfRule>
  </conditionalFormatting>
  <conditionalFormatting sqref="P23">
    <cfRule type="expression" dxfId="203" priority="11">
      <formula>AND($O$10="New Construction",$P$10="Yes")</formula>
    </cfRule>
  </conditionalFormatting>
  <conditionalFormatting sqref="P24">
    <cfRule type="expression" dxfId="202" priority="10">
      <formula>AND($O$10="New Construction",$P$10="Yes")</formula>
    </cfRule>
  </conditionalFormatting>
  <conditionalFormatting sqref="P25">
    <cfRule type="expression" dxfId="201" priority="9">
      <formula>AND($O$10="New Construction",$P$10="Yes")</formula>
    </cfRule>
  </conditionalFormatting>
  <conditionalFormatting sqref="P27">
    <cfRule type="expression" dxfId="200" priority="8">
      <formula>AND($O$10="New Construction",$P$10="Yes")</formula>
    </cfRule>
  </conditionalFormatting>
  <conditionalFormatting sqref="P28">
    <cfRule type="expression" dxfId="199" priority="7">
      <formula>AND($O$10="New Construction",$P$10="Yes")</formula>
    </cfRule>
  </conditionalFormatting>
  <conditionalFormatting sqref="P29">
    <cfRule type="expression" dxfId="198" priority="6">
      <formula>AND($O$10="New Construction",$P$10="Yes")</formula>
    </cfRule>
  </conditionalFormatting>
  <conditionalFormatting sqref="P30">
    <cfRule type="expression" dxfId="197" priority="5">
      <formula>AND($O$10="New Construction",$P$10="Yes")</formula>
    </cfRule>
  </conditionalFormatting>
  <conditionalFormatting sqref="P32">
    <cfRule type="expression" dxfId="196" priority="4">
      <formula>AND($O$10="New Construction",$P$10="Yes")</formula>
    </cfRule>
  </conditionalFormatting>
  <conditionalFormatting sqref="P33">
    <cfRule type="expression" dxfId="195" priority="3">
      <formula>AND($O$10="New Construction",$P$10="Yes")</formula>
    </cfRule>
  </conditionalFormatting>
  <conditionalFormatting sqref="P34">
    <cfRule type="expression" dxfId="194" priority="2">
      <formula>AND($O$10="New Construction",$P$10="Yes")</formula>
    </cfRule>
  </conditionalFormatting>
  <conditionalFormatting sqref="P35">
    <cfRule type="expression" dxfId="193"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workbookViewId="0">
      <selection sqref="A1:XFD1048576"/>
    </sheetView>
  </sheetViews>
  <sheetFormatPr defaultColWidth="8.71093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7109375" style="7"/>
    <col min="17" max="17" width="5.140625" style="7" customWidth="1"/>
    <col min="18" max="18" width="12.140625" style="7" customWidth="1"/>
    <col min="19" max="19" width="12.42578125" style="7" customWidth="1"/>
    <col min="20" max="16384" width="8.7109375" style="7"/>
  </cols>
  <sheetData>
    <row r="1" spans="1:19" s="15" customFormat="1" ht="13.9" customHeight="1">
      <c r="A1" s="2616" t="str">
        <f>CONCATENATE("PART SEVEN - OPERATING PRO FORMA","  -  ",'Part I-Project Information'!$O$6," ",'Part I-Project Information'!$F$34,", ",'Part I-Project Information'!F38,", ",'Part I-Project Information'!J39," County")</f>
        <v>PART SEVEN - OPERATING PRO FORMA  -  2019-078 Abbington Sound, Kingsland, Camden County</v>
      </c>
      <c r="B1" s="3865"/>
      <c r="C1" s="3865"/>
      <c r="D1" s="3865"/>
      <c r="E1" s="3865"/>
      <c r="F1" s="3865"/>
      <c r="G1" s="3865"/>
      <c r="H1" s="3865"/>
      <c r="I1" s="3865"/>
      <c r="J1" s="3865"/>
      <c r="K1" s="3866"/>
      <c r="L1" s="9"/>
      <c r="M1" s="9"/>
      <c r="N1" s="2617" t="str">
        <f>A1</f>
        <v>PART SEVEN - OPERATING PRO FORMA  -  2019-078 Abbington Sound, Kingsland, Camden County</v>
      </c>
      <c r="O1" s="2617"/>
      <c r="P1" s="9"/>
    </row>
    <row r="2" spans="1:19" ht="13.5" customHeight="1">
      <c r="A2" s="489"/>
      <c r="B2" s="489"/>
      <c r="C2" s="489"/>
      <c r="D2" s="489"/>
      <c r="E2" s="489"/>
      <c r="F2" s="489"/>
      <c r="G2" s="489"/>
      <c r="H2" s="489"/>
      <c r="I2" s="489"/>
      <c r="J2" s="489"/>
      <c r="K2" s="489"/>
      <c r="N2" s="2618" t="s">
        <v>1846</v>
      </c>
      <c r="O2" s="2618"/>
    </row>
    <row r="3" spans="1:19" ht="13.5" customHeight="1">
      <c r="A3" s="12" t="s">
        <v>90</v>
      </c>
      <c r="C3" s="2619" t="str">
        <f>'Part I-Project Information'!$B$6</f>
        <v>April 2019 Final</v>
      </c>
      <c r="D3" s="1220" t="s">
        <v>80</v>
      </c>
      <c r="E3" s="217"/>
      <c r="F3" s="1221" t="s">
        <v>4177</v>
      </c>
      <c r="N3" s="12" t="str">
        <f>A3</f>
        <v>I.  OPERATING ASSUMPTIONS</v>
      </c>
      <c r="O3" s="30"/>
    </row>
    <row r="4" spans="1:19" ht="2.65" customHeight="1">
      <c r="A4" s="15"/>
      <c r="B4" s="15"/>
      <c r="C4" s="2619"/>
      <c r="H4" s="15"/>
      <c r="I4" s="15"/>
    </row>
    <row r="5" spans="1:19" ht="13.5" customHeight="1">
      <c r="A5" s="15" t="s">
        <v>2189</v>
      </c>
      <c r="B5" s="77">
        <v>0.02</v>
      </c>
      <c r="C5" s="2619"/>
      <c r="D5" s="2563" t="s">
        <v>4178</v>
      </c>
      <c r="E5" s="2563"/>
      <c r="F5" s="2563"/>
      <c r="G5" s="3867">
        <v>5000</v>
      </c>
      <c r="H5" s="96" t="s">
        <v>1908</v>
      </c>
      <c r="K5" s="101">
        <f>IF(($B$14+$B$15+$B$16+$B$17)=0,"",B30/($B$14+$B$15+$B$16+$B$17))</f>
        <v>-7.7723006313050562E-3</v>
      </c>
      <c r="N5" s="3766"/>
      <c r="O5" s="3767"/>
    </row>
    <row r="6" spans="1:19">
      <c r="A6" s="15" t="s">
        <v>2190</v>
      </c>
      <c r="B6" s="77">
        <v>0.03</v>
      </c>
      <c r="C6" s="2619"/>
      <c r="D6" s="2563"/>
      <c r="E6" s="2563"/>
      <c r="F6" s="2563"/>
      <c r="G6" s="1222">
        <f>IF(OR('Part III-Sources of Funds'!E5="Yes",'Part III-Sources of Funds'!H5&gt;0),'DCA Underwriting Assumptions'!$Q$96,0)</f>
        <v>0</v>
      </c>
      <c r="H6" s="15"/>
      <c r="I6" s="15"/>
      <c r="J6" s="15"/>
      <c r="K6" s="15"/>
      <c r="N6" s="3780"/>
      <c r="O6" s="3781"/>
    </row>
    <row r="7" spans="1:19">
      <c r="A7" s="15" t="s">
        <v>2192</v>
      </c>
      <c r="B7" s="77">
        <v>0.03</v>
      </c>
      <c r="C7" s="2619"/>
      <c r="D7" s="79" t="s">
        <v>270</v>
      </c>
      <c r="G7" s="81"/>
      <c r="H7" s="96" t="s">
        <v>2375</v>
      </c>
      <c r="K7" s="101">
        <f>IF(($B$14+$B$15+$B$16+$B$17)=0,"",-B21/($B$14+$B$15+$B$16+$B$17))</f>
        <v>5.000076442131169E-2</v>
      </c>
      <c r="N7" s="3780"/>
      <c r="O7" s="3781"/>
    </row>
    <row r="8" spans="1:19" ht="13.15" customHeight="1">
      <c r="A8" s="15" t="s">
        <v>2191</v>
      </c>
      <c r="B8" s="3868">
        <v>7.0000000000000007E-2</v>
      </c>
      <c r="C8" s="2153" t="str">
        <f>IF(B8&lt;0.07, "Must be &gt;= 7%!","")</f>
        <v/>
      </c>
      <c r="D8" s="78" t="s">
        <v>2509</v>
      </c>
      <c r="G8" s="3869" t="s">
        <v>2993</v>
      </c>
      <c r="H8" s="163" t="s">
        <v>1444</v>
      </c>
      <c r="K8" s="3870"/>
      <c r="N8" s="3780"/>
      <c r="O8" s="3781"/>
    </row>
    <row r="9" spans="1:19">
      <c r="A9" s="15" t="s">
        <v>1418</v>
      </c>
      <c r="B9" s="77">
        <v>0.02</v>
      </c>
      <c r="D9" s="78" t="s">
        <v>1718</v>
      </c>
      <c r="G9" s="3871" t="s">
        <v>2990</v>
      </c>
      <c r="H9" s="163" t="s">
        <v>2357</v>
      </c>
      <c r="K9" s="3872">
        <v>0.05</v>
      </c>
      <c r="N9" s="3811"/>
      <c r="O9" s="3812"/>
    </row>
    <row r="10" spans="1:19" ht="9" customHeight="1"/>
    <row r="11" spans="1:19">
      <c r="A11" s="12" t="s">
        <v>91</v>
      </c>
      <c r="D11" s="1084"/>
      <c r="N11" s="12" t="str">
        <f>A11</f>
        <v>II.  OPERATING PRO FORMA</v>
      </c>
    </row>
    <row r="12" spans="1:19" ht="2.65" customHeight="1"/>
    <row r="13" spans="1:19" ht="14.6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29" t="s">
        <v>2625</v>
      </c>
      <c r="O13" s="2429"/>
    </row>
    <row r="14" spans="1:19" ht="13.15" customHeight="1">
      <c r="A14" s="17" t="s">
        <v>2405</v>
      </c>
      <c r="B14" s="18">
        <f>'Part VI-Revenues &amp; Expenses'!$L$49</f>
        <v>678168</v>
      </c>
      <c r="C14" s="18">
        <f t="shared" ref="C14:K14" si="1">$B$14*(1+$B$5)^(C13-1)</f>
        <v>691731.36</v>
      </c>
      <c r="D14" s="18">
        <f t="shared" si="1"/>
        <v>705565.98719999997</v>
      </c>
      <c r="E14" s="18">
        <f t="shared" si="1"/>
        <v>719677.30694399995</v>
      </c>
      <c r="F14" s="18">
        <f t="shared" si="1"/>
        <v>734070.85308288003</v>
      </c>
      <c r="G14" s="18">
        <f t="shared" si="1"/>
        <v>748752.27014453756</v>
      </c>
      <c r="H14" s="18">
        <f t="shared" si="1"/>
        <v>763727.31554742844</v>
      </c>
      <c r="I14" s="18">
        <f t="shared" si="1"/>
        <v>779001.86185837677</v>
      </c>
      <c r="J14" s="18">
        <f t="shared" si="1"/>
        <v>794581.89909554436</v>
      </c>
      <c r="K14" s="19">
        <f t="shared" si="1"/>
        <v>810473.53707745532</v>
      </c>
      <c r="N14" s="3766"/>
      <c r="O14" s="3767"/>
      <c r="S14" s="2612" t="s">
        <v>4183</v>
      </c>
    </row>
    <row r="15" spans="1:19" ht="13.15" customHeight="1">
      <c r="A15" s="20" t="s">
        <v>1016</v>
      </c>
      <c r="B15" s="21">
        <f>MIN(B14*B9,'Part VI-Revenues &amp; Expenses'!$H$173)</f>
        <v>13563.36</v>
      </c>
      <c r="C15" s="21">
        <f t="shared" ref="C15:K15" si="2">$B$15*(1+$B$5)^(C13-1)</f>
        <v>13834.627200000001</v>
      </c>
      <c r="D15" s="21">
        <f t="shared" si="2"/>
        <v>14111.319744</v>
      </c>
      <c r="E15" s="21">
        <f t="shared" si="2"/>
        <v>14393.546138879999</v>
      </c>
      <c r="F15" s="21">
        <f t="shared" si="2"/>
        <v>14681.417061657601</v>
      </c>
      <c r="G15" s="21">
        <f t="shared" si="2"/>
        <v>14975.045402890753</v>
      </c>
      <c r="H15" s="21">
        <f t="shared" si="2"/>
        <v>15274.546310948568</v>
      </c>
      <c r="I15" s="21">
        <f t="shared" si="2"/>
        <v>15580.037237167537</v>
      </c>
      <c r="J15" s="21">
        <f t="shared" si="2"/>
        <v>15891.637981910888</v>
      </c>
      <c r="K15" s="22">
        <f t="shared" si="2"/>
        <v>16209.470741549107</v>
      </c>
      <c r="N15" s="3780"/>
      <c r="O15" s="3781"/>
      <c r="S15" s="2613"/>
    </row>
    <row r="16" spans="1:19" ht="13.15" customHeight="1">
      <c r="A16" s="20" t="s">
        <v>2406</v>
      </c>
      <c r="B16" s="21">
        <f t="shared" ref="B16:K16" si="3">-(B14+B15)*$B$8</f>
        <v>-48421.195200000002</v>
      </c>
      <c r="C16" s="21">
        <f t="shared" si="3"/>
        <v>-49389.619104000005</v>
      </c>
      <c r="D16" s="21">
        <f t="shared" si="3"/>
        <v>-50377.411486080004</v>
      </c>
      <c r="E16" s="21">
        <f t="shared" si="3"/>
        <v>-51384.959715801597</v>
      </c>
      <c r="F16" s="21">
        <f t="shared" si="3"/>
        <v>-52412.658910117643</v>
      </c>
      <c r="G16" s="21">
        <f t="shared" si="3"/>
        <v>-53460.912088319987</v>
      </c>
      <c r="H16" s="21">
        <f t="shared" si="3"/>
        <v>-54530.130330086395</v>
      </c>
      <c r="I16" s="21">
        <f t="shared" si="3"/>
        <v>-55620.732936688109</v>
      </c>
      <c r="J16" s="21">
        <f t="shared" si="3"/>
        <v>-56733.147595421869</v>
      </c>
      <c r="K16" s="22">
        <f t="shared" si="3"/>
        <v>-57867.810547330322</v>
      </c>
      <c r="N16" s="3780"/>
      <c r="O16" s="3781"/>
      <c r="Q16" s="2615" t="s">
        <v>3879</v>
      </c>
      <c r="R16" s="2615" t="s">
        <v>4182</v>
      </c>
      <c r="S16" s="2613"/>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80"/>
      <c r="O17" s="3781"/>
      <c r="Q17" s="2615"/>
      <c r="R17" s="2615"/>
      <c r="S17" s="2614"/>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80"/>
      <c r="O18" s="3781"/>
    </row>
    <row r="19" spans="1:19" ht="13.15" customHeight="1">
      <c r="A19" s="420" t="s">
        <v>4935</v>
      </c>
      <c r="B19" s="21">
        <f>SUM(B14:B18)</f>
        <v>643310.16480000003</v>
      </c>
      <c r="C19" s="21">
        <f t="shared" ref="C19:K19" si="4">SUM(C14:C18)</f>
        <v>656176.36809599993</v>
      </c>
      <c r="D19" s="21">
        <f t="shared" si="4"/>
        <v>669299.89545791992</v>
      </c>
      <c r="E19" s="21">
        <f t="shared" si="4"/>
        <v>682685.89336707827</v>
      </c>
      <c r="F19" s="21">
        <f t="shared" si="4"/>
        <v>696339.61123441998</v>
      </c>
      <c r="G19" s="21">
        <f t="shared" si="4"/>
        <v>710266.40345910832</v>
      </c>
      <c r="H19" s="21">
        <f t="shared" si="4"/>
        <v>724471.73152829055</v>
      </c>
      <c r="I19" s="21">
        <f t="shared" si="4"/>
        <v>738961.16615885624</v>
      </c>
      <c r="J19" s="21">
        <f t="shared" si="4"/>
        <v>753740.38948203332</v>
      </c>
      <c r="K19" s="22">
        <f t="shared" si="4"/>
        <v>768815.19727167417</v>
      </c>
      <c r="N19" s="3780"/>
      <c r="O19" s="3781"/>
    </row>
    <row r="20" spans="1:19" ht="13.15" customHeight="1">
      <c r="A20" s="20" t="s">
        <v>614</v>
      </c>
      <c r="B20" s="21">
        <f>-('Part VI-Revenues &amp; Expenses'!$P$226-'Part VI-Revenues &amp; Expenses'!$P$221)</f>
        <v>-301941</v>
      </c>
      <c r="C20" s="21">
        <f t="shared" ref="C20:K20" si="5">$B$20*(1+$B$6)^(C13-1)</f>
        <v>-310999.23</v>
      </c>
      <c r="D20" s="21">
        <f t="shared" si="5"/>
        <v>-320329.20689999999</v>
      </c>
      <c r="E20" s="21">
        <f t="shared" si="5"/>
        <v>-329939.08310699998</v>
      </c>
      <c r="F20" s="21">
        <f t="shared" si="5"/>
        <v>-339837.25560020999</v>
      </c>
      <c r="G20" s="21">
        <f t="shared" si="5"/>
        <v>-350032.37326821627</v>
      </c>
      <c r="H20" s="21">
        <f t="shared" si="5"/>
        <v>-360533.34446626279</v>
      </c>
      <c r="I20" s="21">
        <f t="shared" si="5"/>
        <v>-371349.34480025066</v>
      </c>
      <c r="J20" s="21">
        <f t="shared" si="5"/>
        <v>-382489.82514425815</v>
      </c>
      <c r="K20" s="22">
        <f t="shared" si="5"/>
        <v>-393964.51989858592</v>
      </c>
      <c r="N20" s="3780"/>
      <c r="O20" s="3781"/>
      <c r="Q20" s="61">
        <v>1</v>
      </c>
      <c r="R20" s="1092">
        <f>-B31</f>
        <v>53713.73333333333</v>
      </c>
      <c r="S20" s="1092">
        <f>B32+R20</f>
        <v>54175.799935017305</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-32166</v>
      </c>
      <c r="C21" s="21">
        <f>IF(AND('Part VII-Pro Forma'!$G$8="Yes",'Part VII-Pro Forma'!$G$9="Yes"),"Choose One!",IF('Part VII-Pro Forma'!$G$8="Yes",ROUND((-$K$8*(1+'Part VII-Pro Forma'!$B$6)^('Part VII-Pro Forma'!C13-1)),),IF('Part VII-Pro Forma'!$G$9="Yes",ROUND((-(SUM(C14:C17)*'Part VII-Pro Forma'!$K$9)),),"Choose mgt fee")))</f>
        <v>-32809</v>
      </c>
      <c r="D21" s="21">
        <f>IF(AND('Part VII-Pro Forma'!$G$8="Yes",'Part VII-Pro Forma'!$G$9="Yes"),"Choose One!",IF('Part VII-Pro Forma'!$G$8="Yes",ROUND((-$K$8*(1+'Part VII-Pro Forma'!$B$6)^('Part VII-Pro Forma'!D13-1)),),IF('Part VII-Pro Forma'!$G$9="Yes",ROUND((-(SUM(D14:D17)*'Part VII-Pro Forma'!$K$9)),),"Choose mgt fee")))</f>
        <v>-33465</v>
      </c>
      <c r="E21" s="21">
        <f>IF(AND('Part VII-Pro Forma'!$G$8="Yes",'Part VII-Pro Forma'!$G$9="Yes"),"Choose One!",IF('Part VII-Pro Forma'!$G$8="Yes",ROUND((-$K$8*(1+'Part VII-Pro Forma'!$B$6)^('Part VII-Pro Forma'!E13-1)),),IF('Part VII-Pro Forma'!$G$9="Yes",ROUND((-(SUM(E14:E17)*'Part VII-Pro Forma'!$K$9)),),"Choose mgt fee")))</f>
        <v>-34134</v>
      </c>
      <c r="F21" s="21">
        <f>IF(AND('Part VII-Pro Forma'!$G$8="Yes",'Part VII-Pro Forma'!$G$9="Yes"),"Choose One!",IF('Part VII-Pro Forma'!$G$8="Yes",ROUND((-$K$8*(1+'Part VII-Pro Forma'!$B$6)^('Part VII-Pro Forma'!F13-1)),),IF('Part VII-Pro Forma'!$G$9="Yes",ROUND((-(SUM(F14:F17)*'Part VII-Pro Forma'!$K$9)),),"Choose mgt fee")))</f>
        <v>-34817</v>
      </c>
      <c r="G21" s="21">
        <f>IF(AND('Part VII-Pro Forma'!$G$8="Yes",'Part VII-Pro Forma'!$G$9="Yes"),"Choose One!",IF('Part VII-Pro Forma'!$G$8="Yes",ROUND((-$K$8*(1+'Part VII-Pro Forma'!$B$6)^('Part VII-Pro Forma'!G13-1)),),IF('Part VII-Pro Forma'!$G$9="Yes",ROUND((-(SUM(G14:G17)*'Part VII-Pro Forma'!$K$9)),),"Choose mgt fee")))</f>
        <v>-35513</v>
      </c>
      <c r="H21" s="21">
        <f>IF(AND('Part VII-Pro Forma'!$G$8="Yes",'Part VII-Pro Forma'!$G$9="Yes"),"Choose One!",IF('Part VII-Pro Forma'!$G$8="Yes",ROUND((-$K$8*(1+'Part VII-Pro Forma'!$B$6)^('Part VII-Pro Forma'!H13-1)),),IF('Part VII-Pro Forma'!$G$9="Yes",ROUND((-(SUM(H14:H17)*'Part VII-Pro Forma'!$K$9)),),"Choose mgt fee")))</f>
        <v>-36224</v>
      </c>
      <c r="I21" s="21">
        <f>IF(AND('Part VII-Pro Forma'!$G$8="Yes",'Part VII-Pro Forma'!$G$9="Yes"),"Choose One!",IF('Part VII-Pro Forma'!$G$8="Yes",ROUND((-$K$8*(1+'Part VII-Pro Forma'!$B$6)^('Part VII-Pro Forma'!I13-1)),),IF('Part VII-Pro Forma'!$G$9="Yes",ROUND((-(SUM(I14:I17)*'Part VII-Pro Forma'!$K$9)),),"Choose mgt fee")))</f>
        <v>-36948</v>
      </c>
      <c r="J21" s="21">
        <f>IF(AND('Part VII-Pro Forma'!$G$8="Yes",'Part VII-Pro Forma'!$G$9="Yes"),"Choose One!",IF('Part VII-Pro Forma'!$G$8="Yes",ROUND((-$K$8*(1+'Part VII-Pro Forma'!$B$6)^('Part VII-Pro Forma'!J13-1)),),IF('Part VII-Pro Forma'!$G$9="Yes",ROUND((-(SUM(J14:J17)*'Part VII-Pro Forma'!$K$9)),),"Choose mgt fee")))</f>
        <v>-37687</v>
      </c>
      <c r="K21" s="22">
        <f>IF(AND('Part VII-Pro Forma'!$G$8="Yes",'Part VII-Pro Forma'!$G$9="Yes"),"Choose One!",IF('Part VII-Pro Forma'!$G$8="Yes",ROUND((-$K$8*(1+'Part VII-Pro Forma'!$B$6)^('Part VII-Pro Forma'!K13-1)),),IF('Part VII-Pro Forma'!$G$9="Yes",ROUND((-(SUM(K14:K17)*'Part VII-Pro Forma'!$K$9)),),"Choose mgt fee")))</f>
        <v>-38441</v>
      </c>
      <c r="N21" s="3780"/>
      <c r="O21" s="3781"/>
      <c r="Q21" s="61">
        <v>2</v>
      </c>
      <c r="R21" s="1092">
        <f>-SUM(B31:C31)</f>
        <v>107427.46666666666</v>
      </c>
      <c r="S21" s="1092">
        <f>SUM(B32:C32)+R21</f>
        <v>110886.57316603453</v>
      </c>
    </row>
    <row r="22" spans="1:19" ht="13.15" customHeight="1">
      <c r="A22" s="20" t="s">
        <v>1202</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780"/>
      <c r="O22" s="3781"/>
      <c r="Q22" s="61">
        <v>3</v>
      </c>
      <c r="R22" s="1092">
        <f>-SUM(B31:D31)</f>
        <v>161141.19999999998</v>
      </c>
      <c r="S22" s="1092">
        <f>SUM(B32:D32)+R22</f>
        <v>170085.99685897172</v>
      </c>
    </row>
    <row r="23" spans="1:19" ht="13.15" customHeight="1">
      <c r="A23" s="420" t="s">
        <v>4934</v>
      </c>
      <c r="B23" s="3873">
        <f>IF(B13&lt;=+'Part VI-Revenues &amp; Expenses'!$K$243,-'Part VI-Revenues &amp; Expenses'!$H$243,0)</f>
        <v>0</v>
      </c>
      <c r="C23" s="3873">
        <f>IF(C13&lt;=+'Part VI-Revenues &amp; Expenses'!$K$243,-'Part VI-Revenues &amp; Expenses'!$H$243,0)</f>
        <v>0</v>
      </c>
      <c r="D23" s="3873">
        <f>IF(D13&lt;=+'Part VI-Revenues &amp; Expenses'!$K$243,-'Part VI-Revenues &amp; Expenses'!$H$243,0)</f>
        <v>0</v>
      </c>
      <c r="E23" s="3873">
        <f>IF(E13&lt;=+'Part VI-Revenues &amp; Expenses'!$K$243,-'Part VI-Revenues &amp; Expenses'!$H$243,0)</f>
        <v>0</v>
      </c>
      <c r="F23" s="3873">
        <f>IF(F13&lt;=+'Part VI-Revenues &amp; Expenses'!$K$243,-'Part VI-Revenues &amp; Expenses'!$H$243,0)</f>
        <v>0</v>
      </c>
      <c r="G23" s="3873">
        <f>IF(G13&lt;=+'Part VI-Revenues &amp; Expenses'!$K$243,-'Part VI-Revenues &amp; Expenses'!$H$243,0)</f>
        <v>0</v>
      </c>
      <c r="H23" s="3873">
        <f>IF(H13&lt;=+'Part VI-Revenues &amp; Expenses'!$K$243,-'Part VI-Revenues &amp; Expenses'!$H$243,0)</f>
        <v>0</v>
      </c>
      <c r="I23" s="3873">
        <f>IF(I13&lt;=+'Part VI-Revenues &amp; Expenses'!$K$243,-'Part VI-Revenues &amp; Expenses'!$H$243,0)</f>
        <v>0</v>
      </c>
      <c r="J23" s="3873">
        <f>IF(J13&lt;=+'Part VI-Revenues &amp; Expenses'!$K$243,-'Part VI-Revenues &amp; Expenses'!$H$243,0)</f>
        <v>0</v>
      </c>
      <c r="K23" s="3873">
        <f>IF(K13&lt;=+'Part VI-Revenues &amp; Expenses'!$K$243,-'Part VI-Revenues &amp; Expenses'!$H$243,0)</f>
        <v>0</v>
      </c>
      <c r="N23" s="3780"/>
      <c r="O23" s="3781"/>
      <c r="Q23" s="971">
        <v>10</v>
      </c>
      <c r="R23" s="1092">
        <f>-SUM(B28:K28)</f>
        <v>0</v>
      </c>
      <c r="S23" s="1092">
        <f>SUM(B29:K29)+R23</f>
        <v>0</v>
      </c>
    </row>
    <row r="24" spans="1:19" ht="13.15" customHeight="1">
      <c r="A24" s="20" t="s">
        <v>1203</v>
      </c>
      <c r="B24" s="21">
        <f>SUM(B19:B23)</f>
        <v>288203.16480000003</v>
      </c>
      <c r="C24" s="21">
        <f t="shared" ref="C24:J24" si="7">SUM(C19:C23)</f>
        <v>290738.13809599995</v>
      </c>
      <c r="D24" s="21">
        <f t="shared" si="7"/>
        <v>293226.78855791991</v>
      </c>
      <c r="E24" s="21">
        <f t="shared" si="7"/>
        <v>295665.5432600783</v>
      </c>
      <c r="F24" s="21">
        <f t="shared" si="7"/>
        <v>298049.67062420998</v>
      </c>
      <c r="G24" s="21">
        <f t="shared" si="7"/>
        <v>300376.27463059203</v>
      </c>
      <c r="H24" s="21">
        <f t="shared" si="7"/>
        <v>302639.28883491876</v>
      </c>
      <c r="I24" s="21">
        <f t="shared" si="7"/>
        <v>304836.47018468333</v>
      </c>
      <c r="J24" s="21">
        <f t="shared" si="7"/>
        <v>306961.39262863522</v>
      </c>
      <c r="K24" s="2155">
        <f>SUM(K19:K23)</f>
        <v>309009.4405126741</v>
      </c>
      <c r="N24" s="3780"/>
      <c r="O24" s="3781"/>
      <c r="Q24" s="971">
        <v>4</v>
      </c>
      <c r="R24" s="1092">
        <f>-SUM(B31:E31)</f>
        <v>214854.93333333332</v>
      </c>
      <c r="S24" s="1092">
        <f>SUM(B32:E32)+R24</f>
        <v>231724.17525406729</v>
      </c>
    </row>
    <row r="25" spans="1:19" ht="13.15" customHeight="1">
      <c r="A25" s="420" t="s">
        <v>1591</v>
      </c>
      <c r="B25" s="3874">
        <f>IF('Part III-Sources of Funds'!$P$38="", 0,-'Part III-Sources of Funds'!$P$38)</f>
        <v>-229027.36486498272</v>
      </c>
      <c r="C25" s="3874">
        <f>IF('Part III-Sources of Funds'!$P$38="", 0,-'Part III-Sources of Funds'!$P$38)</f>
        <v>-229027.36486498272</v>
      </c>
      <c r="D25" s="3874">
        <f>IF('Part III-Sources of Funds'!$P$38="", 0,-'Part III-Sources of Funds'!$P$38)</f>
        <v>-229027.36486498272</v>
      </c>
      <c r="E25" s="3874">
        <f>IF('Part III-Sources of Funds'!$P$38="", 0,-'Part III-Sources of Funds'!$P$38)</f>
        <v>-229027.36486498272</v>
      </c>
      <c r="F25" s="3874">
        <f>IF('Part III-Sources of Funds'!$P$38="", 0,-'Part III-Sources of Funds'!$P$38)</f>
        <v>-229027.36486498272</v>
      </c>
      <c r="G25" s="3874">
        <f>IF('Part III-Sources of Funds'!$P$38="", 0,-'Part III-Sources of Funds'!$P$38)</f>
        <v>-229027.36486498272</v>
      </c>
      <c r="H25" s="3874">
        <f>IF('Part III-Sources of Funds'!$P$38="", 0,-'Part III-Sources of Funds'!$P$38)</f>
        <v>-229027.36486498272</v>
      </c>
      <c r="I25" s="3874">
        <f>IF('Part III-Sources of Funds'!$P$38="", 0,-'Part III-Sources of Funds'!$P$38)</f>
        <v>-229027.36486498272</v>
      </c>
      <c r="J25" s="3874">
        <f>IF('Part III-Sources of Funds'!$P$38="", 0,-'Part III-Sources of Funds'!$P$38)</f>
        <v>-229027.36486498272</v>
      </c>
      <c r="K25" s="3874">
        <f>IF('Part III-Sources of Funds'!$P$38="", 0,-'Part III-Sources of Funds'!$P$38)</f>
        <v>-229027.36486498272</v>
      </c>
      <c r="N25" s="3780"/>
      <c r="O25" s="3781"/>
      <c r="Q25" s="971">
        <v>5</v>
      </c>
      <c r="R25" s="1092">
        <f>-SUM(B31:F31)</f>
        <v>268568.66666666663</v>
      </c>
      <c r="S25" s="1092">
        <f>SUM(B32:F32)+R25</f>
        <v>295746.48101329454</v>
      </c>
    </row>
    <row r="26" spans="1:19" ht="13.15" customHeight="1">
      <c r="A26" s="420" t="s">
        <v>1592</v>
      </c>
      <c r="B26" s="3875">
        <f>IF('Part III-Sources of Funds'!$P$39="", 0,-'Part III-Sources of Funds'!$P$39)</f>
        <v>0</v>
      </c>
      <c r="C26" s="3875">
        <f>IF('Part III-Sources of Funds'!$P$39="", 0,-'Part III-Sources of Funds'!$P$39)</f>
        <v>0</v>
      </c>
      <c r="D26" s="3875">
        <f>IF('Part III-Sources of Funds'!$P$39="", 0,-'Part III-Sources of Funds'!$P$39)</f>
        <v>0</v>
      </c>
      <c r="E26" s="3875">
        <f>IF('Part III-Sources of Funds'!$P$39="", 0,-'Part III-Sources of Funds'!$P$39)</f>
        <v>0</v>
      </c>
      <c r="F26" s="3875">
        <f>IF('Part III-Sources of Funds'!$P$39="", 0,-'Part III-Sources of Funds'!$P$39)</f>
        <v>0</v>
      </c>
      <c r="G26" s="3875">
        <f>IF('Part III-Sources of Funds'!$P$39="", 0,-'Part III-Sources of Funds'!$P$39)</f>
        <v>0</v>
      </c>
      <c r="H26" s="3875">
        <f>IF('Part III-Sources of Funds'!$P$39="", 0,-'Part III-Sources of Funds'!$P$39)</f>
        <v>0</v>
      </c>
      <c r="I26" s="3875">
        <f>IF('Part III-Sources of Funds'!$P$39="", 0,-'Part III-Sources of Funds'!$P$39)</f>
        <v>0</v>
      </c>
      <c r="J26" s="3875">
        <f>IF('Part III-Sources of Funds'!$P$39="", 0,-'Part III-Sources of Funds'!$P$39)</f>
        <v>0</v>
      </c>
      <c r="K26" s="3875">
        <f>IF('Part III-Sources of Funds'!$P$39="", 0,-'Part III-Sources of Funds'!$P$39)</f>
        <v>0</v>
      </c>
      <c r="N26" s="3780"/>
      <c r="O26" s="3781"/>
      <c r="Q26" s="971">
        <v>6</v>
      </c>
      <c r="R26" s="1092">
        <f>-SUM(B31:G31)</f>
        <v>322282.39999999997</v>
      </c>
      <c r="S26" s="1092">
        <f>SUM(B32:G32)+R26</f>
        <v>362095.39077890385</v>
      </c>
    </row>
    <row r="27" spans="1:19" ht="13.15" customHeight="1">
      <c r="A27" s="420" t="s">
        <v>1593</v>
      </c>
      <c r="B27" s="3875">
        <f>IF('Part III-Sources of Funds'!$P$40="", 0,-'Part III-Sources of Funds'!$P$40)</f>
        <v>0</v>
      </c>
      <c r="C27" s="3875">
        <f>IF('Part III-Sources of Funds'!$P$40="", 0,-'Part III-Sources of Funds'!$P$40)</f>
        <v>0</v>
      </c>
      <c r="D27" s="3875">
        <f>IF('Part III-Sources of Funds'!$P$40="", 0,-'Part III-Sources of Funds'!$P$40)</f>
        <v>0</v>
      </c>
      <c r="E27" s="3875">
        <f>IF('Part III-Sources of Funds'!$P$40="", 0,-'Part III-Sources of Funds'!$P$40)</f>
        <v>0</v>
      </c>
      <c r="F27" s="3875">
        <f>IF('Part III-Sources of Funds'!$P$40="", 0,-'Part III-Sources of Funds'!$P$40)</f>
        <v>0</v>
      </c>
      <c r="G27" s="3875">
        <f>IF('Part III-Sources of Funds'!$P$40="", 0,-'Part III-Sources of Funds'!$P$40)</f>
        <v>0</v>
      </c>
      <c r="H27" s="3875">
        <f>IF('Part III-Sources of Funds'!$P$40="", 0,-'Part III-Sources of Funds'!$P$40)</f>
        <v>0</v>
      </c>
      <c r="I27" s="3875">
        <f>IF('Part III-Sources of Funds'!$P$40="", 0,-'Part III-Sources of Funds'!$P$40)</f>
        <v>0</v>
      </c>
      <c r="J27" s="3875">
        <f>IF('Part III-Sources of Funds'!$P$40="", 0,-'Part III-Sources of Funds'!$P$40)</f>
        <v>0</v>
      </c>
      <c r="K27" s="3875">
        <f>IF('Part III-Sources of Funds'!$P$40="", 0,-'Part III-Sources of Funds'!$P$40)</f>
        <v>0</v>
      </c>
      <c r="N27" s="3780"/>
      <c r="O27" s="3781"/>
      <c r="Q27" s="971">
        <v>7</v>
      </c>
      <c r="R27" s="1092">
        <f>-SUM(B31:H31)</f>
        <v>375996.1333333333</v>
      </c>
      <c r="S27" s="1092">
        <f>SUM(B32:H32)+R27</f>
        <v>430707.31474883988</v>
      </c>
    </row>
    <row r="28" spans="1:19" ht="13.15" customHeight="1">
      <c r="A28" s="420" t="s">
        <v>3848</v>
      </c>
      <c r="B28" s="3875">
        <f>IF('Part III-Sources of Funds'!$P$41="", 0,-'Part III-Sources of Funds'!$P$41)</f>
        <v>0</v>
      </c>
      <c r="C28" s="3875">
        <f>IF('Part III-Sources of Funds'!$P$41="", 0,-'Part III-Sources of Funds'!$P$41)</f>
        <v>0</v>
      </c>
      <c r="D28" s="3875">
        <f>IF('Part III-Sources of Funds'!$P$41="", 0,-'Part III-Sources of Funds'!$P$41)</f>
        <v>0</v>
      </c>
      <c r="E28" s="3875">
        <f>IF('Part III-Sources of Funds'!$P$41="", 0,-'Part III-Sources of Funds'!$P$41)</f>
        <v>0</v>
      </c>
      <c r="F28" s="3875">
        <f>IF('Part III-Sources of Funds'!$P$41="", 0,-'Part III-Sources of Funds'!$P$41)</f>
        <v>0</v>
      </c>
      <c r="G28" s="3875">
        <f>IF('Part III-Sources of Funds'!$P$41="", 0,-'Part III-Sources of Funds'!$P$41)</f>
        <v>0</v>
      </c>
      <c r="H28" s="3875">
        <f>IF('Part III-Sources of Funds'!$P$41="", 0,-'Part III-Sources of Funds'!$P$41)</f>
        <v>0</v>
      </c>
      <c r="I28" s="3875">
        <f>IF('Part III-Sources of Funds'!$P$41="", 0,-'Part III-Sources of Funds'!$P$41)</f>
        <v>0</v>
      </c>
      <c r="J28" s="3875">
        <f>IF('Part III-Sources of Funds'!$P$41="", 0,-'Part III-Sources of Funds'!$P$41)</f>
        <v>0</v>
      </c>
      <c r="K28" s="3875">
        <f>IF('Part III-Sources of Funds'!$P$41="", 0,-'Part III-Sources of Funds'!$P$41)</f>
        <v>0</v>
      </c>
      <c r="N28" s="3780"/>
      <c r="O28" s="3781"/>
      <c r="Q28" s="971">
        <v>8</v>
      </c>
      <c r="R28" s="1092">
        <f>-SUM(B31:I31)</f>
        <v>429709.86666666664</v>
      </c>
      <c r="S28" s="1092">
        <f>SUM(B32:I32)+R28</f>
        <v>501516.42006854049</v>
      </c>
    </row>
    <row r="29" spans="1:19" ht="13.15" customHeight="1">
      <c r="A29" s="20" t="s">
        <v>763</v>
      </c>
      <c r="B29" s="3876"/>
      <c r="C29" s="3876"/>
      <c r="D29" s="3876"/>
      <c r="E29" s="3876"/>
      <c r="F29" s="3876"/>
      <c r="G29" s="3876"/>
      <c r="H29" s="3876"/>
      <c r="I29" s="3876"/>
      <c r="J29" s="3876"/>
      <c r="K29" s="3876"/>
      <c r="N29" s="3780"/>
      <c r="O29" s="3781"/>
      <c r="Q29" s="971">
        <v>9</v>
      </c>
      <c r="R29" s="1092">
        <f>-SUM(B31:J31)</f>
        <v>483423.6</v>
      </c>
      <c r="S29" s="1092">
        <f>SUM(B32:J32)+R29</f>
        <v>574450.44783219299</v>
      </c>
    </row>
    <row r="30" spans="1:19" ht="13.15" customHeight="1">
      <c r="A30" s="420" t="s">
        <v>1163</v>
      </c>
      <c r="B30" s="3877">
        <f>-$G$5</f>
        <v>-5000</v>
      </c>
      <c r="C30" s="3877">
        <f t="shared" ref="C30:K30" si="8">+B30</f>
        <v>-5000</v>
      </c>
      <c r="D30" s="3877">
        <f t="shared" si="8"/>
        <v>-5000</v>
      </c>
      <c r="E30" s="3877">
        <f t="shared" si="8"/>
        <v>-5000</v>
      </c>
      <c r="F30" s="3877">
        <f t="shared" si="8"/>
        <v>-5000</v>
      </c>
      <c r="G30" s="3877">
        <f t="shared" si="8"/>
        <v>-5000</v>
      </c>
      <c r="H30" s="3877">
        <f t="shared" si="8"/>
        <v>-5000</v>
      </c>
      <c r="I30" s="3877">
        <f t="shared" si="8"/>
        <v>-5000</v>
      </c>
      <c r="J30" s="3877">
        <f t="shared" si="8"/>
        <v>-5000</v>
      </c>
      <c r="K30" s="3877">
        <f t="shared" si="8"/>
        <v>-5000</v>
      </c>
      <c r="N30" s="3780"/>
      <c r="O30" s="3781"/>
      <c r="Q30" s="971">
        <v>10</v>
      </c>
      <c r="R30" s="1092">
        <f>-SUM(B31:K31)</f>
        <v>537137.33333333326</v>
      </c>
      <c r="S30" s="1092">
        <f>SUM(B32:K32)+R30</f>
        <v>649432.52347988426</v>
      </c>
    </row>
    <row r="31" spans="1:19" ht="13.15" customHeight="1">
      <c r="A31" s="420" t="s">
        <v>4080</v>
      </c>
      <c r="B31" s="3878">
        <f>-('Part III-Sources of Funds'!$I$43/15)</f>
        <v>-53713.73333333333</v>
      </c>
      <c r="C31" s="3878">
        <f>-('Part III-Sources of Funds'!$I$43/15)</f>
        <v>-53713.73333333333</v>
      </c>
      <c r="D31" s="3878">
        <f>-('Part III-Sources of Funds'!$I$43/15)</f>
        <v>-53713.73333333333</v>
      </c>
      <c r="E31" s="3878">
        <f>-('Part III-Sources of Funds'!$I$43/15)</f>
        <v>-53713.73333333333</v>
      </c>
      <c r="F31" s="3878">
        <f>-('Part III-Sources of Funds'!$I$43/15)</f>
        <v>-53713.73333333333</v>
      </c>
      <c r="G31" s="3878">
        <f>-('Part III-Sources of Funds'!$I$43/15)</f>
        <v>-53713.73333333333</v>
      </c>
      <c r="H31" s="3878">
        <f>-('Part III-Sources of Funds'!$I$43/15)</f>
        <v>-53713.73333333333</v>
      </c>
      <c r="I31" s="3878">
        <f>-('Part III-Sources of Funds'!$I$43/15)</f>
        <v>-53713.73333333333</v>
      </c>
      <c r="J31" s="3878">
        <f>-('Part III-Sources of Funds'!$I$43/15)</f>
        <v>-53713.73333333333</v>
      </c>
      <c r="K31" s="3878">
        <f>-('Part III-Sources of Funds'!$I$43/15)</f>
        <v>-53713.73333333333</v>
      </c>
      <c r="N31" s="3780"/>
      <c r="O31" s="3781"/>
      <c r="Q31" s="971">
        <v>11</v>
      </c>
      <c r="R31" s="1092">
        <f>-SUM(B31:K31)-B63</f>
        <v>590851.06666666653</v>
      </c>
      <c r="S31" s="1092">
        <f>SUM(B32:K32)+B64+R31</f>
        <v>726380.9603702391</v>
      </c>
    </row>
    <row r="32" spans="1:19" ht="13.15" customHeight="1">
      <c r="A32" s="20" t="s">
        <v>1164</v>
      </c>
      <c r="B32" s="21">
        <f t="shared" ref="B32:K32" si="9">SUM(B24:B31)</f>
        <v>462.06660168397502</v>
      </c>
      <c r="C32" s="21">
        <f t="shared" si="9"/>
        <v>2997.0398976838987</v>
      </c>
      <c r="D32" s="21">
        <f t="shared" si="9"/>
        <v>5485.6903596038537</v>
      </c>
      <c r="E32" s="21">
        <f t="shared" si="9"/>
        <v>7924.4450617622424</v>
      </c>
      <c r="F32" s="21">
        <f t="shared" si="9"/>
        <v>10308.572425893923</v>
      </c>
      <c r="G32" s="21">
        <f t="shared" si="9"/>
        <v>12635.176432275977</v>
      </c>
      <c r="H32" s="21">
        <f t="shared" si="9"/>
        <v>14898.190636602703</v>
      </c>
      <c r="I32" s="21">
        <f t="shared" si="9"/>
        <v>17095.371986367281</v>
      </c>
      <c r="J32" s="21">
        <f t="shared" si="9"/>
        <v>19220.294430319169</v>
      </c>
      <c r="K32" s="22">
        <f t="shared" si="9"/>
        <v>21268.342314358051</v>
      </c>
      <c r="N32" s="3780"/>
      <c r="O32" s="3781"/>
      <c r="Q32" s="971">
        <v>12</v>
      </c>
      <c r="R32" s="1092">
        <f>-SUM(B31:K31) - SUM(B63:C63)</f>
        <v>644564.79999999993</v>
      </c>
      <c r="S32" s="1092">
        <f>SUM(B32:K32) + SUM(B64:C64)+R32</f>
        <v>805209.05630108295</v>
      </c>
    </row>
    <row r="33" spans="1:19" ht="13.15" customHeight="1">
      <c r="A33" s="20" t="str">
        <f>IF('Part III-Sources of Funds'!$E$38 = "Neither", "", "DCR Mortgage A")</f>
        <v>DCR Mortgage A</v>
      </c>
      <c r="B33" s="23">
        <f t="shared" ref="B33:K33" si="10">IF(B25=0,"",-B24/B25)</f>
        <v>1.2583787311612431</v>
      </c>
      <c r="C33" s="23">
        <f t="shared" si="10"/>
        <v>1.2694471608988613</v>
      </c>
      <c r="D33" s="23">
        <f t="shared" si="10"/>
        <v>1.2803133316876101</v>
      </c>
      <c r="E33" s="23">
        <f t="shared" si="10"/>
        <v>1.2909616430961446</v>
      </c>
      <c r="F33" s="23">
        <f t="shared" si="10"/>
        <v>1.3013714356793897</v>
      </c>
      <c r="G33" s="23">
        <f t="shared" si="10"/>
        <v>1.3115300645740358</v>
      </c>
      <c r="H33" s="23">
        <f t="shared" si="10"/>
        <v>1.3214110419221392</v>
      </c>
      <c r="I33" s="23">
        <f t="shared" si="10"/>
        <v>1.3310045739049217</v>
      </c>
      <c r="J33" s="23">
        <f t="shared" si="10"/>
        <v>1.3402826025160641</v>
      </c>
      <c r="K33" s="24">
        <f t="shared" si="10"/>
        <v>1.3492249744690674</v>
      </c>
      <c r="N33" s="3780"/>
      <c r="O33" s="3781"/>
      <c r="Q33" s="971">
        <v>13</v>
      </c>
      <c r="R33" s="1092">
        <f>-SUM(B31:K31) - SUM(B63:D63)</f>
        <v>698278.53333333321</v>
      </c>
      <c r="S33" s="1092">
        <f>SUM(B32:K32) + SUM(B64:D64)+R33</f>
        <v>885823.88274338725</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80"/>
      <c r="O34" s="3781"/>
      <c r="Q34" s="971">
        <v>14</v>
      </c>
      <c r="R34" s="1092">
        <f>-SUM(B31:K31) - SUM(B63:E63)</f>
        <v>751992.2666666666</v>
      </c>
      <c r="S34" s="1092">
        <f>SUM(B32:K32) + SUM(B64:E64)+R34</f>
        <v>968127.06654624734</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80"/>
      <c r="O35" s="3781"/>
      <c r="Q35" s="971">
        <v>15</v>
      </c>
      <c r="R35" s="1092">
        <f>-SUM(B31:K31) - SUM(B63:F63)</f>
        <v>805705.99999999988</v>
      </c>
      <c r="S35" s="1092">
        <f>SUM(B32:K32) + SUM(B64:F64)+R35</f>
        <v>1052014.5638629065</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80"/>
      <c r="O36" s="3781"/>
      <c r="Q36" s="61">
        <v>16</v>
      </c>
      <c r="R36" s="1092">
        <f>-SUM(B31:K31) - SUM(B63:G63)</f>
        <v>805705.99999999988</v>
      </c>
      <c r="S36" s="1092">
        <f>SUM(B32:K32) + SUM(B64:G64)+R36</f>
        <v>1137375.4260398541</v>
      </c>
    </row>
    <row r="37" spans="1:19" ht="13.15" customHeight="1">
      <c r="A37" s="420" t="s">
        <v>3710</v>
      </c>
      <c r="B37" s="23">
        <f t="shared" ref="B37:K37" si="14">IF(AND(B25=0,B26=0,B27=0,B28=0),"",-B24/(B25+B26+B27+B28))</f>
        <v>1.2583787311612431</v>
      </c>
      <c r="C37" s="23">
        <f t="shared" si="14"/>
        <v>1.2694471608988613</v>
      </c>
      <c r="D37" s="23">
        <f t="shared" si="14"/>
        <v>1.2803133316876101</v>
      </c>
      <c r="E37" s="23">
        <f t="shared" si="14"/>
        <v>1.2909616430961446</v>
      </c>
      <c r="F37" s="23">
        <f t="shared" si="14"/>
        <v>1.3013714356793897</v>
      </c>
      <c r="G37" s="23">
        <f t="shared" si="14"/>
        <v>1.3115300645740358</v>
      </c>
      <c r="H37" s="23">
        <f t="shared" si="14"/>
        <v>1.3214110419221392</v>
      </c>
      <c r="I37" s="23">
        <f t="shared" si="14"/>
        <v>1.3310045739049217</v>
      </c>
      <c r="J37" s="23">
        <f t="shared" si="14"/>
        <v>1.3402826025160641</v>
      </c>
      <c r="K37" s="24">
        <f t="shared" si="14"/>
        <v>1.3492249744690674</v>
      </c>
      <c r="N37" s="3780"/>
      <c r="O37" s="3781"/>
      <c r="Q37" s="61">
        <v>17</v>
      </c>
      <c r="R37" s="1092">
        <f>-SUM(B31:K31) - SUM(B63:H63)</f>
        <v>805705.99999999988</v>
      </c>
      <c r="S37" s="1092">
        <f>SUM(B32:K32) + SUM(B64:H64)+R37</f>
        <v>1224093.5572027958</v>
      </c>
    </row>
    <row r="38" spans="1:19" ht="13.15" customHeight="1">
      <c r="A38" s="20" t="s">
        <v>770</v>
      </c>
      <c r="B38" s="266">
        <f t="shared" ref="B38:K38" si="15">IF(OR(B21="Choose mgt fee",B21="Choose One!"),"",(B14+B15+B16+B17+B18) / -(B20+B21+B22))</f>
        <v>1.8115952791693772</v>
      </c>
      <c r="C38" s="266">
        <f t="shared" si="15"/>
        <v>1.7955876376043085</v>
      </c>
      <c r="D38" s="266">
        <f t="shared" si="15"/>
        <v>1.7797068792687976</v>
      </c>
      <c r="E38" s="266">
        <f t="shared" si="15"/>
        <v>1.7639534799096102</v>
      </c>
      <c r="F38" s="266">
        <f t="shared" si="15"/>
        <v>1.7483233700745129</v>
      </c>
      <c r="G38" s="266">
        <f t="shared" si="15"/>
        <v>1.7328214404408333</v>
      </c>
      <c r="H38" s="266">
        <f t="shared" si="15"/>
        <v>1.7174395760140857</v>
      </c>
      <c r="I38" s="266">
        <f t="shared" si="15"/>
        <v>1.7021864294097169</v>
      </c>
      <c r="J38" s="266">
        <f t="shared" si="15"/>
        <v>1.6870542142547464</v>
      </c>
      <c r="K38" s="267">
        <f t="shared" si="15"/>
        <v>1.6720434356689373</v>
      </c>
      <c r="N38" s="3780"/>
      <c r="O38" s="3781"/>
      <c r="Q38" s="61">
        <v>18</v>
      </c>
      <c r="R38" s="1092">
        <f>-SUM(B31:K31) - SUM(B63:I63)</f>
        <v>805705.99999999988</v>
      </c>
      <c r="S38" s="1092">
        <f>SUM(B32:K32) + SUM(B64:I64)+R38</f>
        <v>1312044.463264806</v>
      </c>
    </row>
    <row r="39" spans="1:19" ht="13.15" customHeight="1">
      <c r="A39" s="420" t="s">
        <v>2618</v>
      </c>
      <c r="B39" s="3879">
        <f>IF('Part III-Sources of Funds'!$I$38="","",-FV('Part III-Sources of Funds'!$K$38/12,12,B25/12,'Part III-Sources of Funds'!$I$38))</f>
        <v>3961610.7427290343</v>
      </c>
      <c r="C39" s="3879">
        <f>IF('Part III-Sources of Funds'!$I$38="","",-FV('Part III-Sources of Funds'!$K$38/12,12,C25/12,B39))</f>
        <v>3771328.9343479592</v>
      </c>
      <c r="D39" s="3879">
        <f>IF('Part III-Sources of Funds'!$I$38="","",-FV('Part III-Sources of Funds'!$K$38/12,12,D25/12,C39))</f>
        <v>3579135.5623623459</v>
      </c>
      <c r="E39" s="3879">
        <f>IF('Part III-Sources of Funds'!$I$38="","",-FV('Part III-Sources of Funds'!$K$38/12,12,E25/12,D39))</f>
        <v>3385011.4232789902</v>
      </c>
      <c r="F39" s="3879">
        <f>IF('Part III-Sources of Funds'!$I$38="","",-FV('Part III-Sources of Funds'!$K$38/12,12,F25/12,E39))</f>
        <v>3188937.1206871457</v>
      </c>
      <c r="G39" s="3879">
        <f>IF('Part III-Sources of Funds'!$I$38="","",-FV('Part III-Sources of Funds'!$K$38/12,12,G25/12,F39))</f>
        <v>2990893.0633204821</v>
      </c>
      <c r="H39" s="3879">
        <f>IF('Part III-Sources of Funds'!$I$38="","",-FV('Part III-Sources of Funds'!$K$38/12,12,H25/12,G39))</f>
        <v>2790859.4630995747</v>
      </c>
      <c r="I39" s="3879">
        <f>IF('Part III-Sources of Funds'!$I$38="","",-FV('Part III-Sources of Funds'!$K$38/12,12,I25/12,H39))</f>
        <v>2588816.3331547258</v>
      </c>
      <c r="J39" s="3879">
        <f>IF('Part III-Sources of Funds'!$I$38="","",-FV('Part III-Sources of Funds'!$K$38/12,12,J25/12,I39))</f>
        <v>2384743.4858289277</v>
      </c>
      <c r="K39" s="3879">
        <f>IF('Part III-Sources of Funds'!$I$38="","",-FV('Part III-Sources of Funds'!$K$38/12,12,K25/12,J39))</f>
        <v>2178620.5306607587</v>
      </c>
      <c r="N39" s="3780"/>
      <c r="O39" s="3781"/>
      <c r="Q39" s="971">
        <v>19</v>
      </c>
      <c r="R39" s="1092">
        <f>-SUM(B31:K31) - SUM(B63:J63)</f>
        <v>805705.99999999988</v>
      </c>
      <c r="S39" s="1092">
        <f>SUM(B32:K32) + SUM(B64:J64)+R39</f>
        <v>1401096.9920732216</v>
      </c>
    </row>
    <row r="40" spans="1:19" ht="13.15" customHeight="1">
      <c r="A40" s="420" t="s">
        <v>2619</v>
      </c>
      <c r="B40" s="3875" t="str">
        <f>IF('Part III-Sources of Funds'!$I$39="","",-FV('Part III-Sources of Funds'!$K$39/12,12,B26/12,'Part III-Sources of Funds'!$I$39))</f>
        <v/>
      </c>
      <c r="C40" s="3875" t="str">
        <f>IF('Part III-Sources of Funds'!$I$39="","",-FV('Part III-Sources of Funds'!$K$39/12,12,C26/12,B40))</f>
        <v/>
      </c>
      <c r="D40" s="3875" t="str">
        <f>IF('Part III-Sources of Funds'!$I$39="","",-FV('Part III-Sources of Funds'!$K$39/12,12,D26/12,C40))</f>
        <v/>
      </c>
      <c r="E40" s="3875" t="str">
        <f>IF('Part III-Sources of Funds'!$I$39="","",-FV('Part III-Sources of Funds'!$K$39/12,12,E26/12,D40))</f>
        <v/>
      </c>
      <c r="F40" s="3875" t="str">
        <f>IF('Part III-Sources of Funds'!$I$39="","",-FV('Part III-Sources of Funds'!$K$39/12,12,F26/12,E40))</f>
        <v/>
      </c>
      <c r="G40" s="3875" t="str">
        <f>IF('Part III-Sources of Funds'!$I$39="","",-FV('Part III-Sources of Funds'!$K$39/12,12,G26/12,F40))</f>
        <v/>
      </c>
      <c r="H40" s="3875" t="str">
        <f>IF('Part III-Sources of Funds'!$I$39="","",-FV('Part III-Sources of Funds'!$K$39/12,12,H26/12,G40))</f>
        <v/>
      </c>
      <c r="I40" s="3875" t="str">
        <f>IF('Part III-Sources of Funds'!$I$39="","",-FV('Part III-Sources of Funds'!$K$39/12,12,I26/12,H40))</f>
        <v/>
      </c>
      <c r="J40" s="3875" t="str">
        <f>IF('Part III-Sources of Funds'!$I$39="","",-FV('Part III-Sources of Funds'!$K$39/12,12,J26/12,I40))</f>
        <v/>
      </c>
      <c r="K40" s="3875" t="str">
        <f>IF('Part III-Sources of Funds'!$I$39="","",-FV('Part III-Sources of Funds'!$K$39/12,12,K26/12,J40))</f>
        <v/>
      </c>
      <c r="N40" s="3780"/>
      <c r="O40" s="3781"/>
      <c r="Q40" s="971">
        <v>20</v>
      </c>
      <c r="R40" s="1092">
        <f>-SUM(B31:K31) - SUM(B63:K63)</f>
        <v>805705.99999999988</v>
      </c>
      <c r="S40" s="1092">
        <f>SUM(B32:K32) + SUM(B64:K64)+R40</f>
        <v>1491113.0644028056</v>
      </c>
    </row>
    <row r="41" spans="1:19" ht="13.15" customHeight="1">
      <c r="A41" s="420" t="s">
        <v>2620</v>
      </c>
      <c r="B41" s="3875" t="str">
        <f>IF('Part III-Sources of Funds'!$I$40="","",-FV('Part III-Sources of Funds'!$K$40/12,12,B27/12,'Part III-Sources of Funds'!$I$40))</f>
        <v/>
      </c>
      <c r="C41" s="3875" t="str">
        <f>IF('Part III-Sources of Funds'!$I$40="","",-FV('Part III-Sources of Funds'!$K$40/12,12,C27/12,B41))</f>
        <v/>
      </c>
      <c r="D41" s="3875" t="str">
        <f>IF('Part III-Sources of Funds'!$I$40="","",-FV('Part III-Sources of Funds'!$K$40/12,12,D27/12,C41))</f>
        <v/>
      </c>
      <c r="E41" s="3875" t="str">
        <f>IF('Part III-Sources of Funds'!$I$40="","",-FV('Part III-Sources of Funds'!$K$40/12,12,E27/12,D41))</f>
        <v/>
      </c>
      <c r="F41" s="3875" t="str">
        <f>IF('Part III-Sources of Funds'!$I$40="","",-FV('Part III-Sources of Funds'!$K$40/12,12,F27/12,E41))</f>
        <v/>
      </c>
      <c r="G41" s="3875" t="str">
        <f>IF('Part III-Sources of Funds'!$I$40="","",-FV('Part III-Sources of Funds'!$K$40/12,12,G27/12,F41))</f>
        <v/>
      </c>
      <c r="H41" s="3875" t="str">
        <f>IF('Part III-Sources of Funds'!$I$40="","",-FV('Part III-Sources of Funds'!$K$40/12,12,H27/12,G41))</f>
        <v/>
      </c>
      <c r="I41" s="3875" t="str">
        <f>IF('Part III-Sources of Funds'!$I$40="","",-FV('Part III-Sources of Funds'!$K$40/12,12,I27/12,H41))</f>
        <v/>
      </c>
      <c r="J41" s="3875" t="str">
        <f>IF('Part III-Sources of Funds'!$I$40="","",-FV('Part III-Sources of Funds'!$K$40/12,12,J27/12,I41))</f>
        <v/>
      </c>
      <c r="K41" s="3875" t="str">
        <f>IF('Part III-Sources of Funds'!$I$40="","",-FV('Part III-Sources of Funds'!$K$40/12,12,K27/12,J41))</f>
        <v/>
      </c>
      <c r="N41" s="3780"/>
      <c r="O41" s="3781"/>
    </row>
    <row r="42" spans="1:19" ht="13.15" customHeight="1">
      <c r="A42" s="20" t="s">
        <v>784</v>
      </c>
      <c r="B42" s="3875" t="str">
        <f>IF('Part III-Sources of Funds'!$I$41="","",-FV('Part III-Sources of Funds'!$K$41/12,12,B28/12,'Part III-Sources of Funds'!$I$41))</f>
        <v/>
      </c>
      <c r="C42" s="3875" t="str">
        <f>IF('Part III-Sources of Funds'!$I$41="","",-FV('Part III-Sources of Funds'!$K$41/12,12,C28/12,B42))</f>
        <v/>
      </c>
      <c r="D42" s="3875" t="str">
        <f>IF('Part III-Sources of Funds'!$I$41="","",-FV('Part III-Sources of Funds'!$K$41/12,12,D28/12,C42))</f>
        <v/>
      </c>
      <c r="E42" s="3875" t="str">
        <f>IF('Part III-Sources of Funds'!$I$41="","",-FV('Part III-Sources of Funds'!$K$41/12,12,E28/12,D42))</f>
        <v/>
      </c>
      <c r="F42" s="3875" t="str">
        <f>IF('Part III-Sources of Funds'!$I$41="","",-FV('Part III-Sources of Funds'!$K$41/12,12,F28/12,E42))</f>
        <v/>
      </c>
      <c r="G42" s="3875" t="str">
        <f>IF('Part III-Sources of Funds'!$I$41="","",-FV('Part III-Sources of Funds'!$K$41/12,12,G28/12,F42))</f>
        <v/>
      </c>
      <c r="H42" s="3875" t="str">
        <f>IF('Part III-Sources of Funds'!$I$41="","",-FV('Part III-Sources of Funds'!$K$41/12,12,H28/12,G42))</f>
        <v/>
      </c>
      <c r="I42" s="3875" t="str">
        <f>IF('Part III-Sources of Funds'!$I$41="","",-FV('Part III-Sources of Funds'!$K$41/12,12,I28/12,H42))</f>
        <v/>
      </c>
      <c r="J42" s="3875" t="str">
        <f>IF('Part III-Sources of Funds'!$I$41="","",-FV('Part III-Sources of Funds'!$K$41/12,12,J28/12,I42))</f>
        <v/>
      </c>
      <c r="K42" s="3875" t="str">
        <f>IF('Part III-Sources of Funds'!$I$41="","",-FV('Part III-Sources of Funds'!$K$41/12,12,K28/12,J42))</f>
        <v/>
      </c>
      <c r="N42" s="3780"/>
      <c r="O42" s="3781"/>
    </row>
    <row r="43" spans="1:19" ht="13.15" customHeight="1">
      <c r="A43" s="420" t="s">
        <v>4081</v>
      </c>
      <c r="B43" s="3878">
        <f>IF('Part III-Sources of Funds'!$I$43="","",-FV('Part III-Sources of Funds'!$K$43/12,12,B31/12,'Part III-Sources of Funds'!$I$43))</f>
        <v>751992.26666666672</v>
      </c>
      <c r="C43" s="3878">
        <f>IF('Part III-Sources of Funds'!$I$43="","",IF(-FV('Part III-Sources of Funds'!$K$43/12,12,C31/12,B43)&gt;0,-FV('Part III-Sources of Funds'!$K$43/12,12,C31/12,B43),0))</f>
        <v>698278.53333333344</v>
      </c>
      <c r="D43" s="3878">
        <f>IF('Part III-Sources of Funds'!$I$43="","",IF(-FV('Part III-Sources of Funds'!$K$43/12,12,D31/12,C43)&gt;0,-FV('Part III-Sources of Funds'!$K$43/12,12,D31/12,C43),0))</f>
        <v>644564.80000000016</v>
      </c>
      <c r="E43" s="3878">
        <f>IF('Part III-Sources of Funds'!$I$43="","",IF(-FV('Part III-Sources of Funds'!$K$43/12,12,E31/12,D43)&gt;0,-FV('Part III-Sources of Funds'!$K$43/12,12,E31/12,D43),0))</f>
        <v>590851.06666666688</v>
      </c>
      <c r="F43" s="3878">
        <f>IF('Part III-Sources of Funds'!$I$43="","",IF(-FV('Part III-Sources of Funds'!$K$43/12,12,F31/12,E43)&gt;0,-FV('Part III-Sources of Funds'!$K$43/12,12,F31/12,E43),0))</f>
        <v>537137.3333333336</v>
      </c>
      <c r="G43" s="3878">
        <f>IF('Part III-Sources of Funds'!$I$43="","",IF(-FV('Part III-Sources of Funds'!$K$43/12,12,G31/12,F43)&gt;0,-FV('Part III-Sources of Funds'!$K$43/12,12,G31/12,F43),0))</f>
        <v>483423.60000000027</v>
      </c>
      <c r="H43" s="3878">
        <f>IF('Part III-Sources of Funds'!$I$43="","",IF(-FV('Part III-Sources of Funds'!$K$43/12,12,H31/12,G43)&gt;0,-FV('Part III-Sources of Funds'!$K$43/12,12,H31/12,G43),0))</f>
        <v>429709.86666666693</v>
      </c>
      <c r="I43" s="3878">
        <f>IF('Part III-Sources of Funds'!$I$43="","",IF(-FV('Part III-Sources of Funds'!$K$43/12,12,I31/12,H43)&gt;0,-FV('Part III-Sources of Funds'!$K$43/12,12,I31/12,H43),0))</f>
        <v>375996.13333333359</v>
      </c>
      <c r="J43" s="3878">
        <f>IF('Part III-Sources of Funds'!$I$43="","",IF(-FV('Part III-Sources of Funds'!$K$43/12,12,J31/12,I43)&gt;0,-FV('Part III-Sources of Funds'!$K$43/12,12,J31/12,I43),0))</f>
        <v>322282.40000000026</v>
      </c>
      <c r="K43" s="3878">
        <f>IF('Part III-Sources of Funds'!$I$43="","",IF(-FV('Part III-Sources of Funds'!$K$43/12,12,K31/12,J43)&gt;0,-FV('Part III-Sources of Funds'!$K$43/12,12,K31/12,J43),0))</f>
        <v>268568.66666666692</v>
      </c>
      <c r="N43" s="3811"/>
      <c r="O43" s="3812"/>
    </row>
    <row r="44" spans="1:19" ht="4.1500000000000004" customHeight="1">
      <c r="B44" s="16"/>
      <c r="C44" s="16"/>
      <c r="D44" s="16"/>
      <c r="E44" s="16"/>
      <c r="F44" s="16"/>
      <c r="G44" s="16"/>
      <c r="H44" s="16"/>
      <c r="I44" s="16"/>
      <c r="J44" s="16"/>
      <c r="K44" s="16"/>
    </row>
    <row r="45" spans="1:19" ht="14.65"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29" t="s">
        <v>2623</v>
      </c>
      <c r="O45" s="2429"/>
    </row>
    <row r="46" spans="1:19" ht="13.15" customHeight="1">
      <c r="A46" s="17" t="s">
        <v>2405</v>
      </c>
      <c r="B46" s="18">
        <f t="shared" ref="B46:K46" si="17">$B$14*(1+$B$5)^(B45-1)</f>
        <v>826683.00781900447</v>
      </c>
      <c r="C46" s="18">
        <f t="shared" si="17"/>
        <v>843216.66797538439</v>
      </c>
      <c r="D46" s="18">
        <f t="shared" si="17"/>
        <v>860081.00133489224</v>
      </c>
      <c r="E46" s="18">
        <f t="shared" si="17"/>
        <v>877282.62136158999</v>
      </c>
      <c r="F46" s="18">
        <f t="shared" si="17"/>
        <v>894828.27378882188</v>
      </c>
      <c r="G46" s="18">
        <f t="shared" si="17"/>
        <v>912724.83926459809</v>
      </c>
      <c r="H46" s="18">
        <f t="shared" si="17"/>
        <v>930979.33604989015</v>
      </c>
      <c r="I46" s="18">
        <f t="shared" si="17"/>
        <v>949598.92277088808</v>
      </c>
      <c r="J46" s="18">
        <f t="shared" si="17"/>
        <v>968590.90122630575</v>
      </c>
      <c r="K46" s="19">
        <f t="shared" si="17"/>
        <v>987962.71925083175</v>
      </c>
      <c r="N46" s="3766"/>
      <c r="O46" s="3767"/>
    </row>
    <row r="47" spans="1:19" ht="13.15" customHeight="1">
      <c r="A47" s="20" t="s">
        <v>1016</v>
      </c>
      <c r="B47" s="21">
        <f t="shared" ref="B47:K47" si="18">$B$15*(1+$B$5)^(B45-1)</f>
        <v>16533.66015638009</v>
      </c>
      <c r="C47" s="21">
        <f t="shared" si="18"/>
        <v>16864.333359507687</v>
      </c>
      <c r="D47" s="21">
        <f t="shared" si="18"/>
        <v>17201.620026697845</v>
      </c>
      <c r="E47" s="21">
        <f t="shared" si="18"/>
        <v>17545.652427231802</v>
      </c>
      <c r="F47" s="21">
        <f t="shared" si="18"/>
        <v>17896.565475776439</v>
      </c>
      <c r="G47" s="21">
        <f t="shared" si="18"/>
        <v>18254.496785291962</v>
      </c>
      <c r="H47" s="21">
        <f t="shared" si="18"/>
        <v>18619.586720997806</v>
      </c>
      <c r="I47" s="21">
        <f t="shared" si="18"/>
        <v>18991.97845541776</v>
      </c>
      <c r="J47" s="21">
        <f t="shared" si="18"/>
        <v>19371.818024526114</v>
      </c>
      <c r="K47" s="22">
        <f t="shared" si="18"/>
        <v>19759.254385016637</v>
      </c>
      <c r="N47" s="3780"/>
      <c r="O47" s="3781"/>
    </row>
    <row r="48" spans="1:19" ht="13.15" customHeight="1">
      <c r="A48" s="20" t="s">
        <v>2406</v>
      </c>
      <c r="B48" s="21">
        <f t="shared" ref="B48:K48" si="19">-(B46+B47)*$B$8</f>
        <v>-59025.166758276922</v>
      </c>
      <c r="C48" s="21">
        <f t="shared" si="19"/>
        <v>-60205.670093442452</v>
      </c>
      <c r="D48" s="21">
        <f t="shared" si="19"/>
        <v>-61409.783495311312</v>
      </c>
      <c r="E48" s="21">
        <f t="shared" si="19"/>
        <v>-62637.979165217526</v>
      </c>
      <c r="F48" s="21">
        <f t="shared" si="19"/>
        <v>-63890.738748521886</v>
      </c>
      <c r="G48" s="21">
        <f t="shared" si="19"/>
        <v>-65168.553523492308</v>
      </c>
      <c r="H48" s="21">
        <f t="shared" si="19"/>
        <v>-66471.924593962161</v>
      </c>
      <c r="I48" s="21">
        <f t="shared" si="19"/>
        <v>-67801.363085841411</v>
      </c>
      <c r="J48" s="21">
        <f t="shared" si="19"/>
        <v>-69157.390347558234</v>
      </c>
      <c r="K48" s="22">
        <f t="shared" si="19"/>
        <v>-70540.538154509399</v>
      </c>
      <c r="N48" s="3780"/>
      <c r="O48" s="3781"/>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80"/>
      <c r="O49" s="3781"/>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80"/>
      <c r="O50" s="3781"/>
    </row>
    <row r="51" spans="1:19" ht="13.15" customHeight="1">
      <c r="A51" s="420" t="s">
        <v>4935</v>
      </c>
      <c r="B51" s="21">
        <f t="shared" ref="B51:K51" si="20">SUM(B46:B50)</f>
        <v>784191.50121710764</v>
      </c>
      <c r="C51" s="21">
        <f t="shared" si="20"/>
        <v>799875.33124144969</v>
      </c>
      <c r="D51" s="21">
        <f t="shared" si="20"/>
        <v>815872.83786627883</v>
      </c>
      <c r="E51" s="21">
        <f t="shared" si="20"/>
        <v>832190.29462360428</v>
      </c>
      <c r="F51" s="21">
        <f t="shared" si="20"/>
        <v>848834.10051607643</v>
      </c>
      <c r="G51" s="21">
        <f t="shared" si="20"/>
        <v>865810.78252639773</v>
      </c>
      <c r="H51" s="21">
        <f t="shared" si="20"/>
        <v>883126.99817692582</v>
      </c>
      <c r="I51" s="21">
        <f t="shared" si="20"/>
        <v>900789.53814046446</v>
      </c>
      <c r="J51" s="21">
        <f t="shared" si="20"/>
        <v>918805.32890327368</v>
      </c>
      <c r="K51" s="22">
        <f t="shared" si="20"/>
        <v>937181.43548133899</v>
      </c>
      <c r="N51" s="3780"/>
      <c r="O51" s="3781"/>
    </row>
    <row r="52" spans="1:19" ht="13.15" customHeight="1">
      <c r="A52" s="20" t="s">
        <v>614</v>
      </c>
      <c r="B52" s="21">
        <f t="shared" ref="B52:K52" si="21">$B$20*(1+$B$6)^(B45-1)</f>
        <v>-405783.45549554349</v>
      </c>
      <c r="C52" s="21">
        <f t="shared" si="21"/>
        <v>-417956.95916040981</v>
      </c>
      <c r="D52" s="21">
        <f t="shared" si="21"/>
        <v>-430495.66793522204</v>
      </c>
      <c r="E52" s="21">
        <f t="shared" si="21"/>
        <v>-443410.53797327867</v>
      </c>
      <c r="F52" s="21">
        <f t="shared" si="21"/>
        <v>-456712.8541124771</v>
      </c>
      <c r="G52" s="21">
        <f t="shared" si="21"/>
        <v>-470414.23973585141</v>
      </c>
      <c r="H52" s="21">
        <f t="shared" si="21"/>
        <v>-484526.66692792688</v>
      </c>
      <c r="I52" s="21">
        <f t="shared" si="21"/>
        <v>-499062.46693576465</v>
      </c>
      <c r="J52" s="21">
        <f t="shared" si="21"/>
        <v>-514034.3409438376</v>
      </c>
      <c r="K52" s="22">
        <f t="shared" si="21"/>
        <v>-529455.37117215269</v>
      </c>
      <c r="N52" s="3780"/>
      <c r="O52" s="3781"/>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-39210</v>
      </c>
      <c r="C53" s="21">
        <f>IF(AND('Part VII-Pro Forma'!$G$8="Yes",'Part VII-Pro Forma'!$G$9="Yes"),"Choose One!",IF('Part VII-Pro Forma'!$G$8="Yes",ROUND((-$K$8*(1+'Part VII-Pro Forma'!$B$6)^('Part VII-Pro Forma'!C45-1)),),IF('Part VII-Pro Forma'!$G$9="Yes",ROUND((-(SUM(C46:C49)*'Part VII-Pro Forma'!$K$9)),),"Choose mgt fee")))</f>
        <v>-39994</v>
      </c>
      <c r="D53" s="21">
        <f>IF(AND('Part VII-Pro Forma'!$G$8="Yes",'Part VII-Pro Forma'!$G$9="Yes"),"Choose One!",IF('Part VII-Pro Forma'!$G$8="Yes",ROUND((-$K$8*(1+'Part VII-Pro Forma'!$B$6)^('Part VII-Pro Forma'!D45-1)),),IF('Part VII-Pro Forma'!$G$9="Yes",ROUND((-(SUM(D46:D49)*'Part VII-Pro Forma'!$K$9)),),"Choose mgt fee")))</f>
        <v>-40794</v>
      </c>
      <c r="E53" s="21">
        <f>IF(AND('Part VII-Pro Forma'!$G$8="Yes",'Part VII-Pro Forma'!$G$9="Yes"),"Choose One!",IF('Part VII-Pro Forma'!$G$8="Yes",ROUND((-$K$8*(1+'Part VII-Pro Forma'!$B$6)^('Part VII-Pro Forma'!E45-1)),),IF('Part VII-Pro Forma'!$G$9="Yes",ROUND((-(SUM(E46:E49)*'Part VII-Pro Forma'!$K$9)),),"Choose mgt fee")))</f>
        <v>-41610</v>
      </c>
      <c r="F53" s="21">
        <f>IF(AND('Part VII-Pro Forma'!$G$8="Yes",'Part VII-Pro Forma'!$G$9="Yes"),"Choose One!",IF('Part VII-Pro Forma'!$G$8="Yes",ROUND((-$K$8*(1+'Part VII-Pro Forma'!$B$6)^('Part VII-Pro Forma'!F45-1)),),IF('Part VII-Pro Forma'!$G$9="Yes",ROUND((-(SUM(F46:F49)*'Part VII-Pro Forma'!$K$9)),),"Choose mgt fee")))</f>
        <v>-42442</v>
      </c>
      <c r="G53" s="21">
        <f>IF(AND('Part VII-Pro Forma'!$G$8="Yes",'Part VII-Pro Forma'!$G$9="Yes"),"Choose One!",IF('Part VII-Pro Forma'!$G$8="Yes",ROUND((-$K$8*(1+'Part VII-Pro Forma'!$B$6)^('Part VII-Pro Forma'!G45-1)),),IF('Part VII-Pro Forma'!$G$9="Yes",ROUND((-(SUM(G46:G49)*'Part VII-Pro Forma'!$K$9)),),"Choose mgt fee")))</f>
        <v>-43291</v>
      </c>
      <c r="H53" s="21">
        <f>IF(AND('Part VII-Pro Forma'!$G$8="Yes",'Part VII-Pro Forma'!$G$9="Yes"),"Choose One!",IF('Part VII-Pro Forma'!$G$8="Yes",ROUND((-$K$8*(1+'Part VII-Pro Forma'!$B$6)^('Part VII-Pro Forma'!H45-1)),),IF('Part VII-Pro Forma'!$G$9="Yes",ROUND((-(SUM(H46:H49)*'Part VII-Pro Forma'!$K$9)),),"Choose mgt fee")))</f>
        <v>-44156</v>
      </c>
      <c r="I53" s="21">
        <f>IF(AND('Part VII-Pro Forma'!$G$8="Yes",'Part VII-Pro Forma'!$G$9="Yes"),"Choose One!",IF('Part VII-Pro Forma'!$G$8="Yes",ROUND((-$K$8*(1+'Part VII-Pro Forma'!$B$6)^('Part VII-Pro Forma'!I45-1)),),IF('Part VII-Pro Forma'!$G$9="Yes",ROUND((-(SUM(I46:I49)*'Part VII-Pro Forma'!$K$9)),),"Choose mgt fee")))</f>
        <v>-45039</v>
      </c>
      <c r="J53" s="21">
        <f>IF(AND('Part VII-Pro Forma'!$G$8="Yes",'Part VII-Pro Forma'!$G$9="Yes"),"Choose One!",IF('Part VII-Pro Forma'!$G$8="Yes",ROUND((-$K$8*(1+'Part VII-Pro Forma'!$B$6)^('Part VII-Pro Forma'!J45-1)),),IF('Part VII-Pro Forma'!$G$9="Yes",ROUND((-(SUM(J46:J49)*'Part VII-Pro Forma'!$K$9)),),"Choose mgt fee")))</f>
        <v>-45940</v>
      </c>
      <c r="K53" s="22">
        <f>IF(AND('Part VII-Pro Forma'!$G$8="Yes",'Part VII-Pro Forma'!$G$9="Yes"),"Choose One!",IF('Part VII-Pro Forma'!$G$8="Yes",ROUND((-$K$8*(1+'Part VII-Pro Forma'!$B$6)^('Part VII-Pro Forma'!K45-1)),),IF('Part VII-Pro Forma'!$G$9="Yes",ROUND((-(SUM(K46:K49)*'Part VII-Pro Forma'!$K$9)),),"Choose mgt fee")))</f>
        <v>-46859</v>
      </c>
      <c r="N53" s="3780"/>
      <c r="O53" s="3781"/>
    </row>
    <row r="54" spans="1:19" ht="13.15" customHeight="1">
      <c r="A54" s="20" t="s">
        <v>1202</v>
      </c>
      <c r="B54" s="21">
        <f t="shared" ref="B54:K54" si="22">$B$22*(1+$B$7)^(B45-1)</f>
        <v>-28222.243966226557</v>
      </c>
      <c r="C54" s="21">
        <f t="shared" si="22"/>
        <v>-29068.911285213355</v>
      </c>
      <c r="D54" s="21">
        <f t="shared" si="22"/>
        <v>-29940.978623769752</v>
      </c>
      <c r="E54" s="21">
        <f t="shared" si="22"/>
        <v>-30839.207982482843</v>
      </c>
      <c r="F54" s="21">
        <f t="shared" si="22"/>
        <v>-31764.384221957331</v>
      </c>
      <c r="G54" s="21">
        <f t="shared" si="22"/>
        <v>-32717.315748616053</v>
      </c>
      <c r="H54" s="21">
        <f t="shared" si="22"/>
        <v>-33698.835221074529</v>
      </c>
      <c r="I54" s="21">
        <f t="shared" si="22"/>
        <v>-34709.800277706767</v>
      </c>
      <c r="J54" s="21">
        <f t="shared" si="22"/>
        <v>-35751.094286037966</v>
      </c>
      <c r="K54" s="22">
        <f t="shared" si="22"/>
        <v>-36823.627114619107</v>
      </c>
      <c r="N54" s="3780"/>
      <c r="O54" s="3781"/>
    </row>
    <row r="55" spans="1:19" ht="13.15" customHeight="1">
      <c r="A55" s="420" t="s">
        <v>4934</v>
      </c>
      <c r="B55" s="3873">
        <f>IF(B45&lt;=+'Part VI-Revenues &amp; Expenses'!$K$243,-'Part VI-Revenues &amp; Expenses'!$H$243,0)</f>
        <v>0</v>
      </c>
      <c r="C55" s="3873">
        <f>IF(C45&lt;=+'Part VI-Revenues &amp; Expenses'!$K$243,-'Part VI-Revenues &amp; Expenses'!$H$243,0)</f>
        <v>0</v>
      </c>
      <c r="D55" s="3873">
        <f>IF(D45&lt;=+'Part VI-Revenues &amp; Expenses'!$K$243,-'Part VI-Revenues &amp; Expenses'!$H$243,0)</f>
        <v>0</v>
      </c>
      <c r="E55" s="3873">
        <f>IF(E45&lt;=+'Part VI-Revenues &amp; Expenses'!$K$243,-'Part VI-Revenues &amp; Expenses'!$H$243,0)</f>
        <v>0</v>
      </c>
      <c r="F55" s="3873">
        <f>IF(F45&lt;=+'Part VI-Revenues &amp; Expenses'!$K$243,-'Part VI-Revenues &amp; Expenses'!$H$243,0)</f>
        <v>0</v>
      </c>
      <c r="G55" s="3873">
        <f>IF(G45&lt;=+'Part VI-Revenues &amp; Expenses'!$K$243,-'Part VI-Revenues &amp; Expenses'!$H$243,0)</f>
        <v>0</v>
      </c>
      <c r="H55" s="3873">
        <f>IF(H45&lt;=+'Part VI-Revenues &amp; Expenses'!$K$243,-'Part VI-Revenues &amp; Expenses'!$H$243,0)</f>
        <v>0</v>
      </c>
      <c r="I55" s="3873">
        <f>IF(I45&lt;=+'Part VI-Revenues &amp; Expenses'!$K$243,-'Part VI-Revenues &amp; Expenses'!$H$243,0)</f>
        <v>0</v>
      </c>
      <c r="J55" s="3873">
        <f>IF(J45&lt;=+'Part VI-Revenues &amp; Expenses'!$K$243,-'Part VI-Revenues &amp; Expenses'!$H$243,0)</f>
        <v>0</v>
      </c>
      <c r="K55" s="3873">
        <f>IF(K45&lt;=+'Part VI-Revenues &amp; Expenses'!$K$243,-'Part VI-Revenues &amp; Expenses'!$H$243,0)</f>
        <v>0</v>
      </c>
      <c r="N55" s="3780"/>
      <c r="O55" s="3781"/>
      <c r="Q55" s="971">
        <v>10</v>
      </c>
      <c r="R55" s="1092">
        <f>-SUM(B60:K60)</f>
        <v>0</v>
      </c>
      <c r="S55" s="1092">
        <f>SUM(B61:K61)+R55</f>
        <v>0</v>
      </c>
    </row>
    <row r="56" spans="1:19" ht="13.15" customHeight="1">
      <c r="A56" s="20" t="s">
        <v>1203</v>
      </c>
      <c r="B56" s="21">
        <f>SUM(B51:B55)</f>
        <v>310975.80175533757</v>
      </c>
      <c r="C56" s="21">
        <f t="shared" ref="C56" si="23">SUM(C51:C55)</f>
        <v>312855.46079582651</v>
      </c>
      <c r="D56" s="21">
        <f t="shared" ref="D56" si="24">SUM(D51:D55)</f>
        <v>314642.19130728702</v>
      </c>
      <c r="E56" s="21">
        <f t="shared" ref="E56" si="25">SUM(E51:E55)</f>
        <v>316330.54866784276</v>
      </c>
      <c r="F56" s="21">
        <f t="shared" ref="F56" si="26">SUM(F51:F55)</f>
        <v>317914.86218164198</v>
      </c>
      <c r="G56" s="21">
        <f t="shared" ref="G56" si="27">SUM(G51:G55)</f>
        <v>319388.22704193025</v>
      </c>
      <c r="H56" s="21">
        <f t="shared" ref="H56" si="28">SUM(H51:H55)</f>
        <v>320745.49602792441</v>
      </c>
      <c r="I56" s="21">
        <f t="shared" ref="I56" si="29">SUM(I51:I55)</f>
        <v>321978.27092699305</v>
      </c>
      <c r="J56" s="21">
        <f t="shared" ref="J56" si="30">SUM(J51:J55)</f>
        <v>323079.89367339812</v>
      </c>
      <c r="K56" s="2155">
        <f>SUM(K51:K55)</f>
        <v>324043.43719456717</v>
      </c>
      <c r="N56" s="3780"/>
      <c r="O56" s="3781"/>
    </row>
    <row r="57" spans="1:19" ht="13.15" customHeight="1">
      <c r="A57" s="20" t="str">
        <f>$A25</f>
        <v>Mortgage A</v>
      </c>
      <c r="B57" s="3874">
        <f>IF('Part III-Sources of Funds'!$P$38="", 0,-'Part III-Sources of Funds'!$P$38)</f>
        <v>-229027.36486498272</v>
      </c>
      <c r="C57" s="3874">
        <f>IF('Part III-Sources of Funds'!$P$38="", 0,-'Part III-Sources of Funds'!$P$38)</f>
        <v>-229027.36486498272</v>
      </c>
      <c r="D57" s="3874">
        <f>IF('Part III-Sources of Funds'!$P$38="", 0,-'Part III-Sources of Funds'!$P$38)</f>
        <v>-229027.36486498272</v>
      </c>
      <c r="E57" s="3874">
        <f>IF('Part III-Sources of Funds'!$P$38="", 0,-'Part III-Sources of Funds'!$P$38)</f>
        <v>-229027.36486498272</v>
      </c>
      <c r="F57" s="3874">
        <f>IF('Part III-Sources of Funds'!$P$38="", 0,-'Part III-Sources of Funds'!$P$38)</f>
        <v>-229027.36486498272</v>
      </c>
      <c r="G57" s="3874">
        <f>IF('Part III-Sources of Funds'!$P$38="", 0,-'Part III-Sources of Funds'!$P$38)</f>
        <v>-229027.36486498272</v>
      </c>
      <c r="H57" s="3874">
        <f>IF('Part III-Sources of Funds'!$P$38="", 0,-'Part III-Sources of Funds'!$P$38)</f>
        <v>-229027.36486498272</v>
      </c>
      <c r="I57" s="3874">
        <f>IF('Part III-Sources of Funds'!$P$38="", 0,-'Part III-Sources of Funds'!$P$38)</f>
        <v>-229027.36486498272</v>
      </c>
      <c r="J57" s="3874">
        <f>IF('Part III-Sources of Funds'!$P$38="", 0,-'Part III-Sources of Funds'!$P$38)</f>
        <v>-229027.36486498272</v>
      </c>
      <c r="K57" s="3874">
        <f>IF('Part III-Sources of Funds'!$P$38="", 0,-'Part III-Sources of Funds'!$P$38)</f>
        <v>-229027.36486498272</v>
      </c>
      <c r="N57" s="3780"/>
      <c r="O57" s="3781"/>
    </row>
    <row r="58" spans="1:19" ht="13.15" customHeight="1">
      <c r="A58" s="20" t="str">
        <f>$A26</f>
        <v>Mortgage B</v>
      </c>
      <c r="B58" s="3875">
        <f>IF('Part III-Sources of Funds'!$P$39="", 0,-'Part III-Sources of Funds'!$P$39)</f>
        <v>0</v>
      </c>
      <c r="C58" s="3875">
        <f>IF('Part III-Sources of Funds'!$P$39="", 0,-'Part III-Sources of Funds'!$P$39)</f>
        <v>0</v>
      </c>
      <c r="D58" s="3875">
        <f>IF('Part III-Sources of Funds'!$P$39="", 0,-'Part III-Sources of Funds'!$P$39)</f>
        <v>0</v>
      </c>
      <c r="E58" s="3875">
        <f>IF('Part III-Sources of Funds'!$P$39="", 0,-'Part III-Sources of Funds'!$P$39)</f>
        <v>0</v>
      </c>
      <c r="F58" s="3875">
        <f>IF('Part III-Sources of Funds'!$P$39="", 0,-'Part III-Sources of Funds'!$P$39)</f>
        <v>0</v>
      </c>
      <c r="G58" s="3875">
        <f>IF('Part III-Sources of Funds'!$P$39="", 0,-'Part III-Sources of Funds'!$P$39)</f>
        <v>0</v>
      </c>
      <c r="H58" s="3875">
        <f>IF('Part III-Sources of Funds'!$P$39="", 0,-'Part III-Sources of Funds'!$P$39)</f>
        <v>0</v>
      </c>
      <c r="I58" s="3875">
        <f>IF('Part III-Sources of Funds'!$P$39="", 0,-'Part III-Sources of Funds'!$P$39)</f>
        <v>0</v>
      </c>
      <c r="J58" s="3875">
        <f>IF('Part III-Sources of Funds'!$P$39="", 0,-'Part III-Sources of Funds'!$P$39)</f>
        <v>0</v>
      </c>
      <c r="K58" s="3875">
        <f>IF('Part III-Sources of Funds'!$P$39="", 0,-'Part III-Sources of Funds'!$P$39)</f>
        <v>0</v>
      </c>
      <c r="N58" s="3780"/>
      <c r="O58" s="3781"/>
    </row>
    <row r="59" spans="1:19" ht="13.15" customHeight="1">
      <c r="A59" s="20" t="str">
        <f>$A27</f>
        <v>Mortgage C</v>
      </c>
      <c r="B59" s="3875">
        <f>IF('Part III-Sources of Funds'!$P$40="", 0,-'Part III-Sources of Funds'!$P$40)</f>
        <v>0</v>
      </c>
      <c r="C59" s="3875">
        <f>IF('Part III-Sources of Funds'!$P$40="", 0,-'Part III-Sources of Funds'!$P$40)</f>
        <v>0</v>
      </c>
      <c r="D59" s="3875">
        <f>IF('Part III-Sources of Funds'!$P$40="", 0,-'Part III-Sources of Funds'!$P$40)</f>
        <v>0</v>
      </c>
      <c r="E59" s="3875">
        <f>IF('Part III-Sources of Funds'!$P$40="", 0,-'Part III-Sources of Funds'!$P$40)</f>
        <v>0</v>
      </c>
      <c r="F59" s="3875">
        <f>IF('Part III-Sources of Funds'!$P$40="", 0,-'Part III-Sources of Funds'!$P$40)</f>
        <v>0</v>
      </c>
      <c r="G59" s="3875">
        <f>IF('Part III-Sources of Funds'!$P$40="", 0,-'Part III-Sources of Funds'!$P$40)</f>
        <v>0</v>
      </c>
      <c r="H59" s="3875">
        <f>IF('Part III-Sources of Funds'!$P$40="", 0,-'Part III-Sources of Funds'!$P$40)</f>
        <v>0</v>
      </c>
      <c r="I59" s="3875">
        <f>IF('Part III-Sources of Funds'!$P$40="", 0,-'Part III-Sources of Funds'!$P$40)</f>
        <v>0</v>
      </c>
      <c r="J59" s="3875">
        <f>IF('Part III-Sources of Funds'!$P$40="", 0,-'Part III-Sources of Funds'!$P$40)</f>
        <v>0</v>
      </c>
      <c r="K59" s="3875">
        <f>IF('Part III-Sources of Funds'!$P$40="", 0,-'Part III-Sources of Funds'!$P$40)</f>
        <v>0</v>
      </c>
      <c r="N59" s="3780"/>
      <c r="O59" s="3781"/>
    </row>
    <row r="60" spans="1:19" ht="13.15" customHeight="1">
      <c r="A60" s="20" t="str">
        <f>$A28</f>
        <v>D/S Other Source,not DDF</v>
      </c>
      <c r="B60" s="3875">
        <f>IF('Part III-Sources of Funds'!$P$41="", 0,-'Part III-Sources of Funds'!$P$41)</f>
        <v>0</v>
      </c>
      <c r="C60" s="3875">
        <f>IF('Part III-Sources of Funds'!$P$41="", 0,-'Part III-Sources of Funds'!$P$41)</f>
        <v>0</v>
      </c>
      <c r="D60" s="3875">
        <f>IF('Part III-Sources of Funds'!$P$41="", 0,-'Part III-Sources of Funds'!$P$41)</f>
        <v>0</v>
      </c>
      <c r="E60" s="3875">
        <f>IF('Part III-Sources of Funds'!$P$41="", 0,-'Part III-Sources of Funds'!$P$41)</f>
        <v>0</v>
      </c>
      <c r="F60" s="3875">
        <f>IF('Part III-Sources of Funds'!$P$41="", 0,-'Part III-Sources of Funds'!$P$41)</f>
        <v>0</v>
      </c>
      <c r="G60" s="3875">
        <f>IF('Part III-Sources of Funds'!$P$41="", 0,-'Part III-Sources of Funds'!$P$41)</f>
        <v>0</v>
      </c>
      <c r="H60" s="3875">
        <f>IF('Part III-Sources of Funds'!$P$41="", 0,-'Part III-Sources of Funds'!$P$41)</f>
        <v>0</v>
      </c>
      <c r="I60" s="3875">
        <f>IF('Part III-Sources of Funds'!$P$41="", 0,-'Part III-Sources of Funds'!$P$41)</f>
        <v>0</v>
      </c>
      <c r="J60" s="3875">
        <f>IF('Part III-Sources of Funds'!$P$41="", 0,-'Part III-Sources of Funds'!$P$41)</f>
        <v>0</v>
      </c>
      <c r="K60" s="3875">
        <f>IF('Part III-Sources of Funds'!$P$41="", 0,-'Part III-Sources of Funds'!$P$41)</f>
        <v>0</v>
      </c>
      <c r="N60" s="3780"/>
      <c r="O60" s="3781"/>
    </row>
    <row r="61" spans="1:19" ht="13.15" customHeight="1">
      <c r="A61" s="20" t="s">
        <v>763</v>
      </c>
      <c r="B61" s="3876"/>
      <c r="C61" s="3876"/>
      <c r="D61" s="3876"/>
      <c r="E61" s="3876"/>
      <c r="F61" s="3876"/>
      <c r="G61" s="3876"/>
      <c r="H61" s="3876"/>
      <c r="I61" s="3876"/>
      <c r="J61" s="3876"/>
      <c r="K61" s="3876"/>
      <c r="N61" s="3780"/>
      <c r="O61" s="3781"/>
    </row>
    <row r="62" spans="1:19" ht="13.15" customHeight="1">
      <c r="A62" s="420" t="s">
        <v>1163</v>
      </c>
      <c r="B62" s="3875">
        <f>+K30</f>
        <v>-5000</v>
      </c>
      <c r="C62" s="3875">
        <f t="shared" ref="C62:K62" si="31">+B62</f>
        <v>-5000</v>
      </c>
      <c r="D62" s="3875">
        <f t="shared" si="31"/>
        <v>-5000</v>
      </c>
      <c r="E62" s="3875">
        <f t="shared" si="31"/>
        <v>-5000</v>
      </c>
      <c r="F62" s="3875">
        <f t="shared" si="31"/>
        <v>-5000</v>
      </c>
      <c r="G62" s="3875">
        <f t="shared" si="31"/>
        <v>-5000</v>
      </c>
      <c r="H62" s="3875">
        <f t="shared" si="31"/>
        <v>-5000</v>
      </c>
      <c r="I62" s="3875">
        <f t="shared" si="31"/>
        <v>-5000</v>
      </c>
      <c r="J62" s="3875">
        <f t="shared" si="31"/>
        <v>-5000</v>
      </c>
      <c r="K62" s="3875">
        <f t="shared" si="31"/>
        <v>-5000</v>
      </c>
      <c r="N62" s="3780"/>
      <c r="O62" s="3781"/>
      <c r="Q62" s="971"/>
      <c r="R62" s="1092"/>
    </row>
    <row r="63" spans="1:19" ht="13.15" customHeight="1">
      <c r="A63" s="420" t="s">
        <v>4080</v>
      </c>
      <c r="B63" s="3878">
        <f>-('Part III-Sources of Funds'!$I$43/15)</f>
        <v>-53713.73333333333</v>
      </c>
      <c r="C63" s="3878">
        <f>-('Part III-Sources of Funds'!$I$43/15)</f>
        <v>-53713.73333333333</v>
      </c>
      <c r="D63" s="3878">
        <f>-('Part III-Sources of Funds'!$I$43/15)</f>
        <v>-53713.73333333333</v>
      </c>
      <c r="E63" s="3878">
        <f>-('Part III-Sources of Funds'!$I$43/15)</f>
        <v>-53713.73333333333</v>
      </c>
      <c r="F63" s="3878">
        <f>-('Part III-Sources of Funds'!$I$43/15)</f>
        <v>-53713.73333333333</v>
      </c>
      <c r="G63" s="3878"/>
      <c r="H63" s="3878"/>
      <c r="I63" s="3878"/>
      <c r="J63" s="3878"/>
      <c r="K63" s="3878"/>
      <c r="N63" s="3780"/>
      <c r="O63" s="3781"/>
    </row>
    <row r="64" spans="1:19" ht="13.15" customHeight="1">
      <c r="A64" s="20" t="s">
        <v>1164</v>
      </c>
      <c r="B64" s="21">
        <f t="shared" ref="B64:K64" si="32">SUM(B56:B63)</f>
        <v>23234.703557021516</v>
      </c>
      <c r="C64" s="21">
        <f t="shared" si="32"/>
        <v>25114.362597510459</v>
      </c>
      <c r="D64" s="21">
        <f t="shared" si="32"/>
        <v>26901.09310897097</v>
      </c>
      <c r="E64" s="21">
        <f t="shared" si="32"/>
        <v>28589.450469526702</v>
      </c>
      <c r="F64" s="21">
        <f t="shared" si="32"/>
        <v>30173.763983325924</v>
      </c>
      <c r="G64" s="21">
        <f t="shared" si="32"/>
        <v>85360.862176947528</v>
      </c>
      <c r="H64" s="21">
        <f t="shared" si="32"/>
        <v>86718.131162941689</v>
      </c>
      <c r="I64" s="21">
        <f t="shared" si="32"/>
        <v>87950.906062010326</v>
      </c>
      <c r="J64" s="21">
        <f t="shared" si="32"/>
        <v>89052.528808415402</v>
      </c>
      <c r="K64" s="625">
        <f t="shared" si="32"/>
        <v>90016.072329584451</v>
      </c>
      <c r="N64" s="3780"/>
      <c r="O64" s="3781"/>
    </row>
    <row r="65" spans="1:15" ht="13.15" customHeight="1">
      <c r="A65" s="20" t="str">
        <f>$A33</f>
        <v>DCR Mortgage A</v>
      </c>
      <c r="B65" s="23">
        <f t="shared" ref="B65:K65" si="33">IF(B57=0,"",-B56/B57)</f>
        <v>1.3578106788185136</v>
      </c>
      <c r="C65" s="23">
        <f t="shared" si="33"/>
        <v>1.3660178161690963</v>
      </c>
      <c r="D65" s="23">
        <f t="shared" si="33"/>
        <v>1.373819200569226</v>
      </c>
      <c r="E65" s="23">
        <f t="shared" si="33"/>
        <v>1.3811910592183052</v>
      </c>
      <c r="F65" s="23">
        <f t="shared" si="33"/>
        <v>1.3881086322110925</v>
      </c>
      <c r="G65" s="23">
        <f t="shared" si="33"/>
        <v>1.394541771155676</v>
      </c>
      <c r="H65" s="23">
        <f t="shared" si="33"/>
        <v>1.4004680017910165</v>
      </c>
      <c r="I65" s="23">
        <f t="shared" si="33"/>
        <v>1.4058506550813574</v>
      </c>
      <c r="J65" s="23">
        <f t="shared" si="33"/>
        <v>1.4106606599777354</v>
      </c>
      <c r="K65" s="24">
        <f t="shared" si="33"/>
        <v>1.4148677708692092</v>
      </c>
      <c r="N65" s="3780"/>
      <c r="O65" s="3781"/>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780"/>
      <c r="O66" s="3781"/>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80"/>
      <c r="O67" s="3781"/>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80"/>
      <c r="O68" s="3781"/>
    </row>
    <row r="69" spans="1:15" ht="13.15" customHeight="1">
      <c r="A69" s="420" t="s">
        <v>3710</v>
      </c>
      <c r="B69" s="23">
        <f t="shared" ref="B69:K69" si="37">IF(AND(B57=0,B58=0,B59=0,B60=0),"",-B56/(B57+B58+B59+B60))</f>
        <v>1.3578106788185136</v>
      </c>
      <c r="C69" s="23">
        <f t="shared" si="37"/>
        <v>1.3660178161690963</v>
      </c>
      <c r="D69" s="23">
        <f t="shared" si="37"/>
        <v>1.373819200569226</v>
      </c>
      <c r="E69" s="23">
        <f t="shared" si="37"/>
        <v>1.3811910592183052</v>
      </c>
      <c r="F69" s="23">
        <f t="shared" si="37"/>
        <v>1.3881086322110925</v>
      </c>
      <c r="G69" s="23">
        <f t="shared" si="37"/>
        <v>1.394541771155676</v>
      </c>
      <c r="H69" s="23">
        <f t="shared" si="37"/>
        <v>1.4004680017910165</v>
      </c>
      <c r="I69" s="23">
        <f t="shared" si="37"/>
        <v>1.4058506550813574</v>
      </c>
      <c r="J69" s="23">
        <f t="shared" si="37"/>
        <v>1.4106606599777354</v>
      </c>
      <c r="K69" s="24">
        <f t="shared" si="37"/>
        <v>1.4148677708692092</v>
      </c>
      <c r="N69" s="3780"/>
      <c r="O69" s="3781"/>
    </row>
    <row r="70" spans="1:15" ht="13.15" customHeight="1">
      <c r="A70" s="20" t="s">
        <v>770</v>
      </c>
      <c r="B70" s="266">
        <f t="shared" ref="B70:K70" si="38">IF(OR(B53="Choose mgt fee",B53="Choose One!"),"",(B46+B47+B48+B49+B50) / -(B52+B53+B54))</f>
        <v>1.6571544479801448</v>
      </c>
      <c r="C70" s="266">
        <f t="shared" si="38"/>
        <v>1.6423874666747453</v>
      </c>
      <c r="D70" s="266">
        <f t="shared" si="38"/>
        <v>1.6277393321165479</v>
      </c>
      <c r="E70" s="266">
        <f t="shared" si="38"/>
        <v>1.613210375781037</v>
      </c>
      <c r="F70" s="266">
        <f t="shared" si="38"/>
        <v>1.5988007953506902</v>
      </c>
      <c r="G70" s="266">
        <f t="shared" si="38"/>
        <v>1.5845077657139452</v>
      </c>
      <c r="H70" s="266">
        <f t="shared" si="38"/>
        <v>1.5703343634210496</v>
      </c>
      <c r="I70" s="266">
        <f t="shared" si="38"/>
        <v>1.5562750574588315</v>
      </c>
      <c r="J70" s="266">
        <f t="shared" si="38"/>
        <v>1.5423301987244002</v>
      </c>
      <c r="K70" s="267">
        <f t="shared" si="38"/>
        <v>1.5285000083178799</v>
      </c>
      <c r="N70" s="3780"/>
      <c r="O70" s="3781"/>
    </row>
    <row r="71" spans="1:15" ht="13.15" customHeight="1">
      <c r="A71" s="420" t="s">
        <v>2618</v>
      </c>
      <c r="B71" s="3879">
        <f>IF('Part III-Sources of Funds'!$I$38="","",-FV('Part III-Sources of Funds'!$K$38/12,12,B57/12,K39))</f>
        <v>1970426.8723470203</v>
      </c>
      <c r="C71" s="3879">
        <f>IF('Part III-Sources of Funds'!$I$38="","",-FV('Part III-Sources of Funds'!$K$38/12,12,C57/12,B71))</f>
        <v>1760141.7086849029</v>
      </c>
      <c r="D71" s="3879">
        <f>IF('Part III-Sources of Funds'!$I$38="","",-FV('Part III-Sources of Funds'!$K$38/12,12,D57/12,C71))</f>
        <v>1547744.0284934815</v>
      </c>
      <c r="E71" s="3879">
        <f>IF('Part III-Sources of Funds'!$I$38="","",-FV('Part III-Sources of Funds'!$K$38/12,12,E57/12,D71))</f>
        <v>1333212.6095143291</v>
      </c>
      <c r="F71" s="3879">
        <f>IF('Part III-Sources of Funds'!$I$38="","",-FV('Part III-Sources of Funds'!$K$38/12,12,F57/12,E71))</f>
        <v>1116526.0162910409</v>
      </c>
      <c r="G71" s="3879">
        <f>IF('Part III-Sources of Funds'!$I$38="","",-FV('Part III-Sources of Funds'!$K$38/12,12,G57/12,F71))</f>
        <v>897662.59802745515</v>
      </c>
      <c r="H71" s="3879">
        <f>IF('Part III-Sources of Funds'!$I$38="","",-FV('Part III-Sources of Funds'!$K$38/12,12,H57/12,G71))</f>
        <v>676600.48642435879</v>
      </c>
      <c r="I71" s="3879">
        <f>IF('Part III-Sources of Funds'!$I$38="","",-FV('Part III-Sources of Funds'!$K$38/12,12,I57/12,H71))</f>
        <v>453317.59349446022</v>
      </c>
      <c r="J71" s="3879">
        <f>IF('Part III-Sources of Funds'!$I$38="","",-FV('Part III-Sources of Funds'!$K$38/12,12,J57/12,I71))</f>
        <v>227791.60935541132</v>
      </c>
      <c r="K71" s="3879">
        <f>IF('Part III-Sources of Funds'!$I$38="","",-FV('Part III-Sources of Funds'!$K$38/12,12,K57/12,J71))</f>
        <v>6.5864878706634045E-7</v>
      </c>
      <c r="N71" s="3780"/>
      <c r="O71" s="3781"/>
    </row>
    <row r="72" spans="1:15" ht="13.15" customHeight="1">
      <c r="A72" s="420" t="s">
        <v>2619</v>
      </c>
      <c r="B72" s="3875" t="str">
        <f>IF('Part III-Sources of Funds'!$I$39="","",-FV('Part III-Sources of Funds'!$K$39/12,12,B58/12,K40))</f>
        <v/>
      </c>
      <c r="C72" s="3875" t="str">
        <f>IF('Part III-Sources of Funds'!$I$39="","",-FV('Part III-Sources of Funds'!$K$39/12,12,C58/12,B72))</f>
        <v/>
      </c>
      <c r="D72" s="3875" t="str">
        <f>IF('Part III-Sources of Funds'!$I$39="","",-FV('Part III-Sources of Funds'!$K$39/12,12,D58/12,C72))</f>
        <v/>
      </c>
      <c r="E72" s="3875" t="str">
        <f>IF('Part III-Sources of Funds'!$I$39="","",-FV('Part III-Sources of Funds'!$K$39/12,12,E58/12,D72))</f>
        <v/>
      </c>
      <c r="F72" s="3875" t="str">
        <f>IF('Part III-Sources of Funds'!$I$39="","",-FV('Part III-Sources of Funds'!$K$39/12,12,F58/12,E72))</f>
        <v/>
      </c>
      <c r="G72" s="3875" t="str">
        <f>IF('Part III-Sources of Funds'!$I$39="","",-FV('Part III-Sources of Funds'!$K$39/12,12,G58/12,F72))</f>
        <v/>
      </c>
      <c r="H72" s="3875" t="str">
        <f>IF('Part III-Sources of Funds'!$I$39="","",-FV('Part III-Sources of Funds'!$K$39/12,12,H58/12,G72))</f>
        <v/>
      </c>
      <c r="I72" s="3875" t="str">
        <f>IF('Part III-Sources of Funds'!$I$39="","",-FV('Part III-Sources of Funds'!$K$39/12,12,I58/12,H72))</f>
        <v/>
      </c>
      <c r="J72" s="3875" t="str">
        <f>IF('Part III-Sources of Funds'!$I$39="","",-FV('Part III-Sources of Funds'!$K$39/12,12,J58/12,I72))</f>
        <v/>
      </c>
      <c r="K72" s="3875" t="str">
        <f>IF('Part III-Sources of Funds'!$I$39="","",-FV('Part III-Sources of Funds'!$K$39/12,12,K58/12,J72))</f>
        <v/>
      </c>
      <c r="N72" s="3780"/>
      <c r="O72" s="3781"/>
    </row>
    <row r="73" spans="1:15" ht="13.15" customHeight="1">
      <c r="A73" s="420" t="s">
        <v>2620</v>
      </c>
      <c r="B73" s="3875" t="str">
        <f>IF('Part III-Sources of Funds'!$I$40="","",-FV('Part III-Sources of Funds'!$K$40/12,12,B59/12,K41))</f>
        <v/>
      </c>
      <c r="C73" s="3875" t="str">
        <f>IF('Part III-Sources of Funds'!$I$40="","",-FV('Part III-Sources of Funds'!$K$40/12,12,C59/12,B73))</f>
        <v/>
      </c>
      <c r="D73" s="3875" t="str">
        <f>IF('Part III-Sources of Funds'!$I$40="","",-FV('Part III-Sources of Funds'!$K$40/12,12,D59/12,C73))</f>
        <v/>
      </c>
      <c r="E73" s="3875" t="str">
        <f>IF('Part III-Sources of Funds'!$I$40="","",-FV('Part III-Sources of Funds'!$K$40/12,12,E59/12,D73))</f>
        <v/>
      </c>
      <c r="F73" s="3875" t="str">
        <f>IF('Part III-Sources of Funds'!$I$40="","",-FV('Part III-Sources of Funds'!$K$40/12,12,F59/12,E73))</f>
        <v/>
      </c>
      <c r="G73" s="3875" t="str">
        <f>IF('Part III-Sources of Funds'!$I$40="","",-FV('Part III-Sources of Funds'!$K$40/12,12,G59/12,F73))</f>
        <v/>
      </c>
      <c r="H73" s="3875" t="str">
        <f>IF('Part III-Sources of Funds'!$I$40="","",-FV('Part III-Sources of Funds'!$K$40/12,12,H59/12,G73))</f>
        <v/>
      </c>
      <c r="I73" s="3875" t="str">
        <f>IF('Part III-Sources of Funds'!$I$40="","",-FV('Part III-Sources of Funds'!$K$40/12,12,I59/12,H73))</f>
        <v/>
      </c>
      <c r="J73" s="3875" t="str">
        <f>IF('Part III-Sources of Funds'!$I$40="","",-FV('Part III-Sources of Funds'!$K$40/12,12,J59/12,I73))</f>
        <v/>
      </c>
      <c r="K73" s="3875" t="str">
        <f>IF('Part III-Sources of Funds'!$I$40="","",-FV('Part III-Sources of Funds'!$K$40/12,12,K59/12,J73))</f>
        <v/>
      </c>
      <c r="N73" s="3780"/>
      <c r="O73" s="3781"/>
    </row>
    <row r="74" spans="1:15" ht="13.15" customHeight="1">
      <c r="A74" s="20" t="s">
        <v>784</v>
      </c>
      <c r="B74" s="3875" t="str">
        <f>IF('Part III-Sources of Funds'!$I$41="","",-FV('Part III-Sources of Funds'!$K$41/12,12,B60/12,K42))</f>
        <v/>
      </c>
      <c r="C74" s="3875" t="str">
        <f>IF('Part III-Sources of Funds'!$I$41="","",-FV('Part III-Sources of Funds'!$K$41/12,12,C60/12,B74))</f>
        <v/>
      </c>
      <c r="D74" s="3875" t="str">
        <f>IF('Part III-Sources of Funds'!$I$41="","",-FV('Part III-Sources of Funds'!$K$41/12,12,D60/12,C74))</f>
        <v/>
      </c>
      <c r="E74" s="3875" t="str">
        <f>IF('Part III-Sources of Funds'!$I$41="","",-FV('Part III-Sources of Funds'!$K$41/12,12,E60/12,D74))</f>
        <v/>
      </c>
      <c r="F74" s="3875" t="str">
        <f>IF('Part III-Sources of Funds'!$I$41="","",-FV('Part III-Sources of Funds'!$K$41/12,12,F60/12,E74))</f>
        <v/>
      </c>
      <c r="G74" s="3875" t="str">
        <f>IF('Part III-Sources of Funds'!$I$41="","",-FV('Part III-Sources of Funds'!$K$41/12,12,G60/12,F74))</f>
        <v/>
      </c>
      <c r="H74" s="3875" t="str">
        <f>IF('Part III-Sources of Funds'!$I$41="","",-FV('Part III-Sources of Funds'!$K$41/12,12,H60/12,G74))</f>
        <v/>
      </c>
      <c r="I74" s="3875" t="str">
        <f>IF('Part III-Sources of Funds'!$I$41="","",-FV('Part III-Sources of Funds'!$K$41/12,12,I60/12,H74))</f>
        <v/>
      </c>
      <c r="J74" s="3875" t="str">
        <f>IF('Part III-Sources of Funds'!$I$41="","",-FV('Part III-Sources of Funds'!$K$41/12,12,J60/12,I74))</f>
        <v/>
      </c>
      <c r="K74" s="3875" t="str">
        <f>IF('Part III-Sources of Funds'!$I$41="","",-FV('Part III-Sources of Funds'!$K$41/12,12,K60/12,J74))</f>
        <v/>
      </c>
      <c r="N74" s="3780"/>
      <c r="O74" s="3781"/>
    </row>
    <row r="75" spans="1:15" ht="13.15" customHeight="1">
      <c r="A75" s="420" t="s">
        <v>4081</v>
      </c>
      <c r="B75" s="3878">
        <f>IF('Part III-Sources of Funds'!$I$43="","",IF(-FV('Part III-Sources of Funds'!$K$43/12,12,B63/12,K43)&gt;0,-FV('Part III-Sources of Funds'!$K$43/12,12,B63/12,K43),0))</f>
        <v>214854.93333333358</v>
      </c>
      <c r="C75" s="3878">
        <f>IF('Part III-Sources of Funds'!$I$43="","",IF(-FV('Part III-Sources of Funds'!$K$43/12,12,C63/12,B75)&gt;0,-FV('Part III-Sources of Funds'!$K$43/12,12,C63/12,B75),0))</f>
        <v>161141.20000000024</v>
      </c>
      <c r="D75" s="3878">
        <f>IF('Part III-Sources of Funds'!$I$43="","",IF(-FV('Part III-Sources of Funds'!$K$43/12,12,D63/12,C75)&gt;0,-FV('Part III-Sources of Funds'!$K$43/12,12,D63/12,C75),0))</f>
        <v>107427.46666666691</v>
      </c>
      <c r="E75" s="3878">
        <f>IF('Part III-Sources of Funds'!$I$43="","",IF(-FV('Part III-Sources of Funds'!$K$43/12,12,E63/12,D75)&gt;0,-FV('Part III-Sources of Funds'!$K$43/12,12,E63/12,D75),0))</f>
        <v>53713.733333333577</v>
      </c>
      <c r="F75" s="3878">
        <f>IF('Part III-Sources of Funds'!$I$43="","",IF(-FV('Part III-Sources of Funds'!$K$43/12,12,F63/12,E75)&gt;0,-FV('Part III-Sources of Funds'!$K$43/12,12,F63/12,E75),0))</f>
        <v>2.4738255888223648E-10</v>
      </c>
      <c r="G75" s="3878">
        <f>IF('Part III-Sources of Funds'!$I$43="","",IF(-FV('Part III-Sources of Funds'!$K$43/12,12,G63/12,F75)&gt;0,-FV('Part III-Sources of Funds'!$K$43/12,12,G63/12,F75),0))</f>
        <v>2.4738255888223648E-10</v>
      </c>
      <c r="H75" s="3878" t="str">
        <f>IF('Part III-Sources of Funds'!$I$41="","",-FV('Part III-Sources of Funds'!$K$41/12,12,H61/12,G75))</f>
        <v/>
      </c>
      <c r="I75" s="3878" t="str">
        <f>IF('Part III-Sources of Funds'!$I$41="","",-FV('Part III-Sources of Funds'!$K$41/12,12,I61/12,H75))</f>
        <v/>
      </c>
      <c r="J75" s="3878" t="str">
        <f>IF('Part III-Sources of Funds'!$I$41="","",-FV('Part III-Sources of Funds'!$K$41/12,12,J61/12,I75))</f>
        <v/>
      </c>
      <c r="K75" s="3878" t="str">
        <f>IF('Part III-Sources of Funds'!$I$41="","",-FV('Part III-Sources of Funds'!$K$41/12,12,K61/12,J75))</f>
        <v/>
      </c>
      <c r="N75" s="3811"/>
      <c r="O75" s="3812"/>
    </row>
    <row r="76" spans="1:15" ht="4.1500000000000004" customHeight="1">
      <c r="B76" s="16"/>
      <c r="C76" s="16"/>
      <c r="D76" s="16"/>
      <c r="E76" s="16"/>
      <c r="F76" s="16"/>
      <c r="G76" s="16"/>
      <c r="H76" s="16"/>
      <c r="I76" s="16"/>
      <c r="J76" s="16"/>
      <c r="K76" s="16"/>
    </row>
    <row r="77" spans="1:15" ht="14.65"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29" t="s">
        <v>2624</v>
      </c>
      <c r="O77" s="2429"/>
    </row>
    <row r="78" spans="1:15" ht="13.15" customHeight="1">
      <c r="A78" s="17" t="s">
        <v>2405</v>
      </c>
      <c r="B78" s="18">
        <f t="shared" ref="B78:K78" si="40">$B$14*(1+$B$5)^(B77-1)</f>
        <v>1007721.9736358485</v>
      </c>
      <c r="C78" s="18">
        <f t="shared" si="40"/>
        <v>1027876.4131085654</v>
      </c>
      <c r="D78" s="18">
        <f t="shared" si="40"/>
        <v>1048433.9413707368</v>
      </c>
      <c r="E78" s="18">
        <f t="shared" si="40"/>
        <v>1069402.6201981513</v>
      </c>
      <c r="F78" s="18">
        <f t="shared" si="40"/>
        <v>1090790.6726021145</v>
      </c>
      <c r="G78" s="18">
        <f t="shared" si="40"/>
        <v>1112606.4860541567</v>
      </c>
      <c r="H78" s="18">
        <f t="shared" si="40"/>
        <v>1134858.6157752399</v>
      </c>
      <c r="I78" s="18">
        <f t="shared" si="40"/>
        <v>1157555.7880907445</v>
      </c>
      <c r="J78" s="18">
        <f t="shared" si="40"/>
        <v>1180706.9038525596</v>
      </c>
      <c r="K78" s="19">
        <f t="shared" si="40"/>
        <v>1204321.0419296108</v>
      </c>
      <c r="N78" s="3766"/>
      <c r="O78" s="3767"/>
    </row>
    <row r="79" spans="1:15" ht="13.15" customHeight="1">
      <c r="A79" s="20" t="s">
        <v>1016</v>
      </c>
      <c r="B79" s="21">
        <f t="shared" ref="B79:K79" si="41">$B$15*(1+$B$5)^(B77-1)</f>
        <v>20154.439472716971</v>
      </c>
      <c r="C79" s="21">
        <f t="shared" si="41"/>
        <v>20557.528262171309</v>
      </c>
      <c r="D79" s="21">
        <f t="shared" si="41"/>
        <v>20968.678827414737</v>
      </c>
      <c r="E79" s="21">
        <f t="shared" si="41"/>
        <v>21388.052403963029</v>
      </c>
      <c r="F79" s="21">
        <f t="shared" si="41"/>
        <v>21815.81345204229</v>
      </c>
      <c r="G79" s="21">
        <f t="shared" si="41"/>
        <v>22252.129721083136</v>
      </c>
      <c r="H79" s="21">
        <f t="shared" si="41"/>
        <v>22697.172315504802</v>
      </c>
      <c r="I79" s="21">
        <f t="shared" si="41"/>
        <v>23151.115761814894</v>
      </c>
      <c r="J79" s="21">
        <f t="shared" si="41"/>
        <v>23614.138077051193</v>
      </c>
      <c r="K79" s="22">
        <f t="shared" si="41"/>
        <v>24086.420838592214</v>
      </c>
      <c r="N79" s="3780"/>
      <c r="O79" s="3781"/>
    </row>
    <row r="80" spans="1:15" ht="13.15" customHeight="1">
      <c r="A80" s="20" t="s">
        <v>2406</v>
      </c>
      <c r="B80" s="21">
        <f t="shared" ref="B80:K80" si="42">-(B78+B79)*$B$8</f>
        <v>-71951.348917599593</v>
      </c>
      <c r="C80" s="21">
        <f t="shared" si="42"/>
        <v>-73390.375895951569</v>
      </c>
      <c r="D80" s="21">
        <f t="shared" si="42"/>
        <v>-74858.183413870618</v>
      </c>
      <c r="E80" s="21">
        <f t="shared" si="42"/>
        <v>-76355.347082148</v>
      </c>
      <c r="F80" s="21">
        <f t="shared" si="42"/>
        <v>-77882.454023790997</v>
      </c>
      <c r="G80" s="21">
        <f t="shared" si="42"/>
        <v>-79440.103104266804</v>
      </c>
      <c r="H80" s="21">
        <f t="shared" si="42"/>
        <v>-81028.905166352139</v>
      </c>
      <c r="I80" s="21">
        <f t="shared" si="42"/>
        <v>-82649.483269679171</v>
      </c>
      <c r="J80" s="21">
        <f t="shared" si="42"/>
        <v>-84302.472935072758</v>
      </c>
      <c r="K80" s="22">
        <f t="shared" si="42"/>
        <v>-85988.522393774212</v>
      </c>
      <c r="N80" s="3780"/>
      <c r="O80" s="3781"/>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80"/>
      <c r="O81" s="3781"/>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80"/>
      <c r="O82" s="3781"/>
    </row>
    <row r="83" spans="1:19" ht="13.15" customHeight="1">
      <c r="A83" s="420" t="s">
        <v>4935</v>
      </c>
      <c r="B83" s="21">
        <f t="shared" ref="B83:K83" si="43">SUM(B78:B82)</f>
        <v>955925.06419096584</v>
      </c>
      <c r="C83" s="21">
        <f t="shared" si="43"/>
        <v>975043.56547478517</v>
      </c>
      <c r="D83" s="21">
        <f t="shared" si="43"/>
        <v>994544.43678428093</v>
      </c>
      <c r="E83" s="21">
        <f t="shared" si="43"/>
        <v>1014435.3255199663</v>
      </c>
      <c r="F83" s="21">
        <f t="shared" si="43"/>
        <v>1034724.0320303659</v>
      </c>
      <c r="G83" s="21">
        <f t="shared" si="43"/>
        <v>1055418.5126709731</v>
      </c>
      <c r="H83" s="21">
        <f t="shared" si="43"/>
        <v>1076526.8829243926</v>
      </c>
      <c r="I83" s="21">
        <f t="shared" si="43"/>
        <v>1098057.4205828803</v>
      </c>
      <c r="J83" s="21">
        <f t="shared" si="43"/>
        <v>1120018.5689945379</v>
      </c>
      <c r="K83" s="22">
        <f t="shared" si="43"/>
        <v>1142418.9403744286</v>
      </c>
      <c r="N83" s="3780"/>
      <c r="O83" s="3781"/>
    </row>
    <row r="84" spans="1:19" ht="13.15" customHeight="1">
      <c r="A84" s="20" t="s">
        <v>614</v>
      </c>
      <c r="B84" s="21">
        <f t="shared" ref="B84:K84" si="44">$B$20*(1+$B$6)^(B77-1)</f>
        <v>-545339.03230731736</v>
      </c>
      <c r="C84" s="21">
        <f t="shared" si="44"/>
        <v>-561699.20327653678</v>
      </c>
      <c r="D84" s="21">
        <f t="shared" si="44"/>
        <v>-578550.17937483289</v>
      </c>
      <c r="E84" s="21">
        <f t="shared" si="44"/>
        <v>-595906.68475607794</v>
      </c>
      <c r="F84" s="21">
        <f t="shared" si="44"/>
        <v>-613783.88529876014</v>
      </c>
      <c r="G84" s="21">
        <f t="shared" si="44"/>
        <v>-632197.40185772302</v>
      </c>
      <c r="H84" s="21">
        <f t="shared" si="44"/>
        <v>-651163.32391345478</v>
      </c>
      <c r="I84" s="21">
        <f t="shared" si="44"/>
        <v>-670698.22363085835</v>
      </c>
      <c r="J84" s="21">
        <f t="shared" si="44"/>
        <v>-690819.17033978412</v>
      </c>
      <c r="K84" s="22">
        <f t="shared" si="44"/>
        <v>-711543.74544997758</v>
      </c>
      <c r="N84" s="3780"/>
      <c r="O84" s="3781"/>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-47796</v>
      </c>
      <c r="C85" s="21">
        <f>IF(AND('Part VII-Pro Forma'!$G$8="Yes",'Part VII-Pro Forma'!$G$9="Yes"),"Choose One!",IF('Part VII-Pro Forma'!$G$8="Yes",ROUND((-$K$8*(1+'Part VII-Pro Forma'!$B$6)^('Part VII-Pro Forma'!C77-1)),),IF('Part VII-Pro Forma'!$G$9="Yes",ROUND((-(SUM(C78:C81)*'Part VII-Pro Forma'!$K$9)),),"Choose mgt fee")))</f>
        <v>-48752</v>
      </c>
      <c r="D85" s="21">
        <f>IF(AND('Part VII-Pro Forma'!$G$8="Yes",'Part VII-Pro Forma'!$G$9="Yes"),"Choose One!",IF('Part VII-Pro Forma'!$G$8="Yes",ROUND((-$K$8*(1+'Part VII-Pro Forma'!$B$6)^('Part VII-Pro Forma'!D77-1)),),IF('Part VII-Pro Forma'!$G$9="Yes",ROUND((-(SUM(D78:D81)*'Part VII-Pro Forma'!$K$9)),),"Choose mgt fee")))</f>
        <v>-49727</v>
      </c>
      <c r="E85" s="21">
        <f>IF(AND('Part VII-Pro Forma'!$G$8="Yes",'Part VII-Pro Forma'!$G$9="Yes"),"Choose One!",IF('Part VII-Pro Forma'!$G$8="Yes",ROUND((-$K$8*(1+'Part VII-Pro Forma'!$B$6)^('Part VII-Pro Forma'!E77-1)),),IF('Part VII-Pro Forma'!$G$9="Yes",ROUND((-(SUM(E78:E81)*'Part VII-Pro Forma'!$K$9)),),"Choose mgt fee")))</f>
        <v>-50722</v>
      </c>
      <c r="F85" s="21">
        <f>IF(AND('Part VII-Pro Forma'!$G$8="Yes",'Part VII-Pro Forma'!$G$9="Yes"),"Choose One!",IF('Part VII-Pro Forma'!$G$8="Yes",ROUND((-$K$8*(1+'Part VII-Pro Forma'!$B$6)^('Part VII-Pro Forma'!F77-1)),),IF('Part VII-Pro Forma'!$G$9="Yes",ROUND((-(SUM(F78:F81)*'Part VII-Pro Forma'!$K$9)),),"Choose mgt fee")))</f>
        <v>-51736</v>
      </c>
      <c r="G85" s="21">
        <f>IF(AND('Part VII-Pro Forma'!$G$8="Yes",'Part VII-Pro Forma'!$G$9="Yes"),"Choose One!",IF('Part VII-Pro Forma'!$G$8="Yes",ROUND((-$K$8*(1+'Part VII-Pro Forma'!$B$6)^('Part VII-Pro Forma'!G77-1)),),IF('Part VII-Pro Forma'!$G$9="Yes",ROUND((-(SUM(G78:G81)*'Part VII-Pro Forma'!$K$9)),),"Choose mgt fee")))</f>
        <v>-52771</v>
      </c>
      <c r="H85" s="21">
        <f>IF(AND('Part VII-Pro Forma'!$G$8="Yes",'Part VII-Pro Forma'!$G$9="Yes"),"Choose One!",IF('Part VII-Pro Forma'!$G$8="Yes",ROUND((-$K$8*(1+'Part VII-Pro Forma'!$B$6)^('Part VII-Pro Forma'!H77-1)),),IF('Part VII-Pro Forma'!$G$9="Yes",ROUND((-(SUM(H78:H81)*'Part VII-Pro Forma'!$K$9)),),"Choose mgt fee")))</f>
        <v>-53826</v>
      </c>
      <c r="I85" s="21">
        <f>IF(AND('Part VII-Pro Forma'!$G$8="Yes",'Part VII-Pro Forma'!$G$9="Yes"),"Choose One!",IF('Part VII-Pro Forma'!$G$8="Yes",ROUND((-$K$8*(1+'Part VII-Pro Forma'!$B$6)^('Part VII-Pro Forma'!I77-1)),),IF('Part VII-Pro Forma'!$G$9="Yes",ROUND((-(SUM(I78:I81)*'Part VII-Pro Forma'!$K$9)),),"Choose mgt fee")))</f>
        <v>-54903</v>
      </c>
      <c r="J85" s="21">
        <f>IF(AND('Part VII-Pro Forma'!$G$8="Yes",'Part VII-Pro Forma'!$G$9="Yes"),"Choose One!",IF('Part VII-Pro Forma'!$G$8="Yes",ROUND((-$K$8*(1+'Part VII-Pro Forma'!$B$6)^('Part VII-Pro Forma'!J77-1)),),IF('Part VII-Pro Forma'!$G$9="Yes",ROUND((-(SUM(J78:J81)*'Part VII-Pro Forma'!$K$9)),),"Choose mgt fee")))</f>
        <v>-56001</v>
      </c>
      <c r="K85" s="22">
        <f>IF(AND('Part VII-Pro Forma'!$G$8="Yes",'Part VII-Pro Forma'!$G$9="Yes"),"Choose One!",IF('Part VII-Pro Forma'!$G$8="Yes",ROUND((-$K$8*(1+'Part VII-Pro Forma'!$B$6)^('Part VII-Pro Forma'!K77-1)),),IF('Part VII-Pro Forma'!$G$9="Yes",ROUND((-(SUM(K78:K81)*'Part VII-Pro Forma'!$K$9)),),"Choose mgt fee")))</f>
        <v>-57121</v>
      </c>
      <c r="N85" s="3780"/>
      <c r="O85" s="3781"/>
    </row>
    <row r="86" spans="1:19" ht="13.15" customHeight="1">
      <c r="A86" s="20" t="s">
        <v>1202</v>
      </c>
      <c r="B86" s="21">
        <f t="shared" ref="B86:K86" si="45">$B$22*(1+$B$7)^(B77-1)</f>
        <v>-37928.335928057677</v>
      </c>
      <c r="C86" s="21">
        <f t="shared" si="45"/>
        <v>-39066.186005899406</v>
      </c>
      <c r="D86" s="21">
        <f t="shared" si="45"/>
        <v>-40238.171586076387</v>
      </c>
      <c r="E86" s="21">
        <f t="shared" si="45"/>
        <v>-41445.316733658685</v>
      </c>
      <c r="F86" s="21">
        <f t="shared" si="45"/>
        <v>-42688.676235668441</v>
      </c>
      <c r="G86" s="21">
        <f t="shared" si="45"/>
        <v>-43969.336522738493</v>
      </c>
      <c r="H86" s="21">
        <f t="shared" si="45"/>
        <v>-45288.416618420655</v>
      </c>
      <c r="I86" s="21">
        <f t="shared" si="45"/>
        <v>-46647.069116973267</v>
      </c>
      <c r="J86" s="21">
        <f t="shared" si="45"/>
        <v>-48046.481190482467</v>
      </c>
      <c r="K86" s="22">
        <f t="shared" si="45"/>
        <v>-49487.875626196932</v>
      </c>
      <c r="N86" s="3780"/>
      <c r="O86" s="3781"/>
    </row>
    <row r="87" spans="1:19" ht="13.15" customHeight="1">
      <c r="A87" s="420" t="s">
        <v>4934</v>
      </c>
      <c r="B87" s="3873">
        <f>IF(B77&lt;=+'Part VI-Revenues &amp; Expenses'!$K$243,-'Part VI-Revenues &amp; Expenses'!$H$243,0)</f>
        <v>0</v>
      </c>
      <c r="C87" s="3873">
        <f>IF(C77&lt;=+'Part VI-Revenues &amp; Expenses'!$K$243,-'Part VI-Revenues &amp; Expenses'!$H$243,0)</f>
        <v>0</v>
      </c>
      <c r="D87" s="3873">
        <f>IF(D77&lt;=+'Part VI-Revenues &amp; Expenses'!$K$243,-'Part VI-Revenues &amp; Expenses'!$H$243,0)</f>
        <v>0</v>
      </c>
      <c r="E87" s="3873">
        <f>IF(E77&lt;=+'Part VI-Revenues &amp; Expenses'!$K$243,-'Part VI-Revenues &amp; Expenses'!$H$243,0)</f>
        <v>0</v>
      </c>
      <c r="F87" s="3873">
        <f>IF(F77&lt;=+'Part VI-Revenues &amp; Expenses'!$K$243,-'Part VI-Revenues &amp; Expenses'!$H$243,0)</f>
        <v>0</v>
      </c>
      <c r="G87" s="3873">
        <f>IF(G77&lt;=+'Part VI-Revenues &amp; Expenses'!$K$243,-'Part VI-Revenues &amp; Expenses'!$H$243,0)</f>
        <v>0</v>
      </c>
      <c r="H87" s="3873">
        <f>IF(H77&lt;=+'Part VI-Revenues &amp; Expenses'!$K$243,-'Part VI-Revenues &amp; Expenses'!$H$243,0)</f>
        <v>0</v>
      </c>
      <c r="I87" s="3873">
        <f>IF(I77&lt;=+'Part VI-Revenues &amp; Expenses'!$K$243,-'Part VI-Revenues &amp; Expenses'!$H$243,0)</f>
        <v>0</v>
      </c>
      <c r="J87" s="3873">
        <f>IF(J77&lt;=+'Part VI-Revenues &amp; Expenses'!$K$243,-'Part VI-Revenues &amp; Expenses'!$H$243,0)</f>
        <v>0</v>
      </c>
      <c r="K87" s="3873">
        <f>IF(K77&lt;=+'Part VI-Revenues &amp; Expenses'!$K$243,-'Part VI-Revenues &amp; Expenses'!$H$243,0)</f>
        <v>0</v>
      </c>
      <c r="N87" s="3780"/>
      <c r="O87" s="3781"/>
      <c r="Q87" s="971">
        <v>10</v>
      </c>
      <c r="R87" s="1092">
        <f>-SUM(B92:K92)</f>
        <v>0</v>
      </c>
      <c r="S87" s="1092">
        <f>SUM(B93:K93)+R87</f>
        <v>0</v>
      </c>
    </row>
    <row r="88" spans="1:19" ht="13.15" customHeight="1">
      <c r="A88" s="20" t="s">
        <v>1203</v>
      </c>
      <c r="B88" s="21">
        <f>SUM(B83:B87)</f>
        <v>324861.69595559081</v>
      </c>
      <c r="C88" s="21">
        <f t="shared" ref="C88" si="46">SUM(C83:C87)</f>
        <v>325526.176192349</v>
      </c>
      <c r="D88" s="21">
        <f t="shared" ref="D88" si="47">SUM(D83:D87)</f>
        <v>326029.08582337166</v>
      </c>
      <c r="E88" s="21">
        <f t="shared" ref="E88" si="48">SUM(E83:E87)</f>
        <v>326361.32403022971</v>
      </c>
      <c r="F88" s="21">
        <f t="shared" ref="F88" si="49">SUM(F83:F87)</f>
        <v>326515.47049593733</v>
      </c>
      <c r="G88" s="21">
        <f t="shared" ref="G88" si="50">SUM(G83:G87)</f>
        <v>326480.77429051156</v>
      </c>
      <c r="H88" s="21">
        <f t="shared" ref="H88" si="51">SUM(H83:H87)</f>
        <v>326249.14239251718</v>
      </c>
      <c r="I88" s="21">
        <f t="shared" ref="I88" si="52">SUM(I83:I87)</f>
        <v>325809.12783504865</v>
      </c>
      <c r="J88" s="21">
        <f t="shared" ref="J88" si="53">SUM(J83:J87)</f>
        <v>325151.91746427136</v>
      </c>
      <c r="K88" s="2155">
        <f>SUM(K83:K87)</f>
        <v>324266.31929825415</v>
      </c>
      <c r="N88" s="3780"/>
      <c r="O88" s="3781"/>
    </row>
    <row r="89" spans="1:19" ht="13.15" customHeight="1">
      <c r="A89" s="20" t="str">
        <f>$A57</f>
        <v>Mortgage A</v>
      </c>
      <c r="B89" s="3874">
        <v>0</v>
      </c>
      <c r="C89" s="3874">
        <v>0</v>
      </c>
      <c r="D89" s="3874">
        <v>0</v>
      </c>
      <c r="E89" s="3874">
        <v>0</v>
      </c>
      <c r="F89" s="3874">
        <v>0</v>
      </c>
      <c r="G89" s="3874">
        <v>0</v>
      </c>
      <c r="H89" s="3874">
        <v>0</v>
      </c>
      <c r="I89" s="3874">
        <v>0</v>
      </c>
      <c r="J89" s="3874">
        <v>0</v>
      </c>
      <c r="K89" s="3874">
        <v>0</v>
      </c>
      <c r="N89" s="3780"/>
      <c r="O89" s="3781"/>
    </row>
    <row r="90" spans="1:19" ht="13.15" customHeight="1">
      <c r="A90" s="20" t="str">
        <f>$A58</f>
        <v>Mortgage B</v>
      </c>
      <c r="B90" s="3875">
        <f>IF('Part III-Sources of Funds'!$P$39="", 0,-'Part III-Sources of Funds'!$P$39)</f>
        <v>0</v>
      </c>
      <c r="C90" s="3875">
        <f>IF('Part III-Sources of Funds'!$P$39="", 0,-'Part III-Sources of Funds'!$P$39)</f>
        <v>0</v>
      </c>
      <c r="D90" s="3875">
        <f>IF('Part III-Sources of Funds'!$P$39="", 0,-'Part III-Sources of Funds'!$P$39)</f>
        <v>0</v>
      </c>
      <c r="E90" s="3875">
        <f>IF('Part III-Sources of Funds'!$P$39="", 0,-'Part III-Sources of Funds'!$P$39)</f>
        <v>0</v>
      </c>
      <c r="F90" s="3875">
        <f>IF('Part III-Sources of Funds'!$P$39="", 0,-'Part III-Sources of Funds'!$P$39)</f>
        <v>0</v>
      </c>
      <c r="G90" s="3875">
        <f>IF('Part III-Sources of Funds'!$P$39="", 0,-'Part III-Sources of Funds'!$P$39)</f>
        <v>0</v>
      </c>
      <c r="H90" s="3875">
        <f>IF('Part III-Sources of Funds'!$P$39="", 0,-'Part III-Sources of Funds'!$P$39)</f>
        <v>0</v>
      </c>
      <c r="I90" s="3875">
        <f>IF('Part III-Sources of Funds'!$P$39="", 0,-'Part III-Sources of Funds'!$P$39)</f>
        <v>0</v>
      </c>
      <c r="J90" s="3875">
        <f>IF('Part III-Sources of Funds'!$P$39="", 0,-'Part III-Sources of Funds'!$P$39)</f>
        <v>0</v>
      </c>
      <c r="K90" s="3875">
        <f>IF('Part III-Sources of Funds'!$P$39="", 0,-'Part III-Sources of Funds'!$P$39)</f>
        <v>0</v>
      </c>
      <c r="N90" s="3780"/>
      <c r="O90" s="3781"/>
    </row>
    <row r="91" spans="1:19" ht="13.15" customHeight="1">
      <c r="A91" s="20" t="str">
        <f>$A59</f>
        <v>Mortgage C</v>
      </c>
      <c r="B91" s="3875">
        <f>IF('Part III-Sources of Funds'!$P$40="", 0,-'Part III-Sources of Funds'!$P$40)</f>
        <v>0</v>
      </c>
      <c r="C91" s="3875">
        <f>IF('Part III-Sources of Funds'!$P$40="", 0,-'Part III-Sources of Funds'!$P$40)</f>
        <v>0</v>
      </c>
      <c r="D91" s="3875">
        <f>IF('Part III-Sources of Funds'!$P$40="", 0,-'Part III-Sources of Funds'!$P$40)</f>
        <v>0</v>
      </c>
      <c r="E91" s="3875">
        <f>IF('Part III-Sources of Funds'!$P$40="", 0,-'Part III-Sources of Funds'!$P$40)</f>
        <v>0</v>
      </c>
      <c r="F91" s="3875">
        <f>IF('Part III-Sources of Funds'!$P$40="", 0,-'Part III-Sources of Funds'!$P$40)</f>
        <v>0</v>
      </c>
      <c r="G91" s="3875">
        <f>IF('Part III-Sources of Funds'!$P$40="", 0,-'Part III-Sources of Funds'!$P$40)</f>
        <v>0</v>
      </c>
      <c r="H91" s="3875">
        <f>IF('Part III-Sources of Funds'!$P$40="", 0,-'Part III-Sources of Funds'!$P$40)</f>
        <v>0</v>
      </c>
      <c r="I91" s="3875">
        <f>IF('Part III-Sources of Funds'!$P$40="", 0,-'Part III-Sources of Funds'!$P$40)</f>
        <v>0</v>
      </c>
      <c r="J91" s="3875">
        <f>IF('Part III-Sources of Funds'!$P$40="", 0,-'Part III-Sources of Funds'!$P$40)</f>
        <v>0</v>
      </c>
      <c r="K91" s="3875">
        <f>IF('Part III-Sources of Funds'!$P$40="", 0,-'Part III-Sources of Funds'!$P$40)</f>
        <v>0</v>
      </c>
      <c r="N91" s="3780"/>
      <c r="O91" s="3781"/>
    </row>
    <row r="92" spans="1:19" ht="13.15" customHeight="1">
      <c r="A92" s="20" t="str">
        <f>$A60</f>
        <v>D/S Other Source,not DDF</v>
      </c>
      <c r="B92" s="3875">
        <f>IF('Part III-Sources of Funds'!$P$41="", 0,-'Part III-Sources of Funds'!$P$41)</f>
        <v>0</v>
      </c>
      <c r="C92" s="3875">
        <f>IF('Part III-Sources of Funds'!$P$41="", 0,-'Part III-Sources of Funds'!$P$41)</f>
        <v>0</v>
      </c>
      <c r="D92" s="3875">
        <f>IF('Part III-Sources of Funds'!$P$41="", 0,-'Part III-Sources of Funds'!$P$41)</f>
        <v>0</v>
      </c>
      <c r="E92" s="3875">
        <f>IF('Part III-Sources of Funds'!$P$41="", 0,-'Part III-Sources of Funds'!$P$41)</f>
        <v>0</v>
      </c>
      <c r="F92" s="3875">
        <f>IF('Part III-Sources of Funds'!$P$41="", 0,-'Part III-Sources of Funds'!$P$41)</f>
        <v>0</v>
      </c>
      <c r="G92" s="3875">
        <f>IF('Part III-Sources of Funds'!$P$41="", 0,-'Part III-Sources of Funds'!$P$41)</f>
        <v>0</v>
      </c>
      <c r="H92" s="3875">
        <f>IF('Part III-Sources of Funds'!$P$41="", 0,-'Part III-Sources of Funds'!$P$41)</f>
        <v>0</v>
      </c>
      <c r="I92" s="3875">
        <f>IF('Part III-Sources of Funds'!$P$41="", 0,-'Part III-Sources of Funds'!$P$41)</f>
        <v>0</v>
      </c>
      <c r="J92" s="3875">
        <f>IF('Part III-Sources of Funds'!$P$41="", 0,-'Part III-Sources of Funds'!$P$41)</f>
        <v>0</v>
      </c>
      <c r="K92" s="3875">
        <f>IF('Part III-Sources of Funds'!$P$41="", 0,-'Part III-Sources of Funds'!$P$41)</f>
        <v>0</v>
      </c>
      <c r="N92" s="3780"/>
      <c r="O92" s="3781"/>
    </row>
    <row r="93" spans="1:19" ht="13.15" customHeight="1">
      <c r="A93" s="20" t="s">
        <v>763</v>
      </c>
      <c r="B93" s="3876"/>
      <c r="C93" s="3876"/>
      <c r="D93" s="3876"/>
      <c r="E93" s="3876"/>
      <c r="F93" s="3876"/>
      <c r="G93" s="3876"/>
      <c r="H93" s="3876"/>
      <c r="I93" s="3876"/>
      <c r="J93" s="3876"/>
      <c r="K93" s="3876"/>
      <c r="N93" s="3780"/>
      <c r="O93" s="3781"/>
    </row>
    <row r="94" spans="1:19" ht="13.15" customHeight="1">
      <c r="A94" s="420" t="s">
        <v>1163</v>
      </c>
      <c r="B94" s="3878">
        <f>+K62</f>
        <v>-5000</v>
      </c>
      <c r="C94" s="3878">
        <f t="shared" ref="C94:K94" si="54">+B94</f>
        <v>-5000</v>
      </c>
      <c r="D94" s="3878">
        <f t="shared" si="54"/>
        <v>-5000</v>
      </c>
      <c r="E94" s="3878">
        <f t="shared" si="54"/>
        <v>-5000</v>
      </c>
      <c r="F94" s="3878">
        <f t="shared" si="54"/>
        <v>-5000</v>
      </c>
      <c r="G94" s="3878">
        <f t="shared" si="54"/>
        <v>-5000</v>
      </c>
      <c r="H94" s="3878">
        <f t="shared" si="54"/>
        <v>-5000</v>
      </c>
      <c r="I94" s="3878">
        <f t="shared" si="54"/>
        <v>-5000</v>
      </c>
      <c r="J94" s="3878">
        <f t="shared" si="54"/>
        <v>-5000</v>
      </c>
      <c r="K94" s="3878">
        <f t="shared" si="54"/>
        <v>-5000</v>
      </c>
      <c r="N94" s="3780"/>
      <c r="O94" s="3781"/>
    </row>
    <row r="95" spans="1:19" ht="13.15" customHeight="1">
      <c r="A95" s="20" t="s">
        <v>1164</v>
      </c>
      <c r="B95" s="21">
        <f t="shared" ref="B95:K95" si="55">SUM(B88:B94)</f>
        <v>319861.69595559081</v>
      </c>
      <c r="C95" s="21">
        <f t="shared" si="55"/>
        <v>320526.176192349</v>
      </c>
      <c r="D95" s="21">
        <f t="shared" si="55"/>
        <v>321029.08582337166</v>
      </c>
      <c r="E95" s="21">
        <f t="shared" si="55"/>
        <v>321361.32403022971</v>
      </c>
      <c r="F95" s="21">
        <f t="shared" si="55"/>
        <v>321515.47049593733</v>
      </c>
      <c r="G95" s="21">
        <f t="shared" si="55"/>
        <v>321480.77429051156</v>
      </c>
      <c r="H95" s="21">
        <f t="shared" si="55"/>
        <v>321249.14239251718</v>
      </c>
      <c r="I95" s="21">
        <f t="shared" si="55"/>
        <v>320809.12783504865</v>
      </c>
      <c r="J95" s="21">
        <f t="shared" si="55"/>
        <v>320151.91746427136</v>
      </c>
      <c r="K95" s="22">
        <f t="shared" si="55"/>
        <v>319266.31929825415</v>
      </c>
      <c r="N95" s="3780"/>
      <c r="O95" s="3781"/>
    </row>
    <row r="96" spans="1:19" ht="13.1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780"/>
      <c r="O96" s="3781"/>
    </row>
    <row r="97" spans="1:15" ht="13.1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780"/>
      <c r="O97" s="3781"/>
    </row>
    <row r="98" spans="1:15" ht="13.1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80"/>
      <c r="O98" s="3781"/>
    </row>
    <row r="99" spans="1:15" ht="13.1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80"/>
      <c r="O99" s="3781"/>
    </row>
    <row r="100" spans="1:15" ht="13.15" customHeight="1">
      <c r="A100" s="420" t="s">
        <v>3710</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780"/>
      <c r="O100" s="3781"/>
    </row>
    <row r="101" spans="1:15" ht="13.15" customHeight="1">
      <c r="A101" s="20" t="s">
        <v>770</v>
      </c>
      <c r="B101" s="266">
        <f>IF(OR(B85="Choose mgt fee",B85="Choose One!"),"",(B78+B79+B80+B81+B82) / -(B84+B85+B86))</f>
        <v>1.5147845878996153</v>
      </c>
      <c r="C101" s="266">
        <f t="shared" ref="C101:K101" si="61">IF(OR(C85="Choose mgt fee",C85="Choose One!"),"",(C78+C79+C80+C81+C82) / -(C84+C85+C86))</f>
        <v>1.5011816181734237</v>
      </c>
      <c r="D101" s="266">
        <f t="shared" si="61"/>
        <v>1.4876912480091065</v>
      </c>
      <c r="E101" s="266">
        <f t="shared" si="61"/>
        <v>1.4743113725030021</v>
      </c>
      <c r="F101" s="266">
        <f t="shared" si="61"/>
        <v>1.4610442293842054</v>
      </c>
      <c r="G101" s="266">
        <f t="shared" si="61"/>
        <v>1.4478856795312585</v>
      </c>
      <c r="H101" s="266">
        <f t="shared" si="61"/>
        <v>1.4348378270708626</v>
      </c>
      <c r="I101" s="266">
        <f t="shared" si="61"/>
        <v>1.4218968573899298</v>
      </c>
      <c r="J101" s="266">
        <f t="shared" si="61"/>
        <v>1.4090647366300917</v>
      </c>
      <c r="K101" s="267">
        <f t="shared" si="61"/>
        <v>1.3963396448840113</v>
      </c>
      <c r="N101" s="3780"/>
      <c r="O101" s="3781"/>
    </row>
    <row r="102" spans="1:15" ht="13.15" customHeight="1">
      <c r="A102" s="420" t="s">
        <v>2618</v>
      </c>
      <c r="B102" s="3879">
        <f>IF('Part III-Sources of Funds'!$I$38="","",-FV('Part III-Sources of Funds'!$K$38/12,12,B89/12,K71))</f>
        <v>6.6526554701959787E-7</v>
      </c>
      <c r="C102" s="3879">
        <f>IF('Part III-Sources of Funds'!$I$38="","",-FV('Part III-Sources of Funds'!$K$38/12,12,C89/12,B102))</f>
        <v>6.7194877868454555E-7</v>
      </c>
      <c r="D102" s="3879">
        <f>IF('Part III-Sources of Funds'!$I$38="","",-FV('Part III-Sources of Funds'!$K$38/12,12,D89/12,C102))</f>
        <v>6.7869914983339926E-7</v>
      </c>
      <c r="E102" s="3879">
        <f>IF('Part III-Sources of Funds'!$I$38="","",-FV('Part III-Sources of Funds'!$K$38/12,12,E89/12,D102))</f>
        <v>6.8551733494678826E-7</v>
      </c>
      <c r="F102" s="3879">
        <f>IF('Part III-Sources of Funds'!$I$38="","",-FV('Part III-Sources of Funds'!$K$38/12,12,F89/12,E102))</f>
        <v>6.9240401528114801E-7</v>
      </c>
      <c r="G102" s="3879">
        <f>IF('Part III-Sources of Funds'!$I$38="","",-FV('Part III-Sources of Funds'!$K$38/12,12,G89/12,F102))</f>
        <v>6.9935987893678918E-7</v>
      </c>
      <c r="H102" s="3879">
        <f>IF('Part III-Sources of Funds'!$I$38="","",-FV('Part III-Sources of Funds'!$K$38/12,12,H89/12,G102))</f>
        <v>7.0638562092665146E-7</v>
      </c>
      <c r="I102" s="3879">
        <f>IF('Part III-Sources of Funds'!$I$38="","",-FV('Part III-Sources of Funds'!$K$38/12,12,I89/12,H102))</f>
        <v>7.1348194324574741E-7</v>
      </c>
      <c r="J102" s="3879">
        <f>IF('Part III-Sources of Funds'!$I$38="","",-FV('Part III-Sources of Funds'!$K$38/12,12,J89/12,I102))</f>
        <v>7.206495549413038E-7</v>
      </c>
      <c r="K102" s="3879">
        <f>IF('Part III-Sources of Funds'!$I$38="","",-FV('Part III-Sources of Funds'!$K$38/12,12,K89/12,J102))</f>
        <v>7.2788917218360821E-7</v>
      </c>
      <c r="N102" s="3780"/>
      <c r="O102" s="3781"/>
    </row>
    <row r="103" spans="1:15" ht="13.15" customHeight="1">
      <c r="A103" s="420" t="s">
        <v>2619</v>
      </c>
      <c r="B103" s="3875" t="str">
        <f>IF('Part III-Sources of Funds'!$I$39="","",-FV('Part III-Sources of Funds'!$K$39/12,12,B90/12,K72))</f>
        <v/>
      </c>
      <c r="C103" s="3875" t="str">
        <f>IF('Part III-Sources of Funds'!$I$39="","",-FV('Part III-Sources of Funds'!$K$39/12,12,C90/12,B103))</f>
        <v/>
      </c>
      <c r="D103" s="3875" t="str">
        <f>IF('Part III-Sources of Funds'!$I$39="","",-FV('Part III-Sources of Funds'!$K$39/12,12,D90/12,C103))</f>
        <v/>
      </c>
      <c r="E103" s="3875" t="str">
        <f>IF('Part III-Sources of Funds'!$I$39="","",-FV('Part III-Sources of Funds'!$K$39/12,12,E90/12,D103))</f>
        <v/>
      </c>
      <c r="F103" s="3875" t="str">
        <f>IF('Part III-Sources of Funds'!$I$39="","",-FV('Part III-Sources of Funds'!$K$39/12,12,F90/12,E103))</f>
        <v/>
      </c>
      <c r="G103" s="3875" t="str">
        <f>IF('Part III-Sources of Funds'!$I$39="","",-FV('Part III-Sources of Funds'!$K$39/12,12,G90/12,F103))</f>
        <v/>
      </c>
      <c r="H103" s="3875" t="str">
        <f>IF('Part III-Sources of Funds'!$I$39="","",-FV('Part III-Sources of Funds'!$K$39/12,12,H90/12,G103))</f>
        <v/>
      </c>
      <c r="I103" s="3875" t="str">
        <f>IF('Part III-Sources of Funds'!$I$39="","",-FV('Part III-Sources of Funds'!$K$39/12,12,I90/12,H103))</f>
        <v/>
      </c>
      <c r="J103" s="3875" t="str">
        <f>IF('Part III-Sources of Funds'!$I$39="","",-FV('Part III-Sources of Funds'!$K$39/12,12,J90/12,I103))</f>
        <v/>
      </c>
      <c r="K103" s="3875" t="str">
        <f>IF('Part III-Sources of Funds'!$I$39="","",-FV('Part III-Sources of Funds'!$K$39/12,12,K90/12,J103))</f>
        <v/>
      </c>
      <c r="N103" s="3780"/>
      <c r="O103" s="3781"/>
    </row>
    <row r="104" spans="1:15" ht="13.15" customHeight="1">
      <c r="A104" s="420" t="s">
        <v>2620</v>
      </c>
      <c r="B104" s="3875" t="str">
        <f>IF('Part III-Sources of Funds'!$I$40="","",-FV('Part III-Sources of Funds'!$K$40/12,12,B91/12,K73))</f>
        <v/>
      </c>
      <c r="C104" s="3875" t="str">
        <f>IF('Part III-Sources of Funds'!$I$40="","",-FV('Part III-Sources of Funds'!$K$40/12,12,C91/12,B104))</f>
        <v/>
      </c>
      <c r="D104" s="3875" t="str">
        <f>IF('Part III-Sources of Funds'!$I$40="","",-FV('Part III-Sources of Funds'!$K$40/12,12,D91/12,C104))</f>
        <v/>
      </c>
      <c r="E104" s="3875" t="str">
        <f>IF('Part III-Sources of Funds'!$I$40="","",-FV('Part III-Sources of Funds'!$K$40/12,12,E91/12,D104))</f>
        <v/>
      </c>
      <c r="F104" s="3875" t="str">
        <f>IF('Part III-Sources of Funds'!$I$40="","",-FV('Part III-Sources of Funds'!$K$40/12,12,F91/12,E104))</f>
        <v/>
      </c>
      <c r="G104" s="3875" t="str">
        <f>IF('Part III-Sources of Funds'!$I$40="","",-FV('Part III-Sources of Funds'!$K$40/12,12,G91/12,F104))</f>
        <v/>
      </c>
      <c r="H104" s="3875" t="str">
        <f>IF('Part III-Sources of Funds'!$I$40="","",-FV('Part III-Sources of Funds'!$K$40/12,12,H91/12,G104))</f>
        <v/>
      </c>
      <c r="I104" s="3875" t="str">
        <f>IF('Part III-Sources of Funds'!$I$40="","",-FV('Part III-Sources of Funds'!$K$40/12,12,I91/12,H104))</f>
        <v/>
      </c>
      <c r="J104" s="3875" t="str">
        <f>IF('Part III-Sources of Funds'!$I$40="","",-FV('Part III-Sources of Funds'!$K$40/12,12,J91/12,I104))</f>
        <v/>
      </c>
      <c r="K104" s="3875" t="str">
        <f>IF('Part III-Sources of Funds'!$I$40="","",-FV('Part III-Sources of Funds'!$K$40/12,12,K91/12,J104))</f>
        <v/>
      </c>
      <c r="N104" s="3780"/>
      <c r="O104" s="3781"/>
    </row>
    <row r="105" spans="1:15" ht="13.15" customHeight="1">
      <c r="A105" s="20" t="s">
        <v>784</v>
      </c>
      <c r="B105" s="3878" t="str">
        <f>IF('Part III-Sources of Funds'!$I$41="","",-FV('Part III-Sources of Funds'!$K$41/12,12,B92/12,K74))</f>
        <v/>
      </c>
      <c r="C105" s="3878" t="str">
        <f>IF('Part III-Sources of Funds'!$I$41="","",-FV('Part III-Sources of Funds'!$K$41/12,12,C92/12,B105))</f>
        <v/>
      </c>
      <c r="D105" s="3878" t="str">
        <f>IF('Part III-Sources of Funds'!$I$41="","",-FV('Part III-Sources of Funds'!$K$41/12,12,D92/12,C105))</f>
        <v/>
      </c>
      <c r="E105" s="3878" t="str">
        <f>IF('Part III-Sources of Funds'!$I$41="","",-FV('Part III-Sources of Funds'!$K$41/12,12,E92/12,D105))</f>
        <v/>
      </c>
      <c r="F105" s="3878" t="str">
        <f>IF('Part III-Sources of Funds'!$I$41="","",-FV('Part III-Sources of Funds'!$K$41/12,12,F92/12,E105))</f>
        <v/>
      </c>
      <c r="G105" s="3878" t="str">
        <f>IF('Part III-Sources of Funds'!$I$41="","",-FV('Part III-Sources of Funds'!$K$41/12,12,G92/12,F105))</f>
        <v/>
      </c>
      <c r="H105" s="3878" t="str">
        <f>IF('Part III-Sources of Funds'!$I$41="","",-FV('Part III-Sources of Funds'!$K$41/12,12,H92/12,G105))</f>
        <v/>
      </c>
      <c r="I105" s="3878" t="str">
        <f>IF('Part III-Sources of Funds'!$I$41="","",-FV('Part III-Sources of Funds'!$K$41/12,12,I92/12,H105))</f>
        <v/>
      </c>
      <c r="J105" s="3878" t="str">
        <f>IF('Part III-Sources of Funds'!$I$41="","",-FV('Part III-Sources of Funds'!$K$41/12,12,J92/12,I105))</f>
        <v/>
      </c>
      <c r="K105" s="3878" t="str">
        <f>IF('Part III-Sources of Funds'!$I$41="","",-FV('Part III-Sources of Funds'!$K$41/12,12,K92/12,J105))</f>
        <v/>
      </c>
      <c r="N105" s="3811"/>
      <c r="O105" s="3812"/>
    </row>
    <row r="106" spans="1:15" ht="4.1500000000000004" customHeight="1">
      <c r="B106" s="16"/>
      <c r="C106" s="16"/>
      <c r="D106" s="16"/>
      <c r="E106" s="16"/>
      <c r="F106" s="16"/>
      <c r="G106" s="16"/>
      <c r="H106" s="16"/>
      <c r="I106" s="16"/>
      <c r="J106" s="16"/>
      <c r="K106" s="16"/>
    </row>
    <row r="107" spans="1:15" ht="14.65" customHeight="1">
      <c r="A107" s="12" t="s">
        <v>2481</v>
      </c>
      <c r="B107" s="14">
        <f>K77+1</f>
        <v>31</v>
      </c>
      <c r="C107" s="14">
        <f>B107+1</f>
        <v>32</v>
      </c>
      <c r="D107" s="14">
        <f>C107+1</f>
        <v>33</v>
      </c>
      <c r="E107" s="14">
        <f>D107+1</f>
        <v>34</v>
      </c>
      <c r="F107" s="14">
        <f>E107+1</f>
        <v>35</v>
      </c>
      <c r="G107" s="16"/>
      <c r="H107" s="16"/>
      <c r="I107" s="16"/>
      <c r="J107" s="16"/>
      <c r="K107" s="16"/>
      <c r="N107" s="2429" t="s">
        <v>3700</v>
      </c>
      <c r="O107" s="2429"/>
    </row>
    <row r="108" spans="1:15" ht="13.15" customHeight="1">
      <c r="A108" s="17" t="s">
        <v>2405</v>
      </c>
      <c r="B108" s="18">
        <f>$B$14*(1+$B$5)^(B107-1)</f>
        <v>1228407.4627682031</v>
      </c>
      <c r="C108" s="18">
        <f>$B$14*(1+$B$5)^(C107-1)</f>
        <v>1252975.6120235668</v>
      </c>
      <c r="D108" s="18">
        <f>$B$14*(1+$B$5)^(D107-1)</f>
        <v>1278035.1242640384</v>
      </c>
      <c r="E108" s="18">
        <f>$B$14*(1+$B$5)^(E107-1)</f>
        <v>1303595.8267493192</v>
      </c>
      <c r="F108" s="625">
        <f>$B$14*(1+$B$5)^(F107-1)</f>
        <v>1329667.7432843056</v>
      </c>
      <c r="G108" s="16"/>
      <c r="H108" s="16"/>
      <c r="I108" s="16"/>
      <c r="J108" s="16"/>
      <c r="K108" s="16"/>
      <c r="N108" s="3766"/>
      <c r="O108" s="3767"/>
    </row>
    <row r="109" spans="1:15" ht="13.15" customHeight="1">
      <c r="A109" s="20" t="s">
        <v>1016</v>
      </c>
      <c r="B109" s="21">
        <f>$B$15*(1+$B$5)^(B107-1)</f>
        <v>24568.14925536406</v>
      </c>
      <c r="C109" s="21">
        <f>$B$15*(1+$B$5)^(C107-1)</f>
        <v>25059.512240471337</v>
      </c>
      <c r="D109" s="21">
        <f>$B$15*(1+$B$5)^(D107-1)</f>
        <v>25560.70248528077</v>
      </c>
      <c r="E109" s="21">
        <f>$B$15*(1+$B$5)^(E107-1)</f>
        <v>26071.916534986387</v>
      </c>
      <c r="F109" s="22">
        <f>$B$15*(1+$B$5)^(F107-1)</f>
        <v>26593.354865686109</v>
      </c>
      <c r="G109" s="16"/>
      <c r="H109" s="16"/>
      <c r="I109" s="16"/>
      <c r="J109" s="16"/>
      <c r="K109" s="16"/>
      <c r="N109" s="3780"/>
      <c r="O109" s="3781"/>
    </row>
    <row r="110" spans="1:15" ht="13.15" customHeight="1">
      <c r="A110" s="20" t="s">
        <v>2406</v>
      </c>
      <c r="B110" s="21">
        <f>-(B108+B109)*$B$8</f>
        <v>-87708.292841649702</v>
      </c>
      <c r="C110" s="21">
        <f>-(C108+C109)*$B$8</f>
        <v>-89462.458698482675</v>
      </c>
      <c r="D110" s="21">
        <f>-(D108+D109)*$B$8</f>
        <v>-91251.70787245236</v>
      </c>
      <c r="E110" s="21">
        <f>-(E108+E109)*$B$8</f>
        <v>-93076.742029901405</v>
      </c>
      <c r="F110" s="22">
        <f>-(F108+F109)*$B$8</f>
        <v>-94938.276870499423</v>
      </c>
      <c r="G110" s="16"/>
      <c r="H110" s="16"/>
      <c r="I110" s="16"/>
      <c r="J110" s="16"/>
      <c r="K110" s="16"/>
      <c r="N110" s="3780"/>
      <c r="O110" s="3781"/>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80"/>
      <c r="O111" s="3781"/>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80"/>
      <c r="O112" s="3781"/>
    </row>
    <row r="113" spans="1:19" ht="13.15" customHeight="1">
      <c r="A113" s="420" t="s">
        <v>4935</v>
      </c>
      <c r="B113" s="21">
        <f>SUM(B108:B112)</f>
        <v>1165267.3191819175</v>
      </c>
      <c r="C113" s="21">
        <f>SUM(C108:C112)</f>
        <v>1188572.6655655554</v>
      </c>
      <c r="D113" s="21">
        <f>SUM(D108:D112)</f>
        <v>1212344.1188768668</v>
      </c>
      <c r="E113" s="21">
        <f>SUM(E108:E112)</f>
        <v>1236591.0012544042</v>
      </c>
      <c r="F113" s="22">
        <f>SUM(F108:F112)</f>
        <v>1261322.8212794922</v>
      </c>
      <c r="G113" s="16"/>
      <c r="H113" s="16"/>
      <c r="I113" s="16"/>
      <c r="J113" s="16"/>
      <c r="K113" s="16"/>
      <c r="N113" s="3780"/>
      <c r="O113" s="3781"/>
    </row>
    <row r="114" spans="1:19" ht="13.15" customHeight="1">
      <c r="A114" s="20" t="s">
        <v>614</v>
      </c>
      <c r="B114" s="21">
        <f>$B$20*(1+$B$6)^(B107-1)</f>
        <v>-732890.05781347689</v>
      </c>
      <c r="C114" s="21">
        <f>$B$20*(1+$B$6)^(C107-1)</f>
        <v>-754876.75954788132</v>
      </c>
      <c r="D114" s="21">
        <f>$B$20*(1+$B$6)^(D107-1)</f>
        <v>-777523.0623343176</v>
      </c>
      <c r="E114" s="21">
        <f>$B$20*(1+$B$6)^(E107-1)</f>
        <v>-800848.75420434715</v>
      </c>
      <c r="F114" s="22">
        <f>$B$20*(1+$B$6)^(F107-1)</f>
        <v>-824874.21683047747</v>
      </c>
      <c r="G114" s="16"/>
      <c r="H114" s="16"/>
      <c r="I114" s="16"/>
      <c r="J114" s="16"/>
      <c r="K114" s="16"/>
      <c r="N114" s="3780"/>
      <c r="O114" s="3781"/>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-58263</v>
      </c>
      <c r="C115" s="21">
        <f>IF(AND('Part VII-Pro Forma'!$G$8="Yes",'Part VII-Pro Forma'!$G$9="Yes"),"Choose One!",IF('Part VII-Pro Forma'!$G$8="Yes",ROUND((-$K$8*(1+'Part VII-Pro Forma'!$B$6)^('Part VII-Pro Forma'!C107-1)),),IF('Part VII-Pro Forma'!$G$9="Yes",ROUND((-(SUM(C108:C111)*'Part VII-Pro Forma'!$K$9)),),"Choose mgt fee")))</f>
        <v>-59429</v>
      </c>
      <c r="D115" s="21">
        <f>IF(AND('Part VII-Pro Forma'!$G$8="Yes",'Part VII-Pro Forma'!$G$9="Yes"),"Choose One!",IF('Part VII-Pro Forma'!$G$8="Yes",ROUND((-$K$8*(1+'Part VII-Pro Forma'!$B$6)^('Part VII-Pro Forma'!D107-1)),),IF('Part VII-Pro Forma'!$G$9="Yes",ROUND((-(SUM(D108:D111)*'Part VII-Pro Forma'!$K$9)),),"Choose mgt fee")))</f>
        <v>-60617</v>
      </c>
      <c r="E115" s="21">
        <f>IF(AND('Part VII-Pro Forma'!$G$8="Yes",'Part VII-Pro Forma'!$G$9="Yes"),"Choose One!",IF('Part VII-Pro Forma'!$G$8="Yes",ROUND((-$K$8*(1+'Part VII-Pro Forma'!$B$6)^('Part VII-Pro Forma'!E107-1)),),IF('Part VII-Pro Forma'!$G$9="Yes",ROUND((-(SUM(E108:E111)*'Part VII-Pro Forma'!$K$9)),),"Choose mgt fee")))</f>
        <v>-61830</v>
      </c>
      <c r="F115" s="22">
        <f>IF(AND('Part VII-Pro Forma'!$G$8="Yes",'Part VII-Pro Forma'!$G$9="Yes"),"Choose One!",IF('Part VII-Pro Forma'!$G$8="Yes",ROUND((-$K$8*(1+'Part VII-Pro Forma'!$B$6)^('Part VII-Pro Forma'!F107-1)),),IF('Part VII-Pro Forma'!$G$9="Yes",ROUND((-(SUM(F108:F111)*'Part VII-Pro Forma'!$K$9)),),"Choose mgt fee")))</f>
        <v>-63066</v>
      </c>
      <c r="G115" s="16"/>
      <c r="H115" s="16"/>
      <c r="I115" s="16"/>
      <c r="J115" s="16"/>
      <c r="K115" s="16"/>
      <c r="N115" s="3780"/>
      <c r="O115" s="3781"/>
    </row>
    <row r="116" spans="1:19" ht="13.15" customHeight="1">
      <c r="A116" s="20" t="s">
        <v>1202</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780"/>
      <c r="O116" s="3781"/>
    </row>
    <row r="117" spans="1:19" ht="13.15" customHeight="1">
      <c r="A117" s="420" t="s">
        <v>4934</v>
      </c>
      <c r="B117" s="3873">
        <f>IF(B107&lt;=+'Part VI-Revenues &amp; Expenses'!$K$243,-'Part VI-Revenues &amp; Expenses'!$H$243,0)</f>
        <v>0</v>
      </c>
      <c r="C117" s="3873">
        <f>IF(C107&lt;=+'Part VI-Revenues &amp; Expenses'!$K$243,-'Part VI-Revenues &amp; Expenses'!$H$243,0)</f>
        <v>0</v>
      </c>
      <c r="D117" s="3873">
        <f>IF(D107&lt;=+'Part VI-Revenues &amp; Expenses'!$K$243,-'Part VI-Revenues &amp; Expenses'!$H$243,0)</f>
        <v>0</v>
      </c>
      <c r="E117" s="3873">
        <f>IF(E107&lt;=+'Part VI-Revenues &amp; Expenses'!$K$243,-'Part VI-Revenues &amp; Expenses'!$H$243,0)</f>
        <v>0</v>
      </c>
      <c r="F117" s="3873">
        <f>IF(F107&lt;=+'Part VI-Revenues &amp; Expenses'!$K$243,-'Part VI-Revenues &amp; Expenses'!$H$243,0)</f>
        <v>0</v>
      </c>
      <c r="G117" s="16"/>
      <c r="H117" s="16"/>
      <c r="I117" s="16"/>
      <c r="J117" s="16"/>
      <c r="K117" s="16"/>
      <c r="N117" s="3780"/>
      <c r="O117" s="3781"/>
      <c r="Q117" s="971">
        <v>10</v>
      </c>
      <c r="R117" s="1092">
        <f>-SUM(B122:K122)</f>
        <v>0</v>
      </c>
      <c r="S117" s="1092">
        <f>SUM(B123:K123)+R117</f>
        <v>0</v>
      </c>
    </row>
    <row r="118" spans="1:19" ht="13.15" customHeight="1">
      <c r="A118" s="20" t="s">
        <v>1203</v>
      </c>
      <c r="B118" s="21">
        <f t="shared" ref="B118" si="62">SUM(B113:B117)</f>
        <v>323141.74947345775</v>
      </c>
      <c r="C118" s="21">
        <f t="shared" ref="C118" si="63">SUM(C113:C117)</f>
        <v>321765.2187658418</v>
      </c>
      <c r="D118" s="21">
        <f t="shared" ref="D118" si="64">SUM(D113:D117)</f>
        <v>320127.31867316185</v>
      </c>
      <c r="E118" s="21">
        <f t="shared" ref="E118" si="65">SUM(E113:E117)</f>
        <v>318213.20704458811</v>
      </c>
      <c r="F118" s="2155">
        <f>SUM(F113:F117)</f>
        <v>316012.59324338177</v>
      </c>
      <c r="G118" s="16"/>
      <c r="H118" s="16"/>
      <c r="I118" s="16"/>
      <c r="J118" s="16"/>
      <c r="K118" s="16"/>
      <c r="N118" s="3780"/>
      <c r="O118" s="3781"/>
    </row>
    <row r="119" spans="1:19" ht="13.15" customHeight="1">
      <c r="A119" s="20" t="str">
        <f>$A89</f>
        <v>Mortgage A</v>
      </c>
      <c r="B119" s="3874">
        <v>0</v>
      </c>
      <c r="C119" s="3874">
        <v>0</v>
      </c>
      <c r="D119" s="3874">
        <v>0</v>
      </c>
      <c r="E119" s="3874">
        <v>0</v>
      </c>
      <c r="F119" s="3874">
        <v>0</v>
      </c>
      <c r="G119" s="16"/>
      <c r="H119" s="16"/>
      <c r="I119" s="16"/>
      <c r="J119" s="16"/>
      <c r="K119" s="16"/>
      <c r="N119" s="3780"/>
      <c r="O119" s="3781"/>
    </row>
    <row r="120" spans="1:19" ht="13.15" customHeight="1">
      <c r="A120" s="20" t="str">
        <f>$A90</f>
        <v>Mortgage B</v>
      </c>
      <c r="B120" s="3875">
        <f>IF('Part III-Sources of Funds'!$P$39="", 0,-'Part III-Sources of Funds'!$P$39)</f>
        <v>0</v>
      </c>
      <c r="C120" s="3875">
        <f>IF('Part III-Sources of Funds'!$P$39="", 0,-'Part III-Sources of Funds'!$P$39)</f>
        <v>0</v>
      </c>
      <c r="D120" s="3875">
        <f>IF('Part III-Sources of Funds'!$P$39="", 0,-'Part III-Sources of Funds'!$P$39)</f>
        <v>0</v>
      </c>
      <c r="E120" s="3875">
        <f>IF('Part III-Sources of Funds'!$P$39="", 0,-'Part III-Sources of Funds'!$P$39)</f>
        <v>0</v>
      </c>
      <c r="F120" s="3875">
        <f>IF('Part III-Sources of Funds'!$P$39="", 0,-'Part III-Sources of Funds'!$P$39)</f>
        <v>0</v>
      </c>
      <c r="G120" s="16"/>
      <c r="H120" s="16"/>
      <c r="I120" s="16"/>
      <c r="J120" s="16"/>
      <c r="K120" s="16"/>
      <c r="N120" s="3780"/>
      <c r="O120" s="3781"/>
    </row>
    <row r="121" spans="1:19" ht="13.15" customHeight="1">
      <c r="A121" s="20" t="str">
        <f>$A91</f>
        <v>Mortgage C</v>
      </c>
      <c r="B121" s="3875">
        <f>IF('Part III-Sources of Funds'!$P$40="", 0,-'Part III-Sources of Funds'!$P$40)</f>
        <v>0</v>
      </c>
      <c r="C121" s="3875">
        <f>IF('Part III-Sources of Funds'!$P$40="", 0,-'Part III-Sources of Funds'!$P$40)</f>
        <v>0</v>
      </c>
      <c r="D121" s="3875">
        <f>IF('Part III-Sources of Funds'!$P$40="", 0,-'Part III-Sources of Funds'!$P$40)</f>
        <v>0</v>
      </c>
      <c r="E121" s="3875">
        <f>IF('Part III-Sources of Funds'!$P$40="", 0,-'Part III-Sources of Funds'!$P$40)</f>
        <v>0</v>
      </c>
      <c r="F121" s="3875">
        <f>IF('Part III-Sources of Funds'!$P$40="", 0,-'Part III-Sources of Funds'!$P$40)</f>
        <v>0</v>
      </c>
      <c r="G121" s="16"/>
      <c r="H121" s="16"/>
      <c r="I121" s="16"/>
      <c r="J121" s="16"/>
      <c r="K121" s="16"/>
      <c r="N121" s="3780"/>
      <c r="O121" s="3781"/>
    </row>
    <row r="122" spans="1:19" ht="13.15" customHeight="1">
      <c r="A122" s="20" t="str">
        <f>$A92</f>
        <v>D/S Other Source,not DDF</v>
      </c>
      <c r="B122" s="3875">
        <f>IF('Part III-Sources of Funds'!$P$41="", 0,-'Part III-Sources of Funds'!$P$41)</f>
        <v>0</v>
      </c>
      <c r="C122" s="3875">
        <f>IF('Part III-Sources of Funds'!$P$41="", 0,-'Part III-Sources of Funds'!$P$41)</f>
        <v>0</v>
      </c>
      <c r="D122" s="3875">
        <f>IF('Part III-Sources of Funds'!$P$41="", 0,-'Part III-Sources of Funds'!$P$41)</f>
        <v>0</v>
      </c>
      <c r="E122" s="3875">
        <f>IF('Part III-Sources of Funds'!$P$41="", 0,-'Part III-Sources of Funds'!$P$41)</f>
        <v>0</v>
      </c>
      <c r="F122" s="3875">
        <f>IF('Part III-Sources of Funds'!$P$41="", 0,-'Part III-Sources of Funds'!$P$41)</f>
        <v>0</v>
      </c>
      <c r="G122" s="16"/>
      <c r="H122" s="16"/>
      <c r="I122" s="16"/>
      <c r="J122" s="16"/>
      <c r="K122" s="16"/>
      <c r="N122" s="3780"/>
      <c r="O122" s="3781"/>
    </row>
    <row r="123" spans="1:19" ht="13.15" customHeight="1">
      <c r="A123" s="20" t="s">
        <v>763</v>
      </c>
      <c r="B123" s="3876"/>
      <c r="C123" s="3876"/>
      <c r="D123" s="3876"/>
      <c r="E123" s="3876"/>
      <c r="F123" s="3876"/>
      <c r="G123" s="16"/>
      <c r="H123" s="16"/>
      <c r="I123" s="16"/>
      <c r="J123" s="16"/>
      <c r="K123" s="16"/>
      <c r="N123" s="3780"/>
      <c r="O123" s="3781"/>
    </row>
    <row r="124" spans="1:19" ht="13.15" customHeight="1">
      <c r="A124" s="20" t="s">
        <v>1163</v>
      </c>
      <c r="B124" s="3878">
        <f>+K94</f>
        <v>-5000</v>
      </c>
      <c r="C124" s="3878">
        <f>+B124</f>
        <v>-5000</v>
      </c>
      <c r="D124" s="3878">
        <f>+C124</f>
        <v>-5000</v>
      </c>
      <c r="E124" s="3878">
        <f>+D124</f>
        <v>-5000</v>
      </c>
      <c r="F124" s="3878">
        <f>+E124</f>
        <v>-5000</v>
      </c>
      <c r="G124" s="16"/>
      <c r="H124" s="16"/>
      <c r="I124" s="16"/>
      <c r="J124" s="16"/>
      <c r="K124" s="16"/>
      <c r="N124" s="3780"/>
      <c r="O124" s="3781"/>
    </row>
    <row r="125" spans="1:19" ht="13.15" customHeight="1">
      <c r="A125" s="20" t="s">
        <v>1164</v>
      </c>
      <c r="B125" s="21">
        <f>SUM(B118:B124)</f>
        <v>318141.74947345775</v>
      </c>
      <c r="C125" s="21">
        <f>SUM(C118:C124)</f>
        <v>316765.2187658418</v>
      </c>
      <c r="D125" s="21">
        <f>SUM(D118:D124)</f>
        <v>315127.31867316185</v>
      </c>
      <c r="E125" s="21">
        <f>SUM(E118:E124)</f>
        <v>313213.20704458811</v>
      </c>
      <c r="F125" s="22">
        <f>SUM(F118:F124)</f>
        <v>311012.59324338177</v>
      </c>
      <c r="G125" s="16"/>
      <c r="H125" s="16"/>
      <c r="I125" s="16"/>
      <c r="J125" s="16"/>
      <c r="K125" s="16"/>
      <c r="N125" s="3780"/>
      <c r="O125" s="3781"/>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780"/>
      <c r="O126" s="3781"/>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80"/>
      <c r="O127" s="3781"/>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80"/>
      <c r="O128" s="3781"/>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80"/>
      <c r="O129" s="3781"/>
    </row>
    <row r="130" spans="1:18" ht="13.1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780"/>
      <c r="O130" s="3781"/>
    </row>
    <row r="131" spans="1:18" ht="13.15" customHeight="1">
      <c r="A131" s="20" t="s">
        <v>770</v>
      </c>
      <c r="B131" s="266">
        <f>IF(OR(B115="Choose mgt fee",B115="Choose One!"),"",(B108+B109+B110+B111+B112) / -(B114+B115+B116))</f>
        <v>1.3837215744266356</v>
      </c>
      <c r="C131" s="266">
        <f>IF(OR(C115="Choose mgt fee",C115="Choose One!"),"",(C108+C109+C110+C111+C112) / -(C114+C115+C116))</f>
        <v>1.3712072617209408</v>
      </c>
      <c r="D131" s="266">
        <f>IF(OR(D115="Choose mgt fee",D115="Choose One!"),"",(D108+D109+D110+D111+D112) / -(D114+D115+D116))</f>
        <v>1.3587999223956246</v>
      </c>
      <c r="E131" s="266">
        <f>IF(OR(E115="Choose mgt fee",E115="Choose One!"),"",(E108+E109+E110+E111+E112) / -(E114+E115+E116))</f>
        <v>1.3464948837513899</v>
      </c>
      <c r="F131" s="626">
        <f>IF(OR(F115="Choose mgt fee",F115="Choose One!"),"",(F108+F109+F110+F111+F112) / -(F114+F115+F116))</f>
        <v>1.3342951169584831</v>
      </c>
      <c r="G131" s="16"/>
      <c r="H131" s="16"/>
      <c r="I131" s="16"/>
      <c r="J131" s="16"/>
      <c r="K131" s="16"/>
      <c r="N131" s="3780"/>
      <c r="O131" s="3781"/>
    </row>
    <row r="132" spans="1:18" ht="13.15" customHeight="1">
      <c r="A132" s="420" t="s">
        <v>2618</v>
      </c>
      <c r="B132" s="3879">
        <f>IF('Part III-Sources of Funds'!$I$38="","",-FV('Part III-Sources of Funds'!$K$38/12,12,B119/12,K102))</f>
        <v>7.3520151833756695E-7</v>
      </c>
      <c r="C132" s="3879">
        <f>IF('Part III-Sources of Funds'!$I$38="","",-FV('Part III-Sources of Funds'!$K$38/12,12,C119/12,B132))</f>
        <v>7.4258732403498189E-7</v>
      </c>
      <c r="D132" s="3879">
        <f>IF('Part III-Sources of Funds'!$I$38="","",-FV('Part III-Sources of Funds'!$K$38/12,12,D119/12,C132))</f>
        <v>7.5004732724755339E-7</v>
      </c>
      <c r="E132" s="3879">
        <f>IF('Part III-Sources of Funds'!$I$38="","",-FV('Part III-Sources of Funds'!$K$38/12,12,E119/12,D132))</f>
        <v>7.5758227336061668E-7</v>
      </c>
      <c r="F132" s="3879">
        <f>IF('Part III-Sources of Funds'!$I$38="","",-FV('Part III-Sources of Funds'!$K$38/12,12,F119/12,E132))</f>
        <v>7.6519291524761878E-7</v>
      </c>
      <c r="G132" s="16"/>
      <c r="H132" s="16"/>
      <c r="I132" s="16"/>
      <c r="J132" s="16"/>
      <c r="K132" s="16"/>
      <c r="N132" s="3780"/>
      <c r="O132" s="3781"/>
    </row>
    <row r="133" spans="1:18" ht="13.15" customHeight="1">
      <c r="A133" s="420" t="s">
        <v>2619</v>
      </c>
      <c r="B133" s="3875" t="str">
        <f>IF('Part III-Sources of Funds'!$I$39="","",-FV('Part III-Sources of Funds'!$K$39/12,12,B120/12,K103))</f>
        <v/>
      </c>
      <c r="C133" s="3875" t="str">
        <f>IF('Part III-Sources of Funds'!$I$39="","",-FV('Part III-Sources of Funds'!$K$39/12,12,C120/12,B133))</f>
        <v/>
      </c>
      <c r="D133" s="3875" t="str">
        <f>IF('Part III-Sources of Funds'!$I$39="","",-FV('Part III-Sources of Funds'!$K$39/12,12,D120/12,C133))</f>
        <v/>
      </c>
      <c r="E133" s="3875" t="str">
        <f>IF('Part III-Sources of Funds'!$I$39="","",-FV('Part III-Sources of Funds'!$K$39/12,12,E120/12,D133))</f>
        <v/>
      </c>
      <c r="F133" s="3875" t="str">
        <f>IF('Part III-Sources of Funds'!$I$39="","",-FV('Part III-Sources of Funds'!$K$39/12,12,F120/12,E133))</f>
        <v/>
      </c>
      <c r="G133" s="16"/>
      <c r="H133" s="16"/>
      <c r="I133" s="16"/>
      <c r="J133" s="16"/>
      <c r="K133" s="16"/>
      <c r="N133" s="3780"/>
      <c r="O133" s="3781"/>
    </row>
    <row r="134" spans="1:18" ht="13.15" customHeight="1">
      <c r="A134" s="420" t="s">
        <v>2620</v>
      </c>
      <c r="B134" s="3875" t="str">
        <f>IF('Part III-Sources of Funds'!$I$40="","",-FV('Part III-Sources of Funds'!$K$40/12,12,B121/12,K104))</f>
        <v/>
      </c>
      <c r="C134" s="3875" t="str">
        <f>IF('Part III-Sources of Funds'!$I$40="","",-FV('Part III-Sources of Funds'!$K$40/12,12,C121/12,B134))</f>
        <v/>
      </c>
      <c r="D134" s="3875" t="str">
        <f>IF('Part III-Sources of Funds'!$I$40="","",-FV('Part III-Sources of Funds'!$K$40/12,12,D121/12,C134))</f>
        <v/>
      </c>
      <c r="E134" s="3875" t="str">
        <f>IF('Part III-Sources of Funds'!$I$40="","",-FV('Part III-Sources of Funds'!$K$40/12,12,E121/12,D134))</f>
        <v/>
      </c>
      <c r="F134" s="3875" t="str">
        <f>IF('Part III-Sources of Funds'!$I$40="","",-FV('Part III-Sources of Funds'!$K$40/12,12,F121/12,E134))</f>
        <v/>
      </c>
      <c r="G134" s="16"/>
      <c r="H134" s="16"/>
      <c r="I134" s="16"/>
      <c r="J134" s="16"/>
      <c r="K134" s="16"/>
      <c r="N134" s="3780"/>
      <c r="O134" s="3781"/>
    </row>
    <row r="135" spans="1:18" ht="13.15" customHeight="1">
      <c r="A135" s="25" t="s">
        <v>784</v>
      </c>
      <c r="B135" s="3878" t="str">
        <f>IF('Part III-Sources of Funds'!$I$41="","",-FV('Part III-Sources of Funds'!$K$41/12,12,B122/12,K105))</f>
        <v/>
      </c>
      <c r="C135" s="3878" t="str">
        <f>IF('Part III-Sources of Funds'!$I$41="","",-FV('Part III-Sources of Funds'!$K$41/12,12,C122/12,B135))</f>
        <v/>
      </c>
      <c r="D135" s="3878" t="str">
        <f>IF('Part III-Sources of Funds'!$I$41="","",-FV('Part III-Sources of Funds'!$K$41/12,12,D122/12,C135))</f>
        <v/>
      </c>
      <c r="E135" s="3878" t="str">
        <f>IF('Part III-Sources of Funds'!$I$41="","",-FV('Part III-Sources of Funds'!$K$41/12,12,E122/12,D135))</f>
        <v/>
      </c>
      <c r="F135" s="3878" t="str">
        <f>IF('Part III-Sources of Funds'!$I$41="","",-FV('Part III-Sources of Funds'!$K$41/12,12,F122/12,E135))</f>
        <v/>
      </c>
      <c r="G135" s="16"/>
      <c r="H135" s="16"/>
      <c r="I135" s="16"/>
      <c r="J135" s="16"/>
      <c r="K135" s="16"/>
      <c r="N135" s="3811"/>
      <c r="O135" s="3812"/>
    </row>
    <row r="136" spans="1:18" ht="4.1500000000000004" customHeight="1"/>
    <row r="137" spans="1:18" ht="12" customHeight="1">
      <c r="A137" s="12" t="s">
        <v>571</v>
      </c>
      <c r="B137" s="12"/>
      <c r="G137" s="12" t="s">
        <v>1031</v>
      </c>
    </row>
    <row r="138" spans="1:18" ht="12" customHeight="1">
      <c r="B138" s="30"/>
    </row>
    <row r="139" spans="1:18" ht="409.5" customHeight="1">
      <c r="A139" s="3534" t="s">
        <v>5235</v>
      </c>
      <c r="B139" s="3880"/>
      <c r="C139" s="3880"/>
      <c r="D139" s="3880"/>
      <c r="E139" s="3880"/>
      <c r="F139" s="3881"/>
      <c r="G139" s="3882"/>
      <c r="H139" s="3883"/>
      <c r="I139" s="3883"/>
      <c r="J139" s="3883"/>
      <c r="K139" s="3884"/>
      <c r="N139" s="2402" t="s">
        <v>2694</v>
      </c>
      <c r="O139" s="240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UjKVdIynak5xNZCH7IRatUyHDrZDB0HrpsBkL0XSxtPIvjJvwa8+8f7jXM0c06zgY29fOy7dO1VrpluUL5YA==" saltValue="saFxh36DKX7EXqFA7P7TX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2" priority="11">
      <formula>$G$6&lt;$G$5</formula>
    </cfRule>
  </conditionalFormatting>
  <conditionalFormatting sqref="A30">
    <cfRule type="expression" dxfId="191" priority="10">
      <formula>"or(B28&lt;$G$6,C28&lt;$G$6,D28&lt;$G$6,E28&lt;$G$6,F28&lt;$G$6,G28&lt;$G$6,H28&lt;$G$6,I28&lt;$G$6,J28&lt;$G$6,K28&lt;$G$6,)"</formula>
    </cfRule>
  </conditionalFormatting>
  <conditionalFormatting sqref="A62">
    <cfRule type="expression" dxfId="190" priority="7">
      <formula>"or(B28&lt;$G$6,C28&lt;$G$6,D28&lt;$G$6,E28&lt;$G$6,F28&lt;$G$6,G28&lt;$G$6,H28&lt;$G$6,I28&lt;$G$6,J28&lt;$G$6,K28&lt;$G$6,)"</formula>
    </cfRule>
  </conditionalFormatting>
  <conditionalFormatting sqref="A94">
    <cfRule type="expression" dxfId="189" priority="6">
      <formula>"or(B28&lt;$G$6,C28&lt;$G$6,D28&lt;$G$6,E28&lt;$G$6,F28&lt;$G$6,G28&lt;$G$6,H28&lt;$G$6,I28&lt;$G$6,J28&lt;$G$6,K28&lt;$G$6,)"</formula>
    </cfRule>
  </conditionalFormatting>
  <conditionalFormatting sqref="A23">
    <cfRule type="expression" dxfId="188" priority="5">
      <formula>"or(B28&lt;$G$6,C28&lt;$G$6,D28&lt;$G$6,E28&lt;$G$6,F28&lt;$G$6,G28&lt;$G$6,H28&lt;$G$6,I28&lt;$G$6,J28&lt;$G$6,K28&lt;$G$6,)"</formula>
    </cfRule>
  </conditionalFormatting>
  <conditionalFormatting sqref="A55">
    <cfRule type="expression" dxfId="187" priority="4">
      <formula>"or(B28&lt;$G$6,C28&lt;$G$6,D28&lt;$G$6,E28&lt;$G$6,F28&lt;$G$6,G28&lt;$G$6,H28&lt;$G$6,I28&lt;$G$6,J28&lt;$G$6,K28&lt;$G$6,)"</formula>
    </cfRule>
  </conditionalFormatting>
  <conditionalFormatting sqref="A87">
    <cfRule type="expression" dxfId="186" priority="3">
      <formula>"or(B28&lt;$G$6,C28&lt;$G$6,D28&lt;$G$6,E28&lt;$G$6,F28&lt;$G$6,G28&lt;$G$6,H28&lt;$G$6,I28&lt;$G$6,J28&lt;$G$6,K28&lt;$G$6,)"</formula>
    </cfRule>
  </conditionalFormatting>
  <conditionalFormatting sqref="A117">
    <cfRule type="expression" dxfId="185" priority="2">
      <formula>"or(B28&lt;$G$6,C28&lt;$G$6,D28&lt;$G$6,E28&lt;$G$6,F28&lt;$G$6,G28&lt;$G$6,H28&lt;$G$6,I28&lt;$G$6,J28&lt;$G$6,K28&lt;$G$6,)"</formula>
    </cfRule>
  </conditionalFormatting>
  <conditionalFormatting sqref="C8">
    <cfRule type="containsText" dxfId="184"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E385" zoomScale="157" zoomScaleNormal="157" zoomScalePageLayoutView="157" workbookViewId="0">
      <selection activeCell="E385" sqref="A1:XFD1048576"/>
    </sheetView>
  </sheetViews>
  <sheetFormatPr defaultColWidth="9.140625" defaultRowHeight="12.75"/>
  <cols>
    <col min="1" max="1" width="5.140625" style="34" customWidth="1"/>
    <col min="2" max="2" width="2.42578125" style="34" customWidth="1"/>
    <col min="3" max="3" width="2.140625" style="34" customWidth="1"/>
    <col min="4" max="10" width="8.7109375" style="34" customWidth="1"/>
    <col min="11" max="11" width="7.42578125" style="34" customWidth="1"/>
    <col min="12" max="15" width="9.140625" style="34" customWidth="1"/>
    <col min="16" max="16" width="8.7109375" style="34" customWidth="1"/>
    <col min="17" max="17" width="9.140625" style="34" customWidth="1"/>
    <col min="18" max="30" width="9.140625" style="34"/>
    <col min="31" max="32" width="9.140625" style="127"/>
    <col min="33" max="16384" width="9.140625" style="34"/>
  </cols>
  <sheetData>
    <row r="1" spans="1:32" ht="13.9" customHeight="1">
      <c r="A1" s="2446" t="str">
        <f>CONCATENATE("PART EIGHT - THRESHOLD CRITERIA","  -  ",'Part I-Project Information'!$O$6," ",'Part I-Project Information'!$F$34,", ",'Part I-Project Information'!F38,", ",'Part I-Project Information'!J39," County")</f>
        <v>PART EIGHT - THRESHOLD CRITERIA  -  2019-078 Abbington Sound, Kingsland, Camden County</v>
      </c>
      <c r="B1" s="2447"/>
      <c r="C1" s="2447"/>
      <c r="D1" s="2447"/>
      <c r="E1" s="2447"/>
      <c r="F1" s="2447"/>
      <c r="G1" s="2447"/>
      <c r="H1" s="2447"/>
      <c r="I1" s="2447"/>
      <c r="J1" s="2447"/>
      <c r="K1" s="2447"/>
      <c r="L1" s="2447"/>
      <c r="M1" s="2447"/>
      <c r="N1" s="2447"/>
      <c r="O1" s="2447"/>
      <c r="P1" s="2447"/>
      <c r="Q1" s="2447"/>
      <c r="R1" s="2687" t="str">
        <f>'Part I-Project Information'!$B$6</f>
        <v>April 2019 Final</v>
      </c>
      <c r="S1" s="2687"/>
    </row>
    <row r="2" spans="1:32" s="26" customFormat="1" ht="3" customHeight="1">
      <c r="R2" s="2687"/>
      <c r="S2" s="2687"/>
      <c r="AE2" s="116"/>
      <c r="AF2" s="116"/>
    </row>
    <row r="3" spans="1:32" ht="13.5" customHeight="1">
      <c r="A3" s="267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75"/>
      <c r="C3" s="2675"/>
      <c r="D3" s="2675"/>
      <c r="E3" s="2675"/>
      <c r="F3" s="2675"/>
      <c r="G3" s="2675"/>
      <c r="H3" s="267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75"/>
      <c r="J3" s="2675"/>
      <c r="K3" s="2675"/>
      <c r="L3" s="2675"/>
      <c r="M3" s="2675"/>
      <c r="N3" s="2676"/>
      <c r="O3" s="2677" t="s">
        <v>935</v>
      </c>
      <c r="P3" s="2678"/>
      <c r="Q3" s="2188" t="s">
        <v>1843</v>
      </c>
      <c r="R3" s="2687"/>
      <c r="S3" s="2687"/>
    </row>
    <row r="4" spans="1:32" ht="3" customHeight="1">
      <c r="A4" s="2286"/>
      <c r="B4" s="2679"/>
      <c r="C4" s="2679"/>
      <c r="D4" s="2679"/>
      <c r="E4" s="2286"/>
      <c r="F4" s="2286"/>
      <c r="G4" s="2286"/>
      <c r="H4" s="2286"/>
      <c r="I4" s="2286"/>
      <c r="J4" s="2286"/>
      <c r="K4" s="2286"/>
      <c r="L4" s="2286"/>
      <c r="M4" s="2286"/>
      <c r="N4" s="2286"/>
      <c r="P4" s="2286"/>
      <c r="Q4" s="2286"/>
      <c r="R4" s="2687"/>
      <c r="S4" s="2687"/>
    </row>
    <row r="5" spans="1:32" ht="10.9" hidden="1" customHeight="1">
      <c r="A5" s="2286"/>
      <c r="B5" s="2286"/>
      <c r="C5" s="2286"/>
      <c r="D5" s="2286"/>
      <c r="E5" s="2286"/>
      <c r="F5" s="2286"/>
      <c r="G5" s="2286"/>
      <c r="H5" s="2286"/>
      <c r="I5" s="2286"/>
      <c r="J5" s="2286"/>
      <c r="K5" s="2286"/>
      <c r="L5" s="2286"/>
      <c r="M5" s="2286"/>
      <c r="N5" s="2286"/>
      <c r="P5" s="2286"/>
      <c r="Q5" s="2286"/>
      <c r="R5" s="2687"/>
      <c r="S5" s="2687"/>
    </row>
    <row r="6" spans="1:32" ht="17.25" customHeight="1">
      <c r="A6" s="125" t="s">
        <v>567</v>
      </c>
      <c r="J6" s="2682" t="s">
        <v>3841</v>
      </c>
      <c r="K6" s="2682"/>
      <c r="L6" s="2682"/>
      <c r="M6" s="2682"/>
      <c r="N6" s="2682"/>
      <c r="O6" s="2683"/>
      <c r="P6" s="2680"/>
      <c r="Q6" s="2681"/>
      <c r="R6" s="2687"/>
      <c r="S6" s="2687"/>
    </row>
    <row r="7" spans="1:32" ht="12.4" customHeight="1">
      <c r="A7" s="126" t="s">
        <v>3451</v>
      </c>
      <c r="C7" s="127"/>
      <c r="D7" s="127"/>
      <c r="H7" s="1291"/>
      <c r="I7" s="1291"/>
      <c r="J7" s="1291"/>
      <c r="K7" s="1291"/>
      <c r="L7" s="1291"/>
      <c r="M7" s="2286"/>
      <c r="N7" s="2286"/>
    </row>
    <row r="8" spans="1:32" ht="24.4" customHeight="1">
      <c r="A8" s="2684" t="s">
        <v>1408</v>
      </c>
      <c r="B8" s="2685"/>
      <c r="C8" s="2685"/>
      <c r="D8" s="2685"/>
      <c r="E8" s="2685"/>
      <c r="F8" s="2685"/>
      <c r="G8" s="2685"/>
      <c r="H8" s="2685"/>
      <c r="I8" s="2685"/>
      <c r="J8" s="2685"/>
      <c r="K8" s="2685"/>
      <c r="L8" s="2685"/>
      <c r="M8" s="2685"/>
      <c r="N8" s="2685"/>
      <c r="O8" s="2685"/>
      <c r="P8" s="2685"/>
      <c r="Q8" s="2686"/>
      <c r="R8" s="2572" t="s">
        <v>2032</v>
      </c>
      <c r="S8" s="2322"/>
    </row>
    <row r="9" spans="1:32" ht="24.4" customHeight="1">
      <c r="A9" s="2672" t="s">
        <v>226</v>
      </c>
      <c r="B9" s="2673"/>
      <c r="C9" s="2673"/>
      <c r="D9" s="2673"/>
      <c r="E9" s="2673"/>
      <c r="F9" s="2673"/>
      <c r="G9" s="2673"/>
      <c r="H9" s="2673"/>
      <c r="I9" s="2673"/>
      <c r="J9" s="2673"/>
      <c r="K9" s="2673"/>
      <c r="L9" s="2673"/>
      <c r="M9" s="2673"/>
      <c r="N9" s="2673"/>
      <c r="O9" s="2673"/>
      <c r="P9" s="2673"/>
      <c r="Q9" s="2674"/>
      <c r="R9" s="2572"/>
      <c r="S9" s="2322"/>
    </row>
    <row r="10" spans="1:32" ht="24.4" customHeight="1">
      <c r="A10" s="2672" t="s">
        <v>1404</v>
      </c>
      <c r="B10" s="2673"/>
      <c r="C10" s="2673"/>
      <c r="D10" s="2673"/>
      <c r="E10" s="2673"/>
      <c r="F10" s="2673"/>
      <c r="G10" s="2673"/>
      <c r="H10" s="2673"/>
      <c r="I10" s="2673"/>
      <c r="J10" s="2673"/>
      <c r="K10" s="2673"/>
      <c r="L10" s="2673"/>
      <c r="M10" s="2673"/>
      <c r="N10" s="2673"/>
      <c r="O10" s="2673"/>
      <c r="P10" s="2673"/>
      <c r="Q10" s="2674"/>
      <c r="R10" s="2572"/>
      <c r="S10" s="2322"/>
    </row>
    <row r="11" spans="1:32" ht="24.4" customHeight="1">
      <c r="A11" s="2672" t="s">
        <v>1405</v>
      </c>
      <c r="B11" s="2673"/>
      <c r="C11" s="2673"/>
      <c r="D11" s="2673"/>
      <c r="E11" s="2673"/>
      <c r="F11" s="2673"/>
      <c r="G11" s="2673"/>
      <c r="H11" s="2673"/>
      <c r="I11" s="2673"/>
      <c r="J11" s="2673"/>
      <c r="K11" s="2673"/>
      <c r="L11" s="2673"/>
      <c r="M11" s="2673"/>
      <c r="N11" s="2673"/>
      <c r="O11" s="2673"/>
      <c r="P11" s="2673"/>
      <c r="Q11" s="2674"/>
      <c r="R11" s="2572"/>
      <c r="S11" s="2322"/>
    </row>
    <row r="12" spans="1:32" ht="24" customHeight="1">
      <c r="A12" s="2672" t="s">
        <v>1406</v>
      </c>
      <c r="B12" s="2673"/>
      <c r="C12" s="2673"/>
      <c r="D12" s="2673"/>
      <c r="E12" s="2673"/>
      <c r="F12" s="2673"/>
      <c r="G12" s="2673"/>
      <c r="H12" s="2673"/>
      <c r="I12" s="2673"/>
      <c r="J12" s="2673"/>
      <c r="K12" s="2673"/>
      <c r="L12" s="2673"/>
      <c r="M12" s="2673"/>
      <c r="N12" s="2673"/>
      <c r="O12" s="2673"/>
      <c r="P12" s="2673"/>
      <c r="Q12" s="2674"/>
      <c r="R12" s="2255"/>
      <c r="S12" s="2255"/>
    </row>
    <row r="13" spans="1:32" ht="11.25" customHeight="1">
      <c r="A13" s="2672" t="s">
        <v>1407</v>
      </c>
      <c r="B13" s="2673"/>
      <c r="C13" s="2673"/>
      <c r="D13" s="2673"/>
      <c r="E13" s="2673"/>
      <c r="F13" s="2673"/>
      <c r="G13" s="2673"/>
      <c r="H13" s="2673"/>
      <c r="I13" s="2673"/>
      <c r="J13" s="2673"/>
      <c r="K13" s="2673"/>
      <c r="L13" s="2673"/>
      <c r="M13" s="2673"/>
      <c r="N13" s="2673"/>
      <c r="O13" s="2673"/>
      <c r="P13" s="2673"/>
      <c r="Q13" s="2674"/>
      <c r="R13" s="2255"/>
      <c r="S13" s="2255"/>
    </row>
    <row r="14" spans="1:32" ht="11.25" customHeight="1">
      <c r="A14" s="2672" t="s">
        <v>1409</v>
      </c>
      <c r="B14" s="2673"/>
      <c r="C14" s="2673"/>
      <c r="D14" s="2673"/>
      <c r="E14" s="2673"/>
      <c r="F14" s="2673"/>
      <c r="G14" s="2673"/>
      <c r="H14" s="2673"/>
      <c r="I14" s="2673"/>
      <c r="J14" s="2673"/>
      <c r="K14" s="2673"/>
      <c r="L14" s="2673"/>
      <c r="M14" s="2673"/>
      <c r="N14" s="2673"/>
      <c r="O14" s="2673"/>
      <c r="P14" s="2673"/>
      <c r="Q14" s="2674"/>
    </row>
    <row r="15" spans="1:32" ht="11.25" customHeight="1">
      <c r="A15" s="2672" t="s">
        <v>2019</v>
      </c>
      <c r="B15" s="2673"/>
      <c r="C15" s="2673"/>
      <c r="D15" s="2673"/>
      <c r="E15" s="2673"/>
      <c r="F15" s="2673"/>
      <c r="G15" s="2673"/>
      <c r="H15" s="2673"/>
      <c r="I15" s="2673"/>
      <c r="J15" s="2673"/>
      <c r="K15" s="2673"/>
      <c r="L15" s="2673"/>
      <c r="M15" s="2673"/>
      <c r="N15" s="2673"/>
      <c r="O15" s="2673"/>
      <c r="P15" s="2673"/>
      <c r="Q15" s="2674"/>
      <c r="R15" s="2572" t="s">
        <v>2032</v>
      </c>
      <c r="S15" s="2395"/>
    </row>
    <row r="16" spans="1:32" ht="11.25" customHeight="1">
      <c r="A16" s="2672" t="s">
        <v>2020</v>
      </c>
      <c r="B16" s="2673"/>
      <c r="C16" s="2673"/>
      <c r="D16" s="2673"/>
      <c r="E16" s="2673"/>
      <c r="F16" s="2673"/>
      <c r="G16" s="2673"/>
      <c r="H16" s="2673"/>
      <c r="I16" s="2673"/>
      <c r="J16" s="2673"/>
      <c r="K16" s="2673"/>
      <c r="L16" s="2673"/>
      <c r="M16" s="2673"/>
      <c r="N16" s="2673"/>
      <c r="O16" s="2673"/>
      <c r="P16" s="2673"/>
      <c r="Q16" s="2674"/>
      <c r="R16" s="2572"/>
      <c r="S16" s="2395"/>
    </row>
    <row r="17" spans="1:31" ht="11.25" customHeight="1">
      <c r="A17" s="2672" t="s">
        <v>2021</v>
      </c>
      <c r="B17" s="2673"/>
      <c r="C17" s="2673"/>
      <c r="D17" s="2673"/>
      <c r="E17" s="2673"/>
      <c r="F17" s="2673"/>
      <c r="G17" s="2673"/>
      <c r="H17" s="2673"/>
      <c r="I17" s="2673"/>
      <c r="J17" s="2673"/>
      <c r="K17" s="2673"/>
      <c r="L17" s="2673"/>
      <c r="M17" s="2673"/>
      <c r="N17" s="2673"/>
      <c r="O17" s="2673"/>
      <c r="P17" s="2673"/>
      <c r="Q17" s="2674"/>
      <c r="R17" s="2572"/>
      <c r="S17" s="2395"/>
    </row>
    <row r="18" spans="1:31" ht="11.25" customHeight="1">
      <c r="A18" s="2672" t="s">
        <v>2022</v>
      </c>
      <c r="B18" s="2673"/>
      <c r="C18" s="2673"/>
      <c r="D18" s="2673"/>
      <c r="E18" s="2673"/>
      <c r="F18" s="2673"/>
      <c r="G18" s="2673"/>
      <c r="H18" s="2673"/>
      <c r="I18" s="2673"/>
      <c r="J18" s="2673"/>
      <c r="K18" s="2673"/>
      <c r="L18" s="2673"/>
      <c r="M18" s="2673"/>
      <c r="N18" s="2673"/>
      <c r="O18" s="2673"/>
      <c r="P18" s="2673"/>
      <c r="Q18" s="2674"/>
      <c r="R18" s="2572"/>
      <c r="S18" s="2395"/>
    </row>
    <row r="19" spans="1:31" ht="11.25" customHeight="1">
      <c r="A19" s="2672" t="s">
        <v>2023</v>
      </c>
      <c r="B19" s="2673"/>
      <c r="C19" s="2673"/>
      <c r="D19" s="2673"/>
      <c r="E19" s="2673"/>
      <c r="F19" s="2673"/>
      <c r="G19" s="2673"/>
      <c r="H19" s="2673"/>
      <c r="I19" s="2673"/>
      <c r="J19" s="2673"/>
      <c r="K19" s="2673"/>
      <c r="L19" s="2673"/>
      <c r="M19" s="2673"/>
      <c r="N19" s="2673"/>
      <c r="O19" s="2673"/>
      <c r="P19" s="2673"/>
      <c r="Q19" s="2674"/>
      <c r="R19" s="2572"/>
      <c r="S19" s="2395"/>
    </row>
    <row r="20" spans="1:31" ht="11.25" customHeight="1">
      <c r="A20" s="2672" t="s">
        <v>2024</v>
      </c>
      <c r="B20" s="2673"/>
      <c r="C20" s="2673"/>
      <c r="D20" s="2673"/>
      <c r="E20" s="2673"/>
      <c r="F20" s="2673"/>
      <c r="G20" s="2673"/>
      <c r="H20" s="2673"/>
      <c r="I20" s="2673"/>
      <c r="J20" s="2673"/>
      <c r="K20" s="2673"/>
      <c r="L20" s="2673"/>
      <c r="M20" s="2673"/>
      <c r="N20" s="2673"/>
      <c r="O20" s="2673"/>
      <c r="P20" s="2673"/>
      <c r="Q20" s="2674"/>
      <c r="R20" s="2572"/>
      <c r="S20" s="2395"/>
    </row>
    <row r="21" spans="1:31" ht="11.25" customHeight="1">
      <c r="A21" s="2672" t="s">
        <v>2025</v>
      </c>
      <c r="B21" s="2673"/>
      <c r="C21" s="2673"/>
      <c r="D21" s="2673"/>
      <c r="E21" s="2673"/>
      <c r="F21" s="2673"/>
      <c r="G21" s="2673"/>
      <c r="H21" s="2673"/>
      <c r="I21" s="2673"/>
      <c r="J21" s="2673"/>
      <c r="K21" s="2673"/>
      <c r="L21" s="2673"/>
      <c r="M21" s="2673"/>
      <c r="N21" s="2673"/>
      <c r="O21" s="2673"/>
      <c r="P21" s="2673"/>
      <c r="Q21" s="2674"/>
    </row>
    <row r="22" spans="1:31" ht="11.25" customHeight="1">
      <c r="A22" s="2672" t="s">
        <v>2026</v>
      </c>
      <c r="B22" s="2673"/>
      <c r="C22" s="2673"/>
      <c r="D22" s="2673"/>
      <c r="E22" s="2673"/>
      <c r="F22" s="2673"/>
      <c r="G22" s="2673"/>
      <c r="H22" s="2673"/>
      <c r="I22" s="2673"/>
      <c r="J22" s="2673"/>
      <c r="K22" s="2673"/>
      <c r="L22" s="2673"/>
      <c r="M22" s="2673"/>
      <c r="N22" s="2673"/>
      <c r="O22" s="2673"/>
      <c r="P22" s="2673"/>
      <c r="Q22" s="2674"/>
      <c r="R22" s="2572" t="s">
        <v>2032</v>
      </c>
      <c r="S22" s="2395"/>
    </row>
    <row r="23" spans="1:31" ht="11.25" customHeight="1">
      <c r="A23" s="2672" t="s">
        <v>2027</v>
      </c>
      <c r="B23" s="2673"/>
      <c r="C23" s="2673"/>
      <c r="D23" s="2673"/>
      <c r="E23" s="2673"/>
      <c r="F23" s="2673"/>
      <c r="G23" s="2673"/>
      <c r="H23" s="2673"/>
      <c r="I23" s="2673"/>
      <c r="J23" s="2673"/>
      <c r="K23" s="2673"/>
      <c r="L23" s="2673"/>
      <c r="M23" s="2673"/>
      <c r="N23" s="2673"/>
      <c r="O23" s="2673"/>
      <c r="P23" s="2673"/>
      <c r="Q23" s="2674"/>
      <c r="R23" s="2572"/>
      <c r="S23" s="2395"/>
    </row>
    <row r="24" spans="1:31" ht="11.25" customHeight="1">
      <c r="A24" s="2672" t="s">
        <v>2028</v>
      </c>
      <c r="B24" s="2673"/>
      <c r="C24" s="2673"/>
      <c r="D24" s="2673"/>
      <c r="E24" s="2673"/>
      <c r="F24" s="2673"/>
      <c r="G24" s="2673"/>
      <c r="H24" s="2673"/>
      <c r="I24" s="2673"/>
      <c r="J24" s="2673"/>
      <c r="K24" s="2673"/>
      <c r="L24" s="2673"/>
      <c r="M24" s="2673"/>
      <c r="N24" s="2673"/>
      <c r="O24" s="2673"/>
      <c r="P24" s="2673"/>
      <c r="Q24" s="2674"/>
      <c r="R24" s="2572"/>
      <c r="S24" s="2395"/>
    </row>
    <row r="25" spans="1:31" ht="11.25" customHeight="1">
      <c r="A25" s="2672" t="s">
        <v>2029</v>
      </c>
      <c r="B25" s="2673"/>
      <c r="C25" s="2673"/>
      <c r="D25" s="2673"/>
      <c r="E25" s="2673"/>
      <c r="F25" s="2673"/>
      <c r="G25" s="2673"/>
      <c r="H25" s="2673"/>
      <c r="I25" s="2673"/>
      <c r="J25" s="2673"/>
      <c r="K25" s="2673"/>
      <c r="L25" s="2673"/>
      <c r="M25" s="2673"/>
      <c r="N25" s="2673"/>
      <c r="O25" s="2673"/>
      <c r="P25" s="2673"/>
      <c r="Q25" s="2674"/>
      <c r="R25" s="2572"/>
      <c r="S25" s="2395"/>
    </row>
    <row r="26" spans="1:31" ht="11.25" customHeight="1">
      <c r="A26" s="2672" t="s">
        <v>2030</v>
      </c>
      <c r="B26" s="2673"/>
      <c r="C26" s="2673"/>
      <c r="D26" s="2673"/>
      <c r="E26" s="2673"/>
      <c r="F26" s="2673"/>
      <c r="G26" s="2673"/>
      <c r="H26" s="2673"/>
      <c r="I26" s="2673"/>
      <c r="J26" s="2673"/>
      <c r="K26" s="2673"/>
      <c r="L26" s="2673"/>
      <c r="M26" s="2673"/>
      <c r="N26" s="2673"/>
      <c r="O26" s="2673"/>
      <c r="P26" s="2673"/>
      <c r="Q26" s="2674"/>
      <c r="R26" s="2572"/>
      <c r="S26" s="2395"/>
    </row>
    <row r="27" spans="1:31" ht="11.25" customHeight="1">
      <c r="A27" s="2695" t="s">
        <v>2031</v>
      </c>
      <c r="B27" s="2696"/>
      <c r="C27" s="2696"/>
      <c r="D27" s="2696"/>
      <c r="E27" s="2696"/>
      <c r="F27" s="2696"/>
      <c r="G27" s="2696"/>
      <c r="H27" s="2696"/>
      <c r="I27" s="2696"/>
      <c r="J27" s="2696"/>
      <c r="K27" s="2696"/>
      <c r="L27" s="2696"/>
      <c r="M27" s="2696"/>
      <c r="N27" s="2696"/>
      <c r="O27" s="2696"/>
      <c r="P27" s="2696"/>
      <c r="Q27" s="2697"/>
      <c r="R27" s="2572"/>
      <c r="S27" s="2395"/>
    </row>
    <row r="28" spans="1:31" ht="6" customHeight="1"/>
    <row r="29" spans="1:31" ht="13.9" customHeight="1">
      <c r="A29" s="128" t="s">
        <v>616</v>
      </c>
      <c r="B29" s="129" t="s">
        <v>2652</v>
      </c>
      <c r="C29" s="130"/>
      <c r="D29" s="86"/>
      <c r="E29" s="86"/>
      <c r="F29" s="86"/>
      <c r="G29" s="86"/>
      <c r="I29" s="2300"/>
      <c r="J29" s="2300"/>
      <c r="K29" s="2300"/>
      <c r="L29" s="2286"/>
      <c r="M29" s="2286"/>
      <c r="O29" s="131" t="s">
        <v>1868</v>
      </c>
      <c r="P29" s="2624"/>
      <c r="Q29" s="2625"/>
    </row>
    <row r="30" spans="1:31" ht="3" customHeight="1"/>
    <row r="31" spans="1:31" ht="11.25" customHeight="1">
      <c r="B31" s="66" t="s">
        <v>3750</v>
      </c>
      <c r="C31" s="66"/>
      <c r="D31" s="66"/>
      <c r="E31" s="66"/>
      <c r="F31" s="66"/>
      <c r="G31" s="2300"/>
      <c r="H31" s="2300"/>
      <c r="I31" s="2300"/>
      <c r="J31" s="2300"/>
      <c r="K31" s="2286"/>
      <c r="L31" s="2286"/>
      <c r="M31" s="2286"/>
      <c r="N31" s="2286"/>
      <c r="O31" s="2286"/>
      <c r="P31" s="896"/>
      <c r="S31" s="157"/>
      <c r="T31" s="157"/>
    </row>
    <row r="32" spans="1:31" ht="108.75" customHeight="1">
      <c r="A32" s="3885" t="s">
        <v>5308</v>
      </c>
      <c r="B32" s="3886"/>
      <c r="C32" s="3886"/>
      <c r="D32" s="3886"/>
      <c r="E32" s="3886"/>
      <c r="F32" s="3886"/>
      <c r="G32" s="3886"/>
      <c r="H32" s="3886"/>
      <c r="I32" s="3886"/>
      <c r="J32" s="3886"/>
      <c r="K32" s="3886"/>
      <c r="L32" s="3886"/>
      <c r="M32" s="3886"/>
      <c r="N32" s="3886"/>
      <c r="O32" s="3886"/>
      <c r="P32" s="3886"/>
      <c r="Q32" s="3887"/>
      <c r="R32" s="445" t="s">
        <v>1254</v>
      </c>
      <c r="S32" s="446"/>
      <c r="T32" s="157"/>
      <c r="U32" s="135"/>
      <c r="V32" s="135"/>
      <c r="W32" s="135"/>
      <c r="X32" s="135"/>
      <c r="Y32" s="135"/>
      <c r="Z32" s="135"/>
      <c r="AA32" s="135"/>
      <c r="AB32" s="135"/>
      <c r="AC32" s="135"/>
      <c r="AD32" s="135"/>
      <c r="AE32" s="465"/>
    </row>
    <row r="33" spans="1:295" ht="11.25" customHeight="1">
      <c r="B33" s="136" t="s">
        <v>1867</v>
      </c>
      <c r="C33" s="137"/>
      <c r="D33" s="2297"/>
      <c r="E33" s="2297"/>
      <c r="F33" s="2297"/>
      <c r="G33" s="2297"/>
      <c r="H33" s="2297"/>
      <c r="I33" s="2297"/>
      <c r="J33" s="2297"/>
      <c r="K33" s="2297"/>
      <c r="L33" s="2297"/>
      <c r="M33" s="2297"/>
      <c r="N33" s="2297"/>
      <c r="O33" s="2297"/>
      <c r="P33" s="2297"/>
    </row>
    <row r="34" spans="1:295" ht="36" customHeight="1">
      <c r="A34" s="2698"/>
      <c r="B34" s="2698"/>
      <c r="C34" s="2698"/>
      <c r="D34" s="2698"/>
      <c r="E34" s="2698"/>
      <c r="F34" s="2698"/>
      <c r="G34" s="2698"/>
      <c r="H34" s="2698"/>
      <c r="I34" s="2698"/>
      <c r="J34" s="2698"/>
      <c r="K34" s="2698"/>
      <c r="L34" s="2698"/>
      <c r="M34" s="2698"/>
      <c r="N34" s="2698"/>
      <c r="O34" s="2698"/>
      <c r="P34" s="2698"/>
      <c r="Q34" s="2698"/>
      <c r="R34" s="445" t="s">
        <v>1254</v>
      </c>
      <c r="S34" s="446"/>
    </row>
    <row r="35" spans="1:295" ht="3" customHeight="1">
      <c r="B35" s="2300"/>
      <c r="C35" s="2297"/>
      <c r="D35" s="2297"/>
      <c r="E35" s="2297"/>
      <c r="F35" s="2297"/>
      <c r="G35" s="2297"/>
      <c r="H35" s="2297"/>
      <c r="I35" s="2297"/>
      <c r="J35" s="2297"/>
      <c r="K35" s="2297"/>
      <c r="L35" s="2297"/>
      <c r="M35" s="2297"/>
      <c r="N35" s="2297"/>
      <c r="O35" s="2297"/>
      <c r="P35" s="2297"/>
      <c r="Q35" s="2286"/>
    </row>
    <row r="36" spans="1:295" ht="12.75" customHeight="1">
      <c r="A36" s="2283" t="s">
        <v>740</v>
      </c>
      <c r="B36" s="3" t="s">
        <v>2712</v>
      </c>
      <c r="C36" s="3"/>
      <c r="D36" s="3"/>
      <c r="E36" s="2297"/>
      <c r="G36" s="611"/>
      <c r="H36" s="611"/>
      <c r="I36" s="611"/>
      <c r="J36" s="41"/>
      <c r="L36" s="612"/>
      <c r="M36" s="612"/>
      <c r="N36" s="612"/>
      <c r="O36" s="131" t="s">
        <v>1868</v>
      </c>
      <c r="P36" s="2624"/>
      <c r="Q36" s="2625"/>
    </row>
    <row r="37" spans="1:295" ht="11.25" customHeight="1">
      <c r="A37" s="2628"/>
      <c r="B37" s="2628"/>
      <c r="C37" s="2628"/>
      <c r="D37" s="2628"/>
      <c r="E37" s="2628"/>
      <c r="F37" s="2192"/>
      <c r="G37" s="2699" t="s">
        <v>2716</v>
      </c>
      <c r="H37" s="2700"/>
      <c r="I37" s="615"/>
      <c r="J37" s="41"/>
      <c r="K37" s="2701" t="s">
        <v>3632</v>
      </c>
      <c r="L37" s="2702"/>
      <c r="M37" s="2702"/>
      <c r="N37" s="2703"/>
    </row>
    <row r="38" spans="1:295" ht="11.25" customHeight="1">
      <c r="A38" s="2628"/>
      <c r="B38" s="2628"/>
      <c r="C38" s="2628"/>
      <c r="D38" s="2628"/>
      <c r="E38" s="2628"/>
      <c r="F38" s="2192"/>
      <c r="G38" s="2704" t="s">
        <v>346</v>
      </c>
      <c r="H38" s="2705"/>
      <c r="I38" s="615"/>
      <c r="J38" s="41"/>
      <c r="K38" s="2706" t="s">
        <v>3633</v>
      </c>
      <c r="L38" s="2707"/>
      <c r="M38" s="2707"/>
      <c r="N38" s="2708"/>
      <c r="P38" s="519" t="s">
        <v>2736</v>
      </c>
      <c r="Q38" s="3888" t="s">
        <v>2990</v>
      </c>
    </row>
    <row r="39" spans="1:295" ht="4.5" customHeight="1">
      <c r="A39" s="2192"/>
      <c r="B39" s="2192"/>
      <c r="C39" s="2192"/>
      <c r="D39" s="2192"/>
      <c r="E39" s="2192"/>
      <c r="F39" s="2192"/>
      <c r="G39" s="214"/>
      <c r="H39" s="214"/>
      <c r="I39" s="214"/>
      <c r="J39" s="41"/>
      <c r="K39" s="2629"/>
      <c r="L39" s="2629"/>
      <c r="M39" s="2629"/>
      <c r="N39" s="2629"/>
    </row>
    <row r="40" spans="1:295" s="82" customFormat="1" ht="10.5" customHeight="1">
      <c r="D40" s="616" t="s">
        <v>2715</v>
      </c>
      <c r="E40" s="34"/>
      <c r="F40" s="617" t="s">
        <v>3453</v>
      </c>
      <c r="G40" s="2709" t="s">
        <v>5036</v>
      </c>
      <c r="H40" s="2709"/>
      <c r="I40" s="2709"/>
      <c r="J40" s="34"/>
      <c r="K40" s="617" t="s">
        <v>3453</v>
      </c>
      <c r="L40" s="2709" t="s">
        <v>5035</v>
      </c>
      <c r="M40" s="2709"/>
      <c r="N40" s="270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94" t="s">
        <v>3358</v>
      </c>
      <c r="B41" s="2694"/>
      <c r="C41" s="2694"/>
      <c r="D41" s="852" t="s">
        <v>568</v>
      </c>
      <c r="E41" s="853">
        <v>0</v>
      </c>
      <c r="F41" s="2190"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91" t="str">
        <f>IF(F41="","",F41*G41)</f>
        <v/>
      </c>
      <c r="J41" s="41"/>
      <c r="K41" s="2190"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91" t="str">
        <f>IF(K41="","",K41*L41)</f>
        <v/>
      </c>
      <c r="O41" s="2297"/>
      <c r="P41" s="2716" t="s">
        <v>3887</v>
      </c>
      <c r="Q41" s="271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94"/>
      <c r="B42" s="2694"/>
      <c r="C42" s="2694"/>
      <c r="D42" s="852" t="s">
        <v>2441</v>
      </c>
      <c r="E42" s="853">
        <v>1</v>
      </c>
      <c r="F42" s="2190"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91" t="str">
        <f>IF(F42="","",F42*G42)</f>
        <v/>
      </c>
      <c r="J42" s="41"/>
      <c r="K42" s="2190"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91" t="str">
        <f>IF(K42="","",K42*L42)</f>
        <v/>
      </c>
      <c r="O42" s="2297"/>
      <c r="P42" s="2710" t="str">
        <f>IF('Part I-Project Information'!$F$38="","",VLOOKUP('Part I-Project Information'!$J$39,'DCA Underwriting Assumptions'!$G$158:$N$317,8,FALSE))</f>
        <v>Valdosta</v>
      </c>
      <c r="Q42" s="271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94"/>
      <c r="B43" s="2694"/>
      <c r="C43" s="2694"/>
      <c r="D43" s="852" t="s">
        <v>2442</v>
      </c>
      <c r="E43" s="853">
        <v>2</v>
      </c>
      <c r="F43" s="2190"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91" t="str">
        <f t="shared" ref="I43:I45" si="0">IF(F43="","",F43*G43)</f>
        <v/>
      </c>
      <c r="J43" s="41"/>
      <c r="K43" s="2190"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91" t="str">
        <f t="shared" ref="N43:N45" si="1">IF(K43="","",K43*L43)</f>
        <v/>
      </c>
      <c r="O43" s="2297"/>
      <c r="P43" s="2712"/>
      <c r="Q43" s="271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94"/>
      <c r="B44" s="2694"/>
      <c r="C44" s="2694"/>
      <c r="D44" s="852" t="s">
        <v>2443</v>
      </c>
      <c r="E44" s="853">
        <v>3</v>
      </c>
      <c r="F44" s="2190"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91" t="str">
        <f t="shared" si="0"/>
        <v/>
      </c>
      <c r="J44" s="41"/>
      <c r="K44" s="2190"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91" t="str">
        <f t="shared" si="1"/>
        <v/>
      </c>
      <c r="O44" s="2297"/>
      <c r="P44" s="2626" t="s">
        <v>5034</v>
      </c>
      <c r="Q44" s="262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0"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91" t="str">
        <f t="shared" si="0"/>
        <v/>
      </c>
      <c r="J45" s="41"/>
      <c r="K45" s="2190"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91" t="str">
        <f t="shared" si="1"/>
        <v/>
      </c>
      <c r="O45" s="2297"/>
      <c r="P45" s="2737">
        <f ca="1">'Part IV-A-Uses of Funds'!$G$132</f>
        <v>15903809.932432491</v>
      </c>
      <c r="Q45" s="2738"/>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297"/>
      <c r="P46" s="2739"/>
      <c r="Q46" s="2740"/>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4"/>
      <c r="J47" s="127"/>
      <c r="K47" s="619"/>
      <c r="L47" s="127"/>
      <c r="M47" s="2297"/>
      <c r="N47" s="2304"/>
      <c r="O47" s="2297"/>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94" t="s">
        <v>3353</v>
      </c>
      <c r="B48" s="2694"/>
      <c r="C48" s="2694"/>
      <c r="D48" s="852" t="s">
        <v>568</v>
      </c>
      <c r="E48" s="857">
        <v>0</v>
      </c>
      <c r="F48" s="2190"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91" t="str">
        <f>IF(F48="","",F48*G48)</f>
        <v/>
      </c>
      <c r="J48" s="41"/>
      <c r="K48" s="2190"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91" t="str">
        <f>IF(K48="","",K48*L48)</f>
        <v/>
      </c>
      <c r="P48" s="2189"/>
      <c r="Q48" s="2189"/>
      <c r="S48" s="2717" t="s">
        <v>4739</v>
      </c>
      <c r="T48" s="2718"/>
      <c r="U48" s="2718"/>
      <c r="V48" s="271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94"/>
      <c r="B49" s="2694"/>
      <c r="C49" s="2694"/>
      <c r="D49" s="852" t="s">
        <v>2441</v>
      </c>
      <c r="E49" s="853">
        <v>1</v>
      </c>
      <c r="F49" s="2190"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91" t="str">
        <f>IF(F49="","",F49*G49)</f>
        <v/>
      </c>
      <c r="J49" s="41"/>
      <c r="K49" s="2190"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91" t="str">
        <f>IF(K49="","",K49*L49)</f>
        <v/>
      </c>
      <c r="P49" s="2464" t="s">
        <v>4084</v>
      </c>
      <c r="Q49" s="2464"/>
      <c r="S49" s="2720"/>
      <c r="T49" s="2721"/>
      <c r="U49" s="2721"/>
      <c r="V49" s="272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94"/>
      <c r="B50" s="2694"/>
      <c r="C50" s="2694"/>
      <c r="D50" s="852" t="s">
        <v>2442</v>
      </c>
      <c r="E50" s="853">
        <v>2</v>
      </c>
      <c r="F50" s="2190"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91" t="str">
        <f t="shared" ref="I50:I52" si="2">IF(F50="","",F50*G50)</f>
        <v/>
      </c>
      <c r="J50" s="41"/>
      <c r="K50" s="2190"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91" t="str">
        <f t="shared" ref="N50:N52" si="3">IF(K50="","",K50*L50)</f>
        <v/>
      </c>
      <c r="O50" s="564"/>
      <c r="P50" s="2726"/>
      <c r="Q50" s="2727"/>
      <c r="R50" s="407"/>
      <c r="S50" s="2720"/>
      <c r="T50" s="2721"/>
      <c r="U50" s="2721"/>
      <c r="V50" s="272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0"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91" t="str">
        <f t="shared" si="2"/>
        <v/>
      </c>
      <c r="J51" s="41"/>
      <c r="K51" s="2190"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91" t="str">
        <f t="shared" si="3"/>
        <v/>
      </c>
      <c r="O51" s="564"/>
      <c r="P51" s="2728"/>
      <c r="Q51" s="2729"/>
      <c r="S51" s="2720"/>
      <c r="T51" s="2721"/>
      <c r="U51" s="2721"/>
      <c r="V51" s="272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0"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91" t="str">
        <f t="shared" si="2"/>
        <v/>
      </c>
      <c r="J52" s="41"/>
      <c r="K52" s="2190"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91" t="str">
        <f t="shared" si="3"/>
        <v/>
      </c>
      <c r="O52" s="564"/>
      <c r="P52" s="2736" t="s">
        <v>3627</v>
      </c>
      <c r="Q52" s="2736"/>
      <c r="S52" s="2720"/>
      <c r="T52" s="2721"/>
      <c r="U52" s="2721"/>
      <c r="V52" s="272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2720"/>
      <c r="T53" s="2721"/>
      <c r="U53" s="2721"/>
      <c r="V53" s="272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4"/>
      <c r="J54" s="34"/>
      <c r="K54" s="619"/>
      <c r="L54" s="34"/>
      <c r="M54" s="2297"/>
      <c r="N54" s="2304"/>
      <c r="O54" s="564"/>
      <c r="R54" s="407"/>
      <c r="S54" s="2720"/>
      <c r="T54" s="2721"/>
      <c r="U54" s="2721"/>
      <c r="V54" s="272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0"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91" t="str">
        <f>IF(F55="","",F55*G55)</f>
        <v/>
      </c>
      <c r="J55" s="41"/>
      <c r="K55" s="2190"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91" t="str">
        <f>IF(K55="","",K55*L55)</f>
        <v/>
      </c>
      <c r="O55" s="564"/>
      <c r="P55" s="1100">
        <f>'Part IX Scoring Criteria'!O420</f>
        <v>0</v>
      </c>
      <c r="Q55" s="1100">
        <f>'Part IX Scoring Criteria'!P420</f>
        <v>0</v>
      </c>
      <c r="R55" s="407"/>
      <c r="S55" s="2720"/>
      <c r="T55" s="2721"/>
      <c r="U55" s="2721"/>
      <c r="V55" s="272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0">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12 units = </v>
      </c>
      <c r="I56" s="2191">
        <f>IF(F56="","",F56*G56)</f>
        <v>1626528</v>
      </c>
      <c r="J56" s="41"/>
      <c r="K56" s="2190"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91" t="str">
        <f>IF(K56="","",K56*L56)</f>
        <v/>
      </c>
      <c r="P56" s="2736" t="s">
        <v>3628</v>
      </c>
      <c r="Q56" s="2736"/>
      <c r="S56" s="2720"/>
      <c r="T56" s="2721"/>
      <c r="U56" s="2721"/>
      <c r="V56" s="272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0">
        <f>IF('Part VI-Revenues &amp; Expenses'!$L$139 =0,"",'Part VI-Revenues &amp; Expenses'!$L$139)</f>
        <v>36</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36 units = </v>
      </c>
      <c r="I57" s="2191">
        <f t="shared" ref="I57:I59" si="4">IF(F57="","",F57*G57)</f>
        <v>6168852</v>
      </c>
      <c r="J57" s="41"/>
      <c r="K57" s="2190"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91" t="str">
        <f t="shared" ref="N57:N59" si="5">IF(K57="","",K57*L57)</f>
        <v/>
      </c>
      <c r="P57" s="1101" t="s">
        <v>3246</v>
      </c>
      <c r="Q57" s="1101" t="s">
        <v>256</v>
      </c>
      <c r="S57" s="2720"/>
      <c r="T57" s="2721"/>
      <c r="U57" s="2721"/>
      <c r="V57" s="272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0">
        <f>IF('Part VI-Revenues &amp; Expenses'!$M$139 =0,"",'Part VI-Revenues &amp; Expenses'!$M$139)</f>
        <v>36</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36 units = </v>
      </c>
      <c r="I58" s="2191">
        <f t="shared" si="4"/>
        <v>8120592</v>
      </c>
      <c r="J58" s="41"/>
      <c r="K58" s="2190"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91" t="str">
        <f t="shared" si="5"/>
        <v/>
      </c>
      <c r="O58" s="564"/>
      <c r="P58" s="1100">
        <f>'Part IX Scoring Criteria'!O71</f>
        <v>2</v>
      </c>
      <c r="Q58" s="1100">
        <f>'Part IX Scoring Criteria'!P71</f>
        <v>0</v>
      </c>
      <c r="S58" s="2723"/>
      <c r="T58" s="2724"/>
      <c r="U58" s="2724"/>
      <c r="V58" s="272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0"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91" t="str">
        <f t="shared" si="4"/>
        <v/>
      </c>
      <c r="J59" s="41"/>
      <c r="K59" s="2190"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91" t="str">
        <f t="shared" si="5"/>
        <v/>
      </c>
      <c r="O59" s="564"/>
      <c r="P59" s="2688" t="s">
        <v>2771</v>
      </c>
      <c r="Q59" s="268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84</v>
      </c>
      <c r="G60" s="618"/>
      <c r="H60" s="1094"/>
      <c r="I60" s="1095">
        <f>SUM(I55:I59)</f>
        <v>15915972</v>
      </c>
      <c r="J60" s="1096"/>
      <c r="K60" s="1093">
        <f>SUM(K55:K59)</f>
        <v>0</v>
      </c>
      <c r="L60" s="1096"/>
      <c r="M60" s="1094"/>
      <c r="N60" s="1095">
        <f>SUM(N55:N59)</f>
        <v>0</v>
      </c>
      <c r="O60" s="564"/>
      <c r="P60" s="2688"/>
      <c r="Q60" s="268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4"/>
      <c r="J61" s="34"/>
      <c r="K61" s="619"/>
      <c r="L61" s="34"/>
      <c r="M61" s="2297"/>
      <c r="N61" s="2304"/>
      <c r="O61" s="564"/>
      <c r="P61" s="2688"/>
      <c r="Q61" s="268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0"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91" t="str">
        <f>IF(F62="","",F62*G62)</f>
        <v/>
      </c>
      <c r="J62" s="41"/>
      <c r="K62" s="2190"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91" t="str">
        <f>IF(K62="","",K62*L62)</f>
        <v/>
      </c>
      <c r="O62" s="564"/>
      <c r="P62" s="2689"/>
      <c r="Q62" s="268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0"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units = </v>
      </c>
      <c r="I63" s="2191" t="str">
        <f>IF(F63="","",F63*G63)</f>
        <v/>
      </c>
      <c r="J63" s="41"/>
      <c r="K63" s="2190"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91" t="str">
        <f>IF(K63="","",K63*L63)</f>
        <v/>
      </c>
      <c r="O63" s="564"/>
      <c r="P63" s="2690">
        <f>IF(P50&gt;1,P50, IF(OR('Part IX Scoring Criteria'!$O$71='Part IX Scoring Criteria'!$M$71,AND('Part IV-A-Uses of Funds'!$T$165="Yes",'Part IX Scoring Criteria'!$O$420&gt;0)),H69+M69,H69))</f>
        <v>15915972</v>
      </c>
      <c r="Q63" s="2691"/>
      <c r="R63" s="2733"/>
      <c r="S63" s="2734"/>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0"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units = </v>
      </c>
      <c r="I64" s="2191" t="str">
        <f t="shared" ref="I64:I66" si="6">IF(F64="","",F64*G64)</f>
        <v/>
      </c>
      <c r="J64" s="41"/>
      <c r="K64" s="2190"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91" t="str">
        <f t="shared" ref="N64:N66" si="7">IF(K64="","",K64*L64)</f>
        <v/>
      </c>
      <c r="P64" s="2692"/>
      <c r="Q64" s="2693"/>
      <c r="R64" s="2733"/>
      <c r="S64" s="2734"/>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0"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units = </v>
      </c>
      <c r="I65" s="2191" t="str">
        <f t="shared" si="6"/>
        <v/>
      </c>
      <c r="J65" s="41"/>
      <c r="K65" s="2190"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91" t="str">
        <f t="shared" si="7"/>
        <v/>
      </c>
      <c r="P65" s="2730" t="s">
        <v>4236</v>
      </c>
      <c r="Q65" s="2730"/>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0"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91" t="str">
        <f t="shared" si="6"/>
        <v/>
      </c>
      <c r="J66" s="41"/>
      <c r="K66" s="2190"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91" t="str">
        <f t="shared" si="7"/>
        <v/>
      </c>
      <c r="O66" s="564"/>
      <c r="P66" s="2731"/>
      <c r="Q66" s="2731"/>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0</v>
      </c>
      <c r="G67" s="618"/>
      <c r="H67" s="1094"/>
      <c r="I67" s="1097">
        <f>SUM(I62:I66)</f>
        <v>0</v>
      </c>
      <c r="J67" s="1096"/>
      <c r="K67" s="1093">
        <f>SUM(K62:K66)</f>
        <v>0</v>
      </c>
      <c r="L67" s="1096"/>
      <c r="M67" s="1094"/>
      <c r="N67" s="1097">
        <f>SUM(N62:N66)</f>
        <v>0</v>
      </c>
      <c r="O67" s="564"/>
      <c r="P67" s="2731"/>
      <c r="Q67" s="2731"/>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9"/>
      <c r="O68" s="564"/>
      <c r="P68" s="2731"/>
      <c r="Q68" s="2731"/>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84</v>
      </c>
      <c r="G69" s="331"/>
      <c r="H69" s="2735">
        <f>I46+I53+I60+I67</f>
        <v>15915972</v>
      </c>
      <c r="I69" s="2735"/>
      <c r="J69" s="2735"/>
      <c r="K69" s="609">
        <f>K46+K53+K60+K67</f>
        <v>0</v>
      </c>
      <c r="L69" s="610"/>
      <c r="M69" s="2735">
        <f>N46+N53+N60+N67</f>
        <v>0</v>
      </c>
      <c r="N69" s="2735"/>
      <c r="O69" s="2735"/>
      <c r="P69" s="2731"/>
      <c r="Q69" s="2731"/>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0"/>
      <c r="J70" s="2300"/>
      <c r="K70" s="136" t="s">
        <v>1867</v>
      </c>
      <c r="L70" s="2286"/>
      <c r="M70" s="2286"/>
      <c r="N70" s="2286"/>
      <c r="O70" s="2286"/>
      <c r="P70" s="2732"/>
      <c r="Q70" s="2732"/>
    </row>
    <row r="71" spans="1:295" ht="43.9" customHeight="1">
      <c r="A71" s="3885" t="s">
        <v>5309</v>
      </c>
      <c r="B71" s="3886"/>
      <c r="C71" s="3886"/>
      <c r="D71" s="3886"/>
      <c r="E71" s="3886"/>
      <c r="F71" s="3886"/>
      <c r="G71" s="3886"/>
      <c r="H71" s="3886"/>
      <c r="I71" s="3886"/>
      <c r="J71" s="3887"/>
      <c r="K71" s="2621"/>
      <c r="L71" s="2622"/>
      <c r="M71" s="2622"/>
      <c r="N71" s="2622"/>
      <c r="O71" s="2622"/>
      <c r="P71" s="2622"/>
      <c r="Q71" s="2623"/>
      <c r="R71" s="445" t="s">
        <v>1254</v>
      </c>
      <c r="U71" s="135"/>
      <c r="V71" s="135"/>
      <c r="W71" s="135"/>
      <c r="X71" s="135"/>
      <c r="Y71" s="135"/>
      <c r="Z71" s="135"/>
      <c r="AA71" s="135"/>
      <c r="AB71" s="135"/>
      <c r="AC71" s="135"/>
      <c r="AD71" s="135"/>
      <c r="AE71" s="465"/>
    </row>
    <row r="72" spans="1:295" ht="3" customHeight="1">
      <c r="B72" s="2300"/>
      <c r="C72" s="2297"/>
      <c r="D72" s="2297"/>
      <c r="E72" s="2297"/>
      <c r="F72" s="2297"/>
      <c r="G72" s="2297"/>
      <c r="H72" s="2297"/>
      <c r="I72" s="2297"/>
      <c r="J72" s="2297"/>
      <c r="K72" s="2297"/>
      <c r="L72" s="2297"/>
      <c r="M72" s="2297"/>
      <c r="N72" s="2297"/>
      <c r="O72" s="2297"/>
      <c r="P72" s="2297"/>
      <c r="Q72" s="2286"/>
    </row>
    <row r="73" spans="1:295" ht="12.75" customHeight="1">
      <c r="A73" s="2283" t="s">
        <v>742</v>
      </c>
      <c r="B73" s="3" t="s">
        <v>1191</v>
      </c>
      <c r="C73" s="3"/>
      <c r="D73" s="3"/>
      <c r="E73" s="2297"/>
      <c r="F73" s="2297"/>
      <c r="G73" s="139" t="s">
        <v>99</v>
      </c>
      <c r="H73" s="2297"/>
      <c r="J73" s="2741" t="str">
        <f>'Part I-Project Information'!$H$82</f>
        <v>Family</v>
      </c>
      <c r="K73" s="2741"/>
      <c r="L73" s="2741"/>
      <c r="O73" s="131" t="s">
        <v>1868</v>
      </c>
      <c r="P73" s="2624"/>
      <c r="Q73" s="2625"/>
    </row>
    <row r="74" spans="1:295" ht="10.5" customHeight="1">
      <c r="B74" s="95" t="s">
        <v>3750</v>
      </c>
      <c r="D74" s="95"/>
      <c r="E74" s="95"/>
      <c r="F74" s="95"/>
      <c r="G74" s="95"/>
      <c r="H74" s="39"/>
      <c r="I74" s="2300"/>
      <c r="J74" s="2300"/>
      <c r="K74" s="136" t="s">
        <v>1867</v>
      </c>
      <c r="L74" s="2286"/>
      <c r="M74" s="2286"/>
      <c r="N74" s="2286"/>
      <c r="O74" s="2286"/>
      <c r="P74" s="2286"/>
      <c r="Q74" s="896"/>
    </row>
    <row r="75" spans="1:295" ht="10.5" customHeight="1">
      <c r="A75" s="3885" t="s">
        <v>5182</v>
      </c>
      <c r="B75" s="3886"/>
      <c r="C75" s="3886"/>
      <c r="D75" s="3886"/>
      <c r="E75" s="3886"/>
      <c r="F75" s="3886"/>
      <c r="G75" s="3886"/>
      <c r="H75" s="3886"/>
      <c r="I75" s="3886"/>
      <c r="J75" s="3887"/>
      <c r="K75" s="2621"/>
      <c r="L75" s="2622"/>
      <c r="M75" s="2622"/>
      <c r="N75" s="2622"/>
      <c r="O75" s="2622"/>
      <c r="P75" s="2622"/>
      <c r="Q75" s="2623"/>
      <c r="R75" s="445" t="s">
        <v>1254</v>
      </c>
      <c r="U75" s="135"/>
      <c r="V75" s="135"/>
      <c r="W75" s="135"/>
      <c r="X75" s="135"/>
      <c r="Y75" s="135"/>
      <c r="Z75" s="135"/>
      <c r="AA75" s="135"/>
      <c r="AB75" s="135"/>
      <c r="AC75" s="135"/>
      <c r="AD75" s="135"/>
      <c r="AE75" s="465"/>
    </row>
    <row r="76" spans="1:295" ht="3" customHeight="1">
      <c r="A76" s="2286"/>
      <c r="B76" s="2300"/>
      <c r="C76" s="2297"/>
      <c r="D76" s="2297"/>
      <c r="E76" s="2297"/>
      <c r="F76" s="2297"/>
      <c r="G76" s="2297"/>
      <c r="H76" s="2297"/>
      <c r="I76" s="2297"/>
      <c r="J76" s="2297"/>
      <c r="K76" s="2297"/>
      <c r="L76" s="2297"/>
      <c r="M76" s="2297"/>
      <c r="N76" s="2297"/>
      <c r="O76" s="2297"/>
      <c r="P76" s="2297"/>
      <c r="Q76" s="2286"/>
    </row>
    <row r="77" spans="1:295" ht="12.75" customHeight="1">
      <c r="A77" s="2283" t="s">
        <v>1792</v>
      </c>
      <c r="B77" s="2283" t="s">
        <v>2653</v>
      </c>
      <c r="C77" s="113"/>
      <c r="D77" s="2297"/>
      <c r="E77" s="2297"/>
      <c r="F77" s="2297"/>
      <c r="G77" s="2297"/>
      <c r="H77" s="2297"/>
      <c r="I77" s="2297"/>
      <c r="J77" s="2297"/>
      <c r="L77" s="2060" t="s">
        <v>4748</v>
      </c>
      <c r="M77" s="2061" t="s">
        <v>4749</v>
      </c>
      <c r="O77" s="131" t="s">
        <v>1868</v>
      </c>
      <c r="P77" s="2624"/>
      <c r="Q77" s="2625"/>
    </row>
    <row r="78" spans="1:295" ht="1.5" customHeight="1"/>
    <row r="79" spans="1:295" ht="12" customHeight="1">
      <c r="A79" s="141" t="s">
        <v>1984</v>
      </c>
      <c r="B79" s="2647" t="s">
        <v>4740</v>
      </c>
      <c r="C79" s="2647"/>
      <c r="D79" s="2647"/>
      <c r="E79" s="2647"/>
      <c r="F79" s="2647"/>
      <c r="G79" s="2647"/>
      <c r="H79" s="2647"/>
      <c r="I79" s="2647"/>
      <c r="J79" s="2647"/>
      <c r="K79" s="147"/>
      <c r="L79" s="434" t="s">
        <v>2911</v>
      </c>
      <c r="M79" s="2125">
        <v>2</v>
      </c>
      <c r="N79" s="391" t="s">
        <v>3694</v>
      </c>
      <c r="P79" s="3889" t="s">
        <v>5183</v>
      </c>
      <c r="Q79" s="2714"/>
    </row>
    <row r="80" spans="1:295" ht="12" customHeight="1">
      <c r="A80" s="141"/>
      <c r="B80" s="2647"/>
      <c r="C80" s="2647"/>
      <c r="D80" s="2647"/>
      <c r="E80" s="2647"/>
      <c r="F80" s="2647"/>
      <c r="G80" s="2647"/>
      <c r="H80" s="2647"/>
      <c r="I80" s="2647"/>
      <c r="J80" s="2647"/>
      <c r="K80" s="147"/>
      <c r="L80" s="434" t="s">
        <v>4747</v>
      </c>
      <c r="M80" s="2126">
        <v>4</v>
      </c>
      <c r="O80" s="142"/>
      <c r="P80" s="3890"/>
      <c r="Q80" s="2715"/>
    </row>
    <row r="81" spans="1:31" ht="12" customHeight="1">
      <c r="A81" s="46" t="s">
        <v>1986</v>
      </c>
      <c r="B81" s="391" t="s">
        <v>4750</v>
      </c>
      <c r="C81" s="391"/>
      <c r="D81" s="391"/>
      <c r="E81" s="391"/>
      <c r="F81" s="391"/>
      <c r="G81" s="391"/>
      <c r="H81" s="391"/>
      <c r="I81" s="391"/>
      <c r="J81" s="391"/>
      <c r="K81" s="587"/>
      <c r="L81" s="391"/>
      <c r="M81" s="147"/>
      <c r="N81" s="939"/>
      <c r="O81" s="939"/>
      <c r="P81" s="939"/>
    </row>
    <row r="82" spans="1:31" ht="12" customHeight="1">
      <c r="A82" s="2057"/>
      <c r="B82" s="2161" t="s">
        <v>1737</v>
      </c>
      <c r="C82" s="391" t="s">
        <v>4754</v>
      </c>
      <c r="D82" s="2059"/>
      <c r="E82" s="2059"/>
      <c r="F82" s="2059"/>
      <c r="G82" s="2059"/>
      <c r="H82" s="2059"/>
      <c r="I82" s="2059"/>
      <c r="J82" s="2059"/>
      <c r="K82" s="2058"/>
      <c r="L82" s="938"/>
      <c r="N82" s="391" t="s">
        <v>3694</v>
      </c>
      <c r="O82" s="939"/>
      <c r="P82" s="3891" t="s">
        <v>5183</v>
      </c>
      <c r="Q82" s="534"/>
    </row>
    <row r="83" spans="1:31" ht="12" customHeight="1">
      <c r="A83" s="2057"/>
      <c r="B83" s="2161" t="s">
        <v>1738</v>
      </c>
      <c r="C83" s="391" t="s">
        <v>4751</v>
      </c>
      <c r="D83" s="2059"/>
      <c r="E83" s="2059"/>
      <c r="F83" s="2059"/>
      <c r="G83" s="2059"/>
      <c r="H83" s="2059"/>
      <c r="I83" s="2059"/>
      <c r="J83" s="2059"/>
      <c r="K83" s="2058"/>
      <c r="L83" s="938"/>
      <c r="N83" s="391" t="s">
        <v>3694</v>
      </c>
      <c r="O83" s="939"/>
      <c r="P83" s="3892" t="s">
        <v>5183</v>
      </c>
      <c r="Q83" s="535"/>
    </row>
    <row r="84" spans="1:31" ht="12" customHeight="1">
      <c r="A84" s="2056"/>
      <c r="B84" s="2161" t="s">
        <v>1739</v>
      </c>
      <c r="C84" s="391" t="s">
        <v>4752</v>
      </c>
      <c r="E84" s="2059"/>
      <c r="F84" s="2059"/>
      <c r="G84" s="2059"/>
      <c r="H84" s="2059"/>
      <c r="I84" s="2059"/>
      <c r="J84" s="2059"/>
      <c r="K84" s="2058"/>
      <c r="L84" s="938"/>
      <c r="M84" s="939"/>
      <c r="N84" s="391" t="s">
        <v>3694</v>
      </c>
      <c r="O84" s="939"/>
      <c r="P84" s="3892" t="s">
        <v>5183</v>
      </c>
      <c r="Q84" s="535"/>
    </row>
    <row r="85" spans="1:31" ht="10.9" customHeight="1">
      <c r="A85" s="143"/>
      <c r="B85" s="477" t="s">
        <v>2366</v>
      </c>
      <c r="C85" s="477" t="s">
        <v>4755</v>
      </c>
      <c r="D85" s="133"/>
      <c r="E85" s="133"/>
      <c r="F85" s="133"/>
      <c r="G85" s="133"/>
      <c r="H85" s="133"/>
      <c r="I85" s="41"/>
      <c r="J85" s="41"/>
      <c r="N85" s="391" t="s">
        <v>3694</v>
      </c>
      <c r="O85" s="939"/>
      <c r="P85" s="3893"/>
      <c r="Q85" s="536"/>
    </row>
    <row r="86" spans="1:31" ht="10.9" customHeight="1">
      <c r="A86" s="143"/>
      <c r="B86" s="477"/>
      <c r="C86" s="391" t="s">
        <v>4756</v>
      </c>
      <c r="D86" s="133"/>
      <c r="E86" s="133"/>
      <c r="F86" s="133"/>
      <c r="G86" s="133"/>
      <c r="H86" s="133"/>
      <c r="I86" s="41"/>
      <c r="J86" s="41"/>
      <c r="L86" s="3894" t="s">
        <v>5256</v>
      </c>
      <c r="M86" s="3895"/>
      <c r="N86" s="3895"/>
      <c r="O86" s="3895"/>
      <c r="P86" s="3895"/>
      <c r="Q86" s="3896"/>
    </row>
    <row r="87" spans="1:31" ht="10.9" customHeight="1">
      <c r="A87" s="143"/>
      <c r="B87" s="477" t="s">
        <v>1549</v>
      </c>
      <c r="C87" s="2647" t="s">
        <v>4753</v>
      </c>
      <c r="D87" s="2647"/>
      <c r="E87" s="2647"/>
      <c r="F87" s="2647"/>
      <c r="G87" s="2647"/>
      <c r="H87" s="2647"/>
      <c r="I87" s="2647"/>
      <c r="J87" s="2647"/>
      <c r="K87" s="2647"/>
      <c r="L87" s="2647"/>
      <c r="M87" s="527"/>
      <c r="N87" s="391" t="s">
        <v>3694</v>
      </c>
      <c r="O87" s="939"/>
      <c r="P87" s="3897" t="s">
        <v>5183</v>
      </c>
      <c r="Q87" s="533"/>
    </row>
    <row r="88" spans="1:31" ht="10.9" customHeight="1">
      <c r="A88" s="46"/>
      <c r="C88" s="2647"/>
      <c r="D88" s="2647"/>
      <c r="E88" s="2647"/>
      <c r="F88" s="2647"/>
      <c r="G88" s="2647"/>
      <c r="H88" s="2647"/>
      <c r="I88" s="2647"/>
      <c r="J88" s="2647"/>
      <c r="K88" s="2647"/>
      <c r="L88" s="2647"/>
      <c r="M88" s="527"/>
    </row>
    <row r="89" spans="1:31" ht="10.5" customHeight="1">
      <c r="B89" s="95" t="s">
        <v>3750</v>
      </c>
      <c r="D89" s="95"/>
      <c r="E89" s="95"/>
      <c r="F89" s="95"/>
      <c r="G89" s="95"/>
      <c r="H89" s="39"/>
      <c r="I89" s="2300"/>
      <c r="J89" s="2300"/>
      <c r="K89" s="136" t="s">
        <v>1867</v>
      </c>
      <c r="L89" s="2286"/>
      <c r="M89" s="2286"/>
      <c r="N89" s="2286"/>
      <c r="O89" s="2286"/>
      <c r="P89" s="2286"/>
      <c r="Q89" s="896"/>
    </row>
    <row r="90" spans="1:31" ht="33" customHeight="1">
      <c r="A90" s="3885" t="s">
        <v>5287</v>
      </c>
      <c r="B90" s="3886"/>
      <c r="C90" s="3886"/>
      <c r="D90" s="3886"/>
      <c r="E90" s="3886"/>
      <c r="F90" s="3886"/>
      <c r="G90" s="3886"/>
      <c r="H90" s="3886"/>
      <c r="I90" s="3886"/>
      <c r="J90" s="3887"/>
      <c r="K90" s="2621"/>
      <c r="L90" s="2622"/>
      <c r="M90" s="2622"/>
      <c r="N90" s="2622"/>
      <c r="O90" s="2622"/>
      <c r="P90" s="2622"/>
      <c r="Q90" s="2623"/>
      <c r="R90" s="445" t="s">
        <v>1254</v>
      </c>
      <c r="U90" s="135"/>
      <c r="V90" s="135"/>
      <c r="W90" s="135"/>
      <c r="X90" s="135"/>
      <c r="Y90" s="135"/>
      <c r="Z90" s="135"/>
      <c r="AA90" s="135"/>
      <c r="AB90" s="135"/>
      <c r="AC90" s="135"/>
      <c r="AD90" s="135"/>
      <c r="AE90" s="465"/>
    </row>
    <row r="91" spans="1:31" ht="3" customHeight="1">
      <c r="A91" s="2286"/>
      <c r="B91" s="2300"/>
      <c r="C91" s="2297"/>
      <c r="D91" s="2297"/>
      <c r="E91" s="2297"/>
      <c r="F91" s="2297"/>
      <c r="G91" s="2297"/>
      <c r="H91" s="2297"/>
      <c r="I91" s="2297"/>
      <c r="J91" s="2297"/>
      <c r="K91" s="2297"/>
      <c r="L91" s="2297"/>
      <c r="M91" s="2297"/>
      <c r="N91" s="2297"/>
      <c r="O91" s="2297"/>
      <c r="P91" s="2297"/>
      <c r="Q91" s="2286"/>
    </row>
    <row r="92" spans="1:31" ht="13.9" customHeight="1">
      <c r="A92" s="2283" t="s">
        <v>1794</v>
      </c>
      <c r="B92" s="2283" t="s">
        <v>2654</v>
      </c>
      <c r="C92" s="2283"/>
      <c r="D92" s="2297"/>
      <c r="E92" s="2297"/>
      <c r="F92" s="2297"/>
      <c r="G92" s="2297"/>
      <c r="H92" s="2297"/>
      <c r="I92" s="2297"/>
      <c r="J92" s="2297"/>
      <c r="K92" s="2297"/>
      <c r="O92" s="131" t="s">
        <v>1868</v>
      </c>
      <c r="P92" s="2624"/>
      <c r="Q92" s="2625"/>
    </row>
    <row r="93" spans="1:31" ht="3" customHeight="1"/>
    <row r="94" spans="1:31" ht="10.5" customHeight="1">
      <c r="A94" s="46" t="s">
        <v>1984</v>
      </c>
      <c r="B94" s="144" t="s">
        <v>2461</v>
      </c>
      <c r="D94" s="133"/>
      <c r="E94" s="133"/>
      <c r="F94" s="133"/>
      <c r="G94" s="133"/>
      <c r="H94" s="133"/>
      <c r="I94" s="41"/>
      <c r="J94" s="41"/>
      <c r="K94" s="41"/>
      <c r="L94" s="463" t="s">
        <v>1984</v>
      </c>
      <c r="M94" s="3898" t="s">
        <v>5236</v>
      </c>
      <c r="N94" s="3899"/>
      <c r="O94" s="3899"/>
      <c r="P94" s="3900"/>
      <c r="Q94" s="534"/>
    </row>
    <row r="95" spans="1:31" ht="10.5" customHeight="1">
      <c r="A95" s="46" t="s">
        <v>1986</v>
      </c>
      <c r="B95" s="51" t="s">
        <v>2037</v>
      </c>
      <c r="D95" s="133"/>
      <c r="E95" s="133"/>
      <c r="F95" s="133"/>
      <c r="L95" s="463" t="s">
        <v>1986</v>
      </c>
      <c r="M95" s="3901" t="s">
        <v>5291</v>
      </c>
      <c r="N95" s="3902"/>
      <c r="O95" s="3902"/>
      <c r="P95" s="3903"/>
      <c r="Q95" s="535"/>
    </row>
    <row r="96" spans="1:31" ht="10.5" customHeight="1">
      <c r="A96" s="46" t="s">
        <v>749</v>
      </c>
      <c r="B96" s="51" t="s">
        <v>2879</v>
      </c>
      <c r="D96" s="133"/>
      <c r="E96" s="133"/>
      <c r="F96" s="133"/>
      <c r="L96" s="463" t="s">
        <v>749</v>
      </c>
      <c r="M96" s="3904">
        <v>0.96699999999999997</v>
      </c>
      <c r="N96" s="3905"/>
      <c r="O96" s="3905"/>
      <c r="P96" s="3906"/>
      <c r="Q96" s="535"/>
    </row>
    <row r="97" spans="1:31" ht="10.5" customHeight="1">
      <c r="A97" s="46" t="s">
        <v>2116</v>
      </c>
      <c r="B97" s="51" t="s">
        <v>3891</v>
      </c>
      <c r="D97" s="133"/>
      <c r="E97" s="133"/>
      <c r="F97" s="133"/>
      <c r="L97" s="463" t="s">
        <v>3892</v>
      </c>
      <c r="M97" s="3907">
        <v>0.14499999999999999</v>
      </c>
      <c r="N97" s="1102"/>
      <c r="O97" s="1103" t="s">
        <v>4123</v>
      </c>
      <c r="P97" s="3908" t="s">
        <v>5237</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293" t="s">
        <v>2379</v>
      </c>
      <c r="E99" s="897" t="s">
        <v>617</v>
      </c>
      <c r="F99" s="897"/>
      <c r="H99" s="51"/>
      <c r="I99" s="2293" t="s">
        <v>2379</v>
      </c>
      <c r="J99" s="897" t="s">
        <v>617</v>
      </c>
      <c r="K99" s="897"/>
      <c r="M99" s="51"/>
      <c r="N99" s="2293" t="s">
        <v>2379</v>
      </c>
      <c r="O99" s="897" t="s">
        <v>617</v>
      </c>
      <c r="P99" s="897"/>
      <c r="Q99" s="463"/>
    </row>
    <row r="100" spans="1:31" ht="10.5" customHeight="1">
      <c r="C100" s="463" t="s">
        <v>1737</v>
      </c>
      <c r="D100" s="3909" t="s">
        <v>5280</v>
      </c>
      <c r="E100" s="3910" t="s">
        <v>5238</v>
      </c>
      <c r="F100" s="3910"/>
      <c r="G100" s="3910"/>
      <c r="H100" s="65" t="s">
        <v>1739</v>
      </c>
      <c r="I100" s="3909" t="s">
        <v>5282</v>
      </c>
      <c r="J100" s="3910" t="s">
        <v>5241</v>
      </c>
      <c r="K100" s="3910"/>
      <c r="L100" s="3910"/>
      <c r="M100" s="64" t="s">
        <v>1549</v>
      </c>
      <c r="N100" s="3909" t="s">
        <v>5283</v>
      </c>
      <c r="O100" s="3910" t="s">
        <v>5243</v>
      </c>
      <c r="P100" s="3910"/>
      <c r="Q100" s="3910"/>
    </row>
    <row r="101" spans="1:31" ht="10.5" customHeight="1">
      <c r="C101" s="65" t="s">
        <v>1738</v>
      </c>
      <c r="D101" s="3911" t="s">
        <v>5281</v>
      </c>
      <c r="E101" s="3912" t="s">
        <v>5239</v>
      </c>
      <c r="F101" s="3912"/>
      <c r="G101" s="3912"/>
      <c r="H101" s="463" t="s">
        <v>2366</v>
      </c>
      <c r="I101" s="3911" t="s">
        <v>5283</v>
      </c>
      <c r="J101" s="3912" t="s">
        <v>5242</v>
      </c>
      <c r="K101" s="3912"/>
      <c r="L101" s="3912"/>
      <c r="M101" s="64" t="s">
        <v>1550</v>
      </c>
      <c r="N101" s="3911"/>
      <c r="O101" s="3912"/>
      <c r="P101" s="3912"/>
      <c r="Q101" s="3912"/>
    </row>
    <row r="102" spans="1:31" ht="10.5" customHeight="1">
      <c r="A102" s="46" t="s">
        <v>1736</v>
      </c>
      <c r="B102" s="51" t="s">
        <v>0</v>
      </c>
      <c r="D102" s="133"/>
      <c r="E102" s="133"/>
      <c r="F102" s="133"/>
      <c r="G102" s="133"/>
      <c r="H102" s="133"/>
      <c r="I102" s="41"/>
      <c r="J102" s="41"/>
      <c r="K102" s="133"/>
      <c r="L102" s="2303"/>
      <c r="M102" s="2303"/>
      <c r="O102" s="463" t="s">
        <v>1736</v>
      </c>
      <c r="P102" s="3913" t="s">
        <v>2990</v>
      </c>
      <c r="Q102" s="2299"/>
    </row>
    <row r="103" spans="1:31" ht="9.75" customHeight="1">
      <c r="B103" s="140" t="s">
        <v>3750</v>
      </c>
      <c r="D103" s="140"/>
      <c r="E103" s="140"/>
      <c r="F103" s="140"/>
      <c r="G103" s="140"/>
      <c r="H103" s="39"/>
      <c r="I103" s="2300"/>
      <c r="J103" s="2300"/>
      <c r="K103" s="2300"/>
      <c r="L103" s="2286"/>
      <c r="M103" s="2286"/>
      <c r="N103" s="2286"/>
      <c r="O103" s="2286"/>
      <c r="P103" s="2286"/>
      <c r="Q103" s="896"/>
    </row>
    <row r="104" spans="1:31" ht="44.25" customHeight="1">
      <c r="A104" s="3885" t="s">
        <v>5240</v>
      </c>
      <c r="B104" s="3886"/>
      <c r="C104" s="3886"/>
      <c r="D104" s="3886"/>
      <c r="E104" s="3886"/>
      <c r="F104" s="3886"/>
      <c r="G104" s="3886"/>
      <c r="H104" s="3886"/>
      <c r="I104" s="3886"/>
      <c r="J104" s="3886"/>
      <c r="K104" s="3886"/>
      <c r="L104" s="3886"/>
      <c r="M104" s="3886"/>
      <c r="N104" s="3886"/>
      <c r="O104" s="3886"/>
      <c r="P104" s="3886"/>
      <c r="Q104" s="3887"/>
      <c r="U104" s="135"/>
      <c r="V104" s="135"/>
      <c r="W104" s="135"/>
      <c r="X104" s="135"/>
      <c r="Y104" s="135"/>
      <c r="Z104" s="135"/>
      <c r="AA104" s="135"/>
      <c r="AB104" s="135"/>
      <c r="AC104" s="135"/>
      <c r="AD104" s="135"/>
      <c r="AE104" s="465"/>
    </row>
    <row r="105" spans="1:31" ht="9.75" customHeight="1">
      <c r="B105" s="136" t="s">
        <v>1867</v>
      </c>
      <c r="C105" s="137"/>
      <c r="D105" s="2297"/>
      <c r="E105" s="2297"/>
      <c r="F105" s="2297"/>
      <c r="G105" s="2297"/>
      <c r="H105" s="2297"/>
      <c r="I105" s="2297"/>
      <c r="J105" s="2297"/>
      <c r="K105" s="2297"/>
      <c r="L105" s="2297"/>
      <c r="M105" s="2297"/>
      <c r="N105" s="2297"/>
      <c r="O105" s="2297"/>
      <c r="P105" s="2297"/>
      <c r="Q105" s="2297"/>
    </row>
    <row r="106" spans="1:31" ht="44.25" customHeight="1">
      <c r="A106" s="2621"/>
      <c r="B106" s="2622"/>
      <c r="C106" s="2622"/>
      <c r="D106" s="2622"/>
      <c r="E106" s="2622"/>
      <c r="F106" s="2622"/>
      <c r="G106" s="2622"/>
      <c r="H106" s="2622"/>
      <c r="I106" s="2622"/>
      <c r="J106" s="2622"/>
      <c r="K106" s="2622"/>
      <c r="L106" s="2622"/>
      <c r="M106" s="2622"/>
      <c r="N106" s="2622"/>
      <c r="O106" s="2622"/>
      <c r="P106" s="2622"/>
      <c r="Q106" s="2623"/>
    </row>
    <row r="107" spans="1:31" ht="13.9" customHeight="1">
      <c r="A107" s="2283" t="s">
        <v>530</v>
      </c>
      <c r="B107" s="2283" t="s">
        <v>2655</v>
      </c>
      <c r="C107" s="2283"/>
      <c r="D107" s="2297"/>
      <c r="E107" s="2297"/>
      <c r="F107" s="2297"/>
      <c r="G107" s="2297"/>
      <c r="H107" s="2297"/>
      <c r="I107" s="2297"/>
      <c r="J107" s="2297"/>
      <c r="K107" s="2297"/>
      <c r="L107" s="2297"/>
      <c r="M107" s="2297"/>
      <c r="O107" s="131" t="s">
        <v>1868</v>
      </c>
      <c r="P107" s="2624"/>
      <c r="Q107" s="2625"/>
    </row>
    <row r="108" spans="1:31" ht="3" customHeight="1"/>
    <row r="109" spans="1:31" ht="9.75" customHeight="1">
      <c r="B109" s="54" t="s">
        <v>4933</v>
      </c>
      <c r="P109" s="3897"/>
      <c r="Q109" s="533"/>
    </row>
    <row r="110" spans="1:31" ht="10.5" customHeight="1">
      <c r="A110" s="46" t="s">
        <v>1984</v>
      </c>
      <c r="B110" s="51" t="s">
        <v>493</v>
      </c>
      <c r="C110" s="51"/>
      <c r="E110" s="51"/>
      <c r="F110" s="51"/>
      <c r="G110" s="51"/>
      <c r="H110" s="51"/>
      <c r="I110" s="51"/>
      <c r="J110" s="51"/>
      <c r="K110" s="51"/>
      <c r="L110" s="51"/>
      <c r="M110" s="51"/>
      <c r="O110" s="463" t="s">
        <v>1984</v>
      </c>
      <c r="P110" s="3914" t="s">
        <v>2993</v>
      </c>
      <c r="Q110" s="940"/>
    </row>
    <row r="111" spans="1:31" ht="10.5" customHeight="1">
      <c r="A111" s="46" t="s">
        <v>1986</v>
      </c>
      <c r="B111" s="51" t="s">
        <v>1304</v>
      </c>
      <c r="C111" s="51"/>
      <c r="E111" s="51"/>
      <c r="F111" s="51"/>
      <c r="G111" s="51"/>
      <c r="H111" s="51"/>
      <c r="I111" s="51"/>
      <c r="J111" s="51"/>
      <c r="K111" s="51"/>
      <c r="L111" s="897"/>
      <c r="M111" s="897"/>
      <c r="O111" s="463" t="s">
        <v>1986</v>
      </c>
      <c r="P111" s="3893" t="s">
        <v>2993</v>
      </c>
      <c r="Q111" s="535"/>
    </row>
    <row r="112" spans="1:31" ht="10.5" customHeight="1">
      <c r="A112" s="35"/>
      <c r="B112" s="38" t="s">
        <v>554</v>
      </c>
      <c r="E112" s="41"/>
      <c r="F112" s="41"/>
      <c r="G112" s="41"/>
      <c r="H112" s="41"/>
      <c r="I112" s="41"/>
      <c r="L112" s="65" t="s">
        <v>555</v>
      </c>
      <c r="M112" s="3894"/>
      <c r="N112" s="3895"/>
      <c r="O112" s="3895"/>
      <c r="P112" s="3543"/>
      <c r="Q112" s="535"/>
    </row>
    <row r="113" spans="1:32" ht="10.5" customHeight="1">
      <c r="A113" s="2300"/>
      <c r="B113" s="2161" t="s">
        <v>1737</v>
      </c>
      <c r="C113" s="897" t="s">
        <v>4757</v>
      </c>
      <c r="D113" s="1027"/>
      <c r="E113" s="1027"/>
      <c r="F113" s="1027"/>
      <c r="G113" s="1027"/>
      <c r="H113" s="1027"/>
      <c r="I113" s="1027"/>
      <c r="J113" s="1027"/>
      <c r="K113" s="1027"/>
      <c r="L113" s="1027"/>
      <c r="M113" s="1027"/>
      <c r="O113" s="148" t="s">
        <v>1737</v>
      </c>
      <c r="P113" s="3891"/>
      <c r="Q113" s="535"/>
    </row>
    <row r="114" spans="1:32" ht="10.5" customHeight="1">
      <c r="A114" s="2300"/>
      <c r="B114" s="145" t="s">
        <v>1738</v>
      </c>
      <c r="C114" s="897" t="s">
        <v>3471</v>
      </c>
      <c r="D114" s="1027"/>
      <c r="E114" s="1027"/>
      <c r="F114" s="1027"/>
      <c r="G114" s="1027"/>
      <c r="H114" s="1027"/>
      <c r="I114" s="1027"/>
      <c r="J114" s="1027"/>
      <c r="K114" s="1027"/>
      <c r="L114" s="1027"/>
      <c r="M114" s="1027"/>
      <c r="O114" s="65" t="s">
        <v>1738</v>
      </c>
      <c r="P114" s="3892"/>
      <c r="Q114" s="535"/>
    </row>
    <row r="115" spans="1:32" ht="10.5" customHeight="1">
      <c r="A115" s="2300"/>
      <c r="B115" s="2161" t="s">
        <v>1739</v>
      </c>
      <c r="C115" s="897" t="s">
        <v>3472</v>
      </c>
      <c r="D115" s="1027"/>
      <c r="E115" s="1027"/>
      <c r="F115" s="1027"/>
      <c r="G115" s="1027"/>
      <c r="H115" s="1027"/>
      <c r="I115" s="1027"/>
      <c r="J115" s="1027"/>
      <c r="K115" s="1027"/>
      <c r="L115" s="1027"/>
      <c r="M115" s="1027"/>
      <c r="O115" s="148" t="s">
        <v>1739</v>
      </c>
      <c r="P115" s="3892"/>
      <c r="Q115" s="535"/>
    </row>
    <row r="116" spans="1:32" ht="10.5" customHeight="1">
      <c r="A116" s="2300"/>
      <c r="B116" s="477" t="s">
        <v>2366</v>
      </c>
      <c r="C116" s="897" t="s">
        <v>2880</v>
      </c>
      <c r="D116" s="897"/>
      <c r="E116" s="897"/>
      <c r="F116" s="897"/>
      <c r="G116" s="897"/>
      <c r="H116" s="897"/>
      <c r="I116" s="897"/>
      <c r="J116" s="897"/>
      <c r="K116" s="897"/>
      <c r="L116" s="897"/>
      <c r="M116" s="1168"/>
      <c r="O116" s="160" t="s">
        <v>2366</v>
      </c>
      <c r="P116" s="3892"/>
      <c r="Q116" s="535"/>
    </row>
    <row r="117" spans="1:32" s="132" customFormat="1" ht="24.75" customHeight="1">
      <c r="A117" s="434"/>
      <c r="B117" s="477" t="s">
        <v>1549</v>
      </c>
      <c r="C117" s="2620" t="s">
        <v>2690</v>
      </c>
      <c r="D117" s="2620"/>
      <c r="E117" s="2620"/>
      <c r="F117" s="2620"/>
      <c r="G117" s="2620"/>
      <c r="H117" s="2620"/>
      <c r="I117" s="2620"/>
      <c r="J117" s="2620"/>
      <c r="K117" s="2620"/>
      <c r="L117" s="2620"/>
      <c r="M117" s="2620"/>
      <c r="N117" s="2620"/>
      <c r="O117" s="160" t="s">
        <v>1549</v>
      </c>
      <c r="P117" s="3915"/>
      <c r="Q117" s="2292"/>
      <c r="AE117" s="466"/>
      <c r="AF117" s="466"/>
    </row>
    <row r="118" spans="1:32" ht="10.5" customHeight="1">
      <c r="A118" s="46" t="s">
        <v>749</v>
      </c>
      <c r="B118" s="51" t="s">
        <v>146</v>
      </c>
      <c r="D118" s="51"/>
      <c r="E118" s="51"/>
      <c r="F118" s="51"/>
      <c r="G118" s="51"/>
      <c r="H118" s="51"/>
      <c r="I118" s="51"/>
      <c r="J118" s="51"/>
      <c r="K118" s="51"/>
      <c r="L118" s="51"/>
      <c r="M118" s="51"/>
      <c r="O118" s="463" t="s">
        <v>749</v>
      </c>
      <c r="P118" s="3893"/>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3891" t="s">
        <v>2993</v>
      </c>
      <c r="Q120" s="534"/>
    </row>
    <row r="121" spans="1:32" ht="10.5" customHeight="1">
      <c r="B121" s="145" t="s">
        <v>1738</v>
      </c>
      <c r="C121" s="51" t="s">
        <v>1430</v>
      </c>
      <c r="E121" s="51"/>
      <c r="F121" s="51"/>
      <c r="G121" s="51"/>
      <c r="H121" s="51"/>
      <c r="I121" s="51"/>
      <c r="J121" s="51"/>
      <c r="K121" s="51"/>
      <c r="L121" s="897"/>
      <c r="M121" s="897"/>
      <c r="O121" s="65" t="s">
        <v>1738</v>
      </c>
      <c r="P121" s="3892" t="s">
        <v>2993</v>
      </c>
      <c r="Q121" s="535"/>
    </row>
    <row r="122" spans="1:32" ht="10.5" customHeight="1">
      <c r="B122" s="145" t="s">
        <v>1739</v>
      </c>
      <c r="C122" s="51" t="s">
        <v>1431</v>
      </c>
      <c r="E122" s="51"/>
      <c r="F122" s="51"/>
      <c r="G122" s="51"/>
      <c r="H122" s="51"/>
      <c r="I122" s="51"/>
      <c r="J122" s="51"/>
      <c r="K122" s="51"/>
      <c r="L122" s="897"/>
      <c r="M122" s="897"/>
      <c r="O122" s="65" t="s">
        <v>1739</v>
      </c>
      <c r="P122" s="3893" t="s">
        <v>2993</v>
      </c>
      <c r="Q122" s="536"/>
    </row>
    <row r="123" spans="1:32" ht="10.5" customHeight="1">
      <c r="B123" s="140" t="s">
        <v>3750</v>
      </c>
      <c r="D123" s="140"/>
      <c r="E123" s="140"/>
      <c r="F123" s="140"/>
      <c r="G123" s="140"/>
      <c r="H123" s="39"/>
      <c r="I123" s="2300"/>
      <c r="J123" s="2300"/>
      <c r="K123" s="2300"/>
      <c r="L123" s="2286"/>
      <c r="M123" s="2286"/>
      <c r="N123" s="2286"/>
      <c r="O123" s="2286"/>
      <c r="P123" s="2286"/>
      <c r="Q123" s="896"/>
    </row>
    <row r="124" spans="1:32" ht="22.5" customHeight="1">
      <c r="A124" s="3885" t="s">
        <v>5244</v>
      </c>
      <c r="B124" s="3886"/>
      <c r="C124" s="3886"/>
      <c r="D124" s="3886"/>
      <c r="E124" s="3886"/>
      <c r="F124" s="3886"/>
      <c r="G124" s="3886"/>
      <c r="H124" s="3886"/>
      <c r="I124" s="3886"/>
      <c r="J124" s="3886"/>
      <c r="K124" s="3886"/>
      <c r="L124" s="3886"/>
      <c r="M124" s="3886"/>
      <c r="N124" s="3886"/>
      <c r="O124" s="3886"/>
      <c r="P124" s="3886"/>
      <c r="Q124" s="3887"/>
      <c r="U124" s="135"/>
      <c r="V124" s="135"/>
      <c r="W124" s="135"/>
      <c r="X124" s="135"/>
      <c r="Y124" s="135"/>
      <c r="Z124" s="135"/>
      <c r="AA124" s="135"/>
      <c r="AB124" s="135"/>
      <c r="AC124" s="135"/>
      <c r="AD124" s="135"/>
      <c r="AE124" s="465"/>
    </row>
    <row r="125" spans="1:32" ht="11.25" customHeight="1">
      <c r="B125" s="136" t="s">
        <v>1867</v>
      </c>
      <c r="C125" s="137"/>
      <c r="D125" s="2297"/>
      <c r="E125" s="2297"/>
      <c r="F125" s="2297"/>
      <c r="G125" s="2297"/>
      <c r="H125" s="2297"/>
      <c r="I125" s="2297"/>
      <c r="J125" s="2297"/>
      <c r="K125" s="2297"/>
      <c r="L125" s="2297"/>
      <c r="M125" s="2297"/>
      <c r="N125" s="2297"/>
      <c r="O125" s="2297"/>
      <c r="P125" s="2297"/>
      <c r="Q125" s="2297"/>
    </row>
    <row r="126" spans="1:32" ht="22.5" customHeight="1">
      <c r="A126" s="2621"/>
      <c r="B126" s="2622"/>
      <c r="C126" s="2622"/>
      <c r="D126" s="2622"/>
      <c r="E126" s="2622"/>
      <c r="F126" s="2622"/>
      <c r="G126" s="2622"/>
      <c r="H126" s="2622"/>
      <c r="I126" s="2622"/>
      <c r="J126" s="2622"/>
      <c r="K126" s="2622"/>
      <c r="L126" s="2622"/>
      <c r="M126" s="2622"/>
      <c r="N126" s="2622"/>
      <c r="O126" s="2622"/>
      <c r="P126" s="2622"/>
      <c r="Q126" s="2623"/>
    </row>
    <row r="127" spans="1:32" ht="13.9" customHeight="1">
      <c r="A127" s="2283" t="s">
        <v>772</v>
      </c>
      <c r="B127" s="2283" t="s">
        <v>2656</v>
      </c>
      <c r="C127" s="39"/>
      <c r="D127" s="2297"/>
      <c r="E127" s="2297"/>
      <c r="F127" s="2297"/>
      <c r="G127" s="2297"/>
      <c r="H127" s="2297"/>
      <c r="I127" s="2297"/>
      <c r="J127" s="2297"/>
      <c r="K127" s="2297"/>
      <c r="L127" s="2297"/>
      <c r="M127" s="2297"/>
      <c r="O127" s="131" t="s">
        <v>1868</v>
      </c>
      <c r="P127" s="2624"/>
      <c r="Q127" s="2625"/>
    </row>
    <row r="128" spans="1:32" ht="6.4" customHeight="1"/>
    <row r="129" spans="1:17" ht="12" customHeight="1">
      <c r="A129" s="46" t="s">
        <v>1984</v>
      </c>
      <c r="B129" s="51" t="s">
        <v>3634</v>
      </c>
      <c r="D129" s="133"/>
      <c r="E129" s="133"/>
      <c r="F129" s="133"/>
      <c r="G129" s="133"/>
      <c r="H129" s="133"/>
      <c r="I129" s="41"/>
      <c r="J129" s="41"/>
      <c r="K129" s="463" t="s">
        <v>1984</v>
      </c>
      <c r="L129" s="3916" t="s">
        <v>5257</v>
      </c>
      <c r="M129" s="3916"/>
      <c r="N129" s="3916"/>
      <c r="O129" s="3916"/>
      <c r="P129" s="3916"/>
      <c r="Q129" s="533"/>
    </row>
    <row r="130" spans="1:17" ht="12" customHeight="1">
      <c r="A130" s="46" t="s">
        <v>1986</v>
      </c>
      <c r="B130" s="51" t="s">
        <v>1538</v>
      </c>
      <c r="D130" s="133"/>
      <c r="E130" s="133"/>
      <c r="F130" s="133"/>
      <c r="G130" s="133"/>
      <c r="H130" s="133"/>
      <c r="I130" s="41"/>
      <c r="J130" s="41"/>
      <c r="K130" s="133"/>
      <c r="L130" s="2303"/>
      <c r="O130" s="463" t="s">
        <v>1986</v>
      </c>
      <c r="P130" s="3914" t="s">
        <v>2993</v>
      </c>
      <c r="Q130" s="940"/>
    </row>
    <row r="131" spans="1:17" ht="12" customHeight="1">
      <c r="A131" s="46" t="s">
        <v>749</v>
      </c>
      <c r="B131" s="51" t="s">
        <v>151</v>
      </c>
      <c r="D131" s="133"/>
      <c r="E131" s="133"/>
      <c r="F131" s="133"/>
      <c r="G131" s="133"/>
      <c r="H131" s="133"/>
      <c r="I131" s="41"/>
      <c r="J131" s="41"/>
      <c r="K131" s="2303"/>
      <c r="L131" s="2303"/>
      <c r="O131" s="463" t="s">
        <v>749</v>
      </c>
      <c r="P131" s="3893" t="s">
        <v>2990</v>
      </c>
      <c r="Q131" s="903"/>
    </row>
    <row r="132" spans="1:17" ht="12" customHeight="1">
      <c r="A132" s="46"/>
      <c r="B132" s="897" t="s">
        <v>1737</v>
      </c>
      <c r="C132" s="51" t="s">
        <v>2689</v>
      </c>
      <c r="E132" s="133"/>
      <c r="F132" s="133"/>
      <c r="G132" s="133"/>
      <c r="H132" s="133"/>
      <c r="I132" s="41"/>
      <c r="J132" s="41"/>
      <c r="K132" s="65" t="s">
        <v>1737</v>
      </c>
      <c r="L132" s="3916" t="s">
        <v>5257</v>
      </c>
      <c r="M132" s="3916"/>
      <c r="N132" s="3916"/>
      <c r="O132" s="3916"/>
      <c r="P132" s="3916"/>
      <c r="Q132" s="533"/>
    </row>
    <row r="133" spans="1:17" ht="12" customHeight="1">
      <c r="A133" s="138"/>
      <c r="B133" s="145" t="s">
        <v>1738</v>
      </c>
      <c r="C133" s="35" t="s">
        <v>3473</v>
      </c>
      <c r="E133" s="41"/>
      <c r="F133" s="41"/>
      <c r="G133" s="41"/>
      <c r="H133" s="51"/>
      <c r="I133" s="41"/>
      <c r="J133" s="41"/>
      <c r="K133" s="133"/>
      <c r="L133" s="2303"/>
      <c r="M133" s="2303"/>
      <c r="O133" s="463" t="s">
        <v>1738</v>
      </c>
      <c r="P133" s="3913">
        <v>70</v>
      </c>
      <c r="Q133" s="2299"/>
    </row>
    <row r="134" spans="1:17" ht="12" customHeight="1">
      <c r="A134" s="138"/>
      <c r="B134" s="39" t="s">
        <v>1739</v>
      </c>
      <c r="C134" s="35" t="s">
        <v>4741</v>
      </c>
      <c r="D134" s="147"/>
      <c r="E134" s="41"/>
      <c r="F134" s="41"/>
      <c r="G134" s="41"/>
      <c r="H134" s="51"/>
      <c r="I134" s="41"/>
      <c r="J134" s="41"/>
      <c r="K134" s="133"/>
      <c r="L134" s="2303"/>
      <c r="M134" s="2303"/>
      <c r="O134" s="463" t="s">
        <v>1739</v>
      </c>
      <c r="P134" s="3913" t="s">
        <v>2990</v>
      </c>
      <c r="Q134" s="2299"/>
    </row>
    <row r="135" spans="1:17" ht="12" customHeight="1">
      <c r="A135" s="46" t="s">
        <v>2116</v>
      </c>
      <c r="B135" s="51" t="s">
        <v>1260</v>
      </c>
      <c r="D135" s="133"/>
      <c r="E135" s="133"/>
      <c r="F135" s="133"/>
      <c r="G135" s="133"/>
      <c r="H135" s="133"/>
      <c r="I135" s="41"/>
      <c r="J135" s="41"/>
      <c r="K135" s="133"/>
      <c r="L135" s="2303"/>
      <c r="M135" s="2303"/>
      <c r="N135" s="2303"/>
      <c r="O135" s="463" t="s">
        <v>2116</v>
      </c>
    </row>
    <row r="136" spans="1:17" ht="12" customHeight="1">
      <c r="A136" s="46"/>
      <c r="B136" s="145" t="s">
        <v>1737</v>
      </c>
      <c r="C136" s="51" t="s">
        <v>149</v>
      </c>
      <c r="E136" s="133"/>
      <c r="F136" s="133"/>
      <c r="G136" s="133"/>
      <c r="H136" s="133"/>
      <c r="I136" s="41"/>
      <c r="J136" s="41"/>
      <c r="K136" s="133"/>
      <c r="L136" s="2303"/>
      <c r="M136" s="2303"/>
      <c r="O136" s="65" t="s">
        <v>1737</v>
      </c>
      <c r="P136" s="3891" t="s">
        <v>2993</v>
      </c>
      <c r="Q136" s="534"/>
    </row>
    <row r="137" spans="1:17" ht="12" customHeight="1">
      <c r="A137" s="46"/>
      <c r="B137" s="145" t="s">
        <v>1738</v>
      </c>
      <c r="C137" s="51" t="s">
        <v>1261</v>
      </c>
      <c r="E137" s="133"/>
      <c r="F137" s="133"/>
      <c r="G137" s="133"/>
      <c r="H137" s="41"/>
      <c r="I137" s="41"/>
      <c r="J137" s="41"/>
      <c r="K137" s="133"/>
      <c r="L137" s="2303"/>
      <c r="M137" s="2303"/>
      <c r="O137" s="65" t="s">
        <v>1738</v>
      </c>
      <c r="P137" s="3892" t="s">
        <v>2993</v>
      </c>
      <c r="Q137" s="535"/>
    </row>
    <row r="138" spans="1:17" ht="12" customHeight="1">
      <c r="A138" s="46"/>
      <c r="B138" s="145"/>
      <c r="C138" s="51" t="s">
        <v>2633</v>
      </c>
      <c r="E138" s="463" t="s">
        <v>2436</v>
      </c>
      <c r="F138" s="51" t="s">
        <v>2634</v>
      </c>
      <c r="G138" s="41"/>
      <c r="H138" s="51"/>
      <c r="I138" s="41"/>
      <c r="J138" s="41"/>
      <c r="K138" s="133"/>
      <c r="L138" s="2303"/>
      <c r="M138" s="2303"/>
      <c r="O138" s="463" t="s">
        <v>2436</v>
      </c>
      <c r="P138" s="3917"/>
      <c r="Q138" s="858"/>
    </row>
    <row r="139" spans="1:17" ht="12" customHeight="1">
      <c r="A139" s="46"/>
      <c r="B139" s="145"/>
      <c r="E139" s="463" t="s">
        <v>2437</v>
      </c>
      <c r="F139" s="51" t="s">
        <v>2635</v>
      </c>
      <c r="G139" s="41"/>
      <c r="H139" s="51"/>
      <c r="I139" s="41"/>
      <c r="J139" s="41"/>
      <c r="K139" s="133"/>
      <c r="L139" s="2303"/>
      <c r="M139" s="2303"/>
      <c r="O139" s="463" t="s">
        <v>2437</v>
      </c>
      <c r="P139" s="3892"/>
      <c r="Q139" s="535"/>
    </row>
    <row r="140" spans="1:17" ht="12" customHeight="1">
      <c r="A140" s="46"/>
      <c r="B140" s="145"/>
      <c r="E140" s="463" t="s">
        <v>2438</v>
      </c>
      <c r="F140" s="51" t="s">
        <v>2636</v>
      </c>
      <c r="G140" s="41"/>
      <c r="H140" s="51"/>
      <c r="I140" s="41"/>
      <c r="J140" s="41"/>
      <c r="K140" s="133"/>
      <c r="L140" s="2303"/>
      <c r="M140" s="2303"/>
      <c r="O140" s="463" t="s">
        <v>2438</v>
      </c>
      <c r="P140" s="3892"/>
      <c r="Q140" s="535"/>
    </row>
    <row r="141" spans="1:17" ht="12" customHeight="1">
      <c r="A141" s="46"/>
      <c r="B141" s="145" t="s">
        <v>1739</v>
      </c>
      <c r="C141" s="51" t="s">
        <v>1262</v>
      </c>
      <c r="E141" s="133"/>
      <c r="F141" s="133"/>
      <c r="G141" s="133"/>
      <c r="H141" s="51"/>
      <c r="I141" s="41"/>
      <c r="J141" s="41"/>
      <c r="K141" s="133"/>
      <c r="L141" s="2303"/>
      <c r="M141" s="2303"/>
      <c r="O141" s="65" t="s">
        <v>1739</v>
      </c>
      <c r="P141" s="3892" t="s">
        <v>2993</v>
      </c>
      <c r="Q141" s="535"/>
    </row>
    <row r="142" spans="1:17" ht="12" customHeight="1">
      <c r="A142" s="46"/>
      <c r="B142" s="65"/>
      <c r="C142" s="51" t="s">
        <v>2633</v>
      </c>
      <c r="E142" s="463" t="s">
        <v>2436</v>
      </c>
      <c r="F142" s="51" t="s">
        <v>2637</v>
      </c>
      <c r="G142" s="41"/>
      <c r="H142" s="51"/>
      <c r="I142" s="41"/>
      <c r="J142" s="41"/>
      <c r="K142" s="133"/>
      <c r="L142" s="2303"/>
      <c r="O142" s="463" t="s">
        <v>2436</v>
      </c>
      <c r="P142" s="3917"/>
      <c r="Q142" s="858"/>
    </row>
    <row r="143" spans="1:17" ht="12" customHeight="1">
      <c r="A143" s="46"/>
      <c r="B143" s="65"/>
      <c r="E143" s="463" t="s">
        <v>2437</v>
      </c>
      <c r="F143" s="51" t="s">
        <v>2638</v>
      </c>
      <c r="G143" s="41"/>
      <c r="H143" s="51"/>
      <c r="I143" s="41"/>
      <c r="J143" s="41"/>
      <c r="O143" s="463" t="s">
        <v>2437</v>
      </c>
      <c r="P143" s="3892"/>
      <c r="Q143" s="535"/>
    </row>
    <row r="144" spans="1:17" ht="12" customHeight="1">
      <c r="A144" s="46"/>
      <c r="B144" s="65"/>
      <c r="E144" s="463" t="s">
        <v>2438</v>
      </c>
      <c r="F144" s="51" t="s">
        <v>2636</v>
      </c>
      <c r="G144" s="41"/>
      <c r="H144" s="51"/>
      <c r="I144" s="41"/>
      <c r="J144" s="41"/>
      <c r="O144" s="463" t="s">
        <v>2438</v>
      </c>
      <c r="P144" s="3893"/>
      <c r="Q144" s="536"/>
    </row>
    <row r="145" spans="1:32" ht="12" customHeight="1">
      <c r="A145" s="46" t="s">
        <v>1735</v>
      </c>
      <c r="B145" s="145" t="s">
        <v>2415</v>
      </c>
      <c r="D145" s="133"/>
      <c r="E145" s="133"/>
      <c r="F145" s="133"/>
      <c r="G145" s="133"/>
      <c r="H145" s="133"/>
      <c r="I145" s="41"/>
      <c r="J145" s="41"/>
      <c r="K145" s="133"/>
      <c r="L145" s="2303"/>
      <c r="M145" s="2303"/>
      <c r="N145" s="2303"/>
      <c r="O145" s="2303"/>
      <c r="P145" s="2303"/>
      <c r="Q145" s="2303"/>
    </row>
    <row r="146" spans="1:32" ht="12" customHeight="1">
      <c r="B146" s="145" t="s">
        <v>1737</v>
      </c>
      <c r="C146" s="51" t="s">
        <v>2496</v>
      </c>
      <c r="E146" s="133"/>
      <c r="F146" s="3891" t="s">
        <v>2993</v>
      </c>
      <c r="G146" s="534"/>
      <c r="H146" s="463" t="s">
        <v>4977</v>
      </c>
      <c r="I146" s="54" t="s">
        <v>2641</v>
      </c>
      <c r="L146" s="3891" t="s">
        <v>2993</v>
      </c>
      <c r="M146" s="534"/>
      <c r="N146" s="463" t="s">
        <v>4981</v>
      </c>
      <c r="O146" s="51" t="s">
        <v>1552</v>
      </c>
      <c r="P146" s="3891" t="s">
        <v>2993</v>
      </c>
      <c r="Q146" s="534"/>
    </row>
    <row r="147" spans="1:32" ht="12" customHeight="1">
      <c r="A147" s="35"/>
      <c r="B147" s="145" t="s">
        <v>1738</v>
      </c>
      <c r="C147" s="51" t="s">
        <v>2804</v>
      </c>
      <c r="E147" s="133"/>
      <c r="F147" s="3892" t="s">
        <v>2990</v>
      </c>
      <c r="G147" s="535"/>
      <c r="H147" s="463" t="s">
        <v>4978</v>
      </c>
      <c r="I147" s="54" t="s">
        <v>2642</v>
      </c>
      <c r="L147" s="3892" t="s">
        <v>2993</v>
      </c>
      <c r="M147" s="535"/>
      <c r="N147" s="463" t="s">
        <v>4982</v>
      </c>
      <c r="O147" s="51" t="s">
        <v>1551</v>
      </c>
      <c r="P147" s="3892" t="s">
        <v>2993</v>
      </c>
      <c r="Q147" s="535"/>
    </row>
    <row r="148" spans="1:32" ht="12" customHeight="1">
      <c r="A148" s="35"/>
      <c r="B148" s="145" t="s">
        <v>1739</v>
      </c>
      <c r="C148" s="51" t="s">
        <v>2640</v>
      </c>
      <c r="E148" s="133"/>
      <c r="F148" s="3892" t="s">
        <v>2993</v>
      </c>
      <c r="G148" s="535"/>
      <c r="H148" s="463" t="s">
        <v>4979</v>
      </c>
      <c r="I148" s="54" t="s">
        <v>3842</v>
      </c>
      <c r="L148" s="3892" t="s">
        <v>2993</v>
      </c>
      <c r="M148" s="535"/>
      <c r="N148" s="463" t="s">
        <v>4983</v>
      </c>
      <c r="O148" s="51" t="s">
        <v>1553</v>
      </c>
      <c r="P148" s="3893" t="s">
        <v>2993</v>
      </c>
      <c r="Q148" s="536"/>
    </row>
    <row r="149" spans="1:32" ht="12" customHeight="1">
      <c r="A149" s="35"/>
      <c r="B149" s="145" t="s">
        <v>2366</v>
      </c>
      <c r="C149" s="51" t="s">
        <v>2807</v>
      </c>
      <c r="E149" s="133"/>
      <c r="F149" s="3893" t="s">
        <v>2993</v>
      </c>
      <c r="G149" s="536"/>
      <c r="H149" s="463" t="s">
        <v>4980</v>
      </c>
      <c r="I149" s="51" t="s">
        <v>2803</v>
      </c>
      <c r="L149" s="3893" t="s">
        <v>2993</v>
      </c>
      <c r="M149" s="536"/>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918"/>
      <c r="D151" s="3918"/>
      <c r="E151" s="3918"/>
      <c r="F151" s="3918"/>
      <c r="G151" s="3918"/>
      <c r="H151" s="3918"/>
      <c r="I151" s="3918"/>
      <c r="J151" s="3918"/>
      <c r="K151" s="3918"/>
      <c r="L151" s="3918"/>
      <c r="M151" s="3918"/>
      <c r="N151" s="3918"/>
      <c r="O151" s="3918"/>
      <c r="P151" s="3918"/>
      <c r="Q151" s="3918"/>
    </row>
    <row r="152" spans="1:32" ht="12" customHeight="1">
      <c r="A152" s="46" t="s">
        <v>1736</v>
      </c>
      <c r="B152" s="51" t="s">
        <v>3570</v>
      </c>
      <c r="D152" s="133"/>
      <c r="E152" s="133"/>
      <c r="F152" s="133"/>
      <c r="G152" s="133"/>
      <c r="H152" s="133"/>
      <c r="I152" s="41"/>
      <c r="J152" s="41"/>
      <c r="K152" s="133"/>
      <c r="L152" s="133"/>
      <c r="M152" s="2303"/>
    </row>
    <row r="153" spans="1:32" ht="12" customHeight="1">
      <c r="A153" s="41"/>
      <c r="B153" s="145" t="s">
        <v>1737</v>
      </c>
      <c r="C153" s="51" t="s">
        <v>2808</v>
      </c>
      <c r="E153" s="133"/>
      <c r="F153" s="133"/>
      <c r="G153" s="133"/>
      <c r="H153" s="133"/>
      <c r="O153" s="65" t="s">
        <v>1737</v>
      </c>
      <c r="P153" s="3891" t="s">
        <v>2993</v>
      </c>
      <c r="Q153" s="534"/>
    </row>
    <row r="154" spans="1:32" ht="12" customHeight="1">
      <c r="A154" s="2300"/>
      <c r="B154" s="145" t="s">
        <v>1738</v>
      </c>
      <c r="C154" s="51" t="s">
        <v>490</v>
      </c>
      <c r="E154" s="51"/>
      <c r="F154" s="51"/>
      <c r="G154" s="51"/>
      <c r="H154" s="51"/>
      <c r="I154" s="41"/>
      <c r="J154" s="41"/>
      <c r="K154" s="51"/>
      <c r="L154" s="51"/>
      <c r="M154" s="51"/>
      <c r="O154" s="65" t="s">
        <v>1738</v>
      </c>
      <c r="P154" s="3892" t="s">
        <v>2990</v>
      </c>
      <c r="Q154" s="535"/>
    </row>
    <row r="155" spans="1:32" ht="12" customHeight="1">
      <c r="A155" s="2300"/>
      <c r="B155" s="145" t="s">
        <v>1739</v>
      </c>
      <c r="C155" s="51" t="s">
        <v>681</v>
      </c>
      <c r="E155" s="51"/>
      <c r="F155" s="51"/>
      <c r="G155" s="51"/>
      <c r="H155" s="51"/>
      <c r="I155" s="41"/>
      <c r="J155" s="41"/>
      <c r="K155" s="51"/>
      <c r="L155" s="51"/>
      <c r="M155" s="51"/>
      <c r="O155" s="65" t="s">
        <v>1739</v>
      </c>
      <c r="P155" s="3892" t="s">
        <v>2990</v>
      </c>
      <c r="Q155" s="535"/>
    </row>
    <row r="156" spans="1:32" ht="12" customHeight="1">
      <c r="A156" s="2300"/>
      <c r="B156" s="39" t="s">
        <v>2366</v>
      </c>
      <c r="C156" s="51" t="s">
        <v>4959</v>
      </c>
      <c r="E156" s="51"/>
      <c r="F156" s="51"/>
      <c r="G156" s="51"/>
      <c r="H156" s="51"/>
      <c r="I156" s="41"/>
      <c r="J156" s="41"/>
      <c r="K156" s="51"/>
      <c r="L156" s="51"/>
      <c r="M156" s="51"/>
      <c r="O156" s="65" t="s">
        <v>1739</v>
      </c>
      <c r="P156" s="3893" t="s">
        <v>2990</v>
      </c>
      <c r="Q156" s="536"/>
    </row>
    <row r="157" spans="1:32" ht="12" customHeight="1">
      <c r="A157" s="410" t="s">
        <v>3463</v>
      </c>
      <c r="C157" s="51"/>
      <c r="D157" s="133"/>
      <c r="E157" s="133"/>
      <c r="F157" s="133"/>
      <c r="G157" s="133"/>
      <c r="H157" s="133"/>
      <c r="I157" s="41"/>
      <c r="J157" s="41"/>
      <c r="K157" s="133"/>
      <c r="L157" s="133"/>
      <c r="M157" s="2303"/>
      <c r="N157" s="2303"/>
      <c r="O157" s="2303"/>
      <c r="P157" s="2303"/>
      <c r="Q157" s="2303"/>
      <c r="R157" s="2303"/>
    </row>
    <row r="158" spans="1:32" s="1" customFormat="1" ht="23.65" customHeight="1">
      <c r="A158" s="46" t="s">
        <v>1948</v>
      </c>
      <c r="B158" s="2620" t="s">
        <v>148</v>
      </c>
      <c r="C158" s="2620"/>
      <c r="D158" s="2620"/>
      <c r="E158" s="2620"/>
      <c r="F158" s="2620"/>
      <c r="G158" s="2620"/>
      <c r="H158" s="2620"/>
      <c r="I158" s="2620"/>
      <c r="J158" s="2620"/>
      <c r="K158" s="2620"/>
      <c r="L158" s="2620"/>
      <c r="M158" s="463" t="s">
        <v>1948</v>
      </c>
      <c r="N158" s="3919" t="s">
        <v>5311</v>
      </c>
      <c r="O158" s="3920"/>
      <c r="P158" s="2745" t="s">
        <v>1771</v>
      </c>
      <c r="Q158" s="2746"/>
      <c r="AE158" s="4"/>
      <c r="AF158" s="4"/>
    </row>
    <row r="159" spans="1:32" ht="11.25" customHeight="1">
      <c r="B159" s="140" t="s">
        <v>3750</v>
      </c>
      <c r="D159" s="140"/>
      <c r="E159" s="140"/>
      <c r="F159" s="140"/>
      <c r="G159" s="140"/>
      <c r="H159" s="39"/>
      <c r="I159" s="2300"/>
      <c r="J159" s="2300"/>
      <c r="K159" s="2300"/>
      <c r="L159" s="2286"/>
      <c r="M159" s="2286"/>
      <c r="N159" s="2286"/>
      <c r="O159" s="2286"/>
      <c r="P159" s="2286"/>
      <c r="Q159" s="896"/>
    </row>
    <row r="160" spans="1:32" ht="27" customHeight="1">
      <c r="A160" s="3885" t="s">
        <v>5310</v>
      </c>
      <c r="B160" s="3886"/>
      <c r="C160" s="3886"/>
      <c r="D160" s="3886"/>
      <c r="E160" s="3886"/>
      <c r="F160" s="3886"/>
      <c r="G160" s="3886"/>
      <c r="H160" s="3886"/>
      <c r="I160" s="3886"/>
      <c r="J160" s="3886"/>
      <c r="K160" s="3886"/>
      <c r="L160" s="3886"/>
      <c r="M160" s="3886"/>
      <c r="N160" s="3886"/>
      <c r="O160" s="3886"/>
      <c r="P160" s="3886"/>
      <c r="Q160" s="3887"/>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7"/>
      <c r="E162" s="2297"/>
      <c r="F162" s="2297"/>
      <c r="G162" s="2297"/>
      <c r="H162" s="2297"/>
      <c r="I162" s="2297"/>
      <c r="J162" s="2297"/>
      <c r="K162" s="2297"/>
      <c r="L162" s="2297"/>
      <c r="M162" s="2297"/>
      <c r="N162" s="2297"/>
      <c r="O162" s="2297"/>
      <c r="P162" s="2297"/>
      <c r="Q162" s="2297"/>
    </row>
    <row r="163" spans="1:32" ht="11.65" customHeight="1">
      <c r="A163" s="2621"/>
      <c r="B163" s="2622"/>
      <c r="C163" s="2622"/>
      <c r="D163" s="2622"/>
      <c r="E163" s="2622"/>
      <c r="F163" s="2622"/>
      <c r="G163" s="2622"/>
      <c r="H163" s="2622"/>
      <c r="I163" s="2622"/>
      <c r="J163" s="2622"/>
      <c r="K163" s="2622"/>
      <c r="L163" s="2622"/>
      <c r="M163" s="2622"/>
      <c r="N163" s="2622"/>
      <c r="O163" s="2622"/>
      <c r="P163" s="2622"/>
      <c r="Q163" s="2623"/>
    </row>
    <row r="164" spans="1:32" ht="3" customHeight="1">
      <c r="A164" s="2286"/>
      <c r="B164" s="2300"/>
      <c r="C164" s="2297"/>
      <c r="D164" s="2297"/>
      <c r="E164" s="2297"/>
      <c r="F164" s="2297"/>
      <c r="G164" s="2297"/>
      <c r="H164" s="2297"/>
      <c r="I164" s="2297"/>
      <c r="J164" s="2297"/>
      <c r="K164" s="2297"/>
      <c r="L164" s="2297"/>
      <c r="M164" s="2297"/>
      <c r="N164" s="2297"/>
      <c r="O164" s="2297"/>
      <c r="P164" s="2297"/>
      <c r="Q164" s="2286"/>
    </row>
    <row r="165" spans="1:32" ht="13.9" customHeight="1">
      <c r="A165" s="2283" t="s">
        <v>292</v>
      </c>
      <c r="B165" s="2283" t="s">
        <v>2657</v>
      </c>
      <c r="C165" s="2283"/>
      <c r="D165" s="2297"/>
      <c r="E165" s="2297"/>
      <c r="F165" s="2297"/>
      <c r="G165" s="2297"/>
      <c r="H165" s="2297"/>
      <c r="I165" s="2297"/>
      <c r="J165" s="2297"/>
      <c r="K165" s="2297"/>
      <c r="O165" s="131" t="s">
        <v>1868</v>
      </c>
      <c r="P165" s="2624"/>
      <c r="Q165" s="2625"/>
    </row>
    <row r="166" spans="1:32" ht="12" customHeight="1">
      <c r="A166" s="46" t="s">
        <v>1984</v>
      </c>
      <c r="B166" s="51" t="s">
        <v>4742</v>
      </c>
      <c r="D166" s="51"/>
      <c r="E166" s="51"/>
      <c r="F166" s="51"/>
      <c r="G166" s="51"/>
      <c r="H166" s="51" t="s">
        <v>2708</v>
      </c>
      <c r="K166" s="3921">
        <v>43861</v>
      </c>
      <c r="L166" s="3922"/>
      <c r="N166" s="51"/>
      <c r="O166" s="463" t="s">
        <v>1984</v>
      </c>
      <c r="P166" s="3888" t="s">
        <v>2990</v>
      </c>
      <c r="Q166" s="532"/>
    </row>
    <row r="167" spans="1:32" ht="12" customHeight="1">
      <c r="A167" s="46" t="s">
        <v>1986</v>
      </c>
      <c r="B167" s="139" t="s">
        <v>150</v>
      </c>
      <c r="D167" s="139"/>
      <c r="E167" s="139"/>
      <c r="F167" s="139" t="str">
        <f>IF(N167="Ground lease/Option","Ground lease/Option:","")</f>
        <v/>
      </c>
      <c r="H167" s="54" t="str">
        <f>IF(N167="Ground lease/Option","Annual Pymt:","")</f>
        <v/>
      </c>
      <c r="I167" s="2179" t="str">
        <f>IF(N167="Ground lease/Option",'Part VI-Revenues &amp; Expenses'!$H$243,"")</f>
        <v/>
      </c>
      <c r="K167" s="443" t="str">
        <f>IF(N167="Ground lease/Option","Term:","")</f>
        <v/>
      </c>
      <c r="L167" s="2178" t="str">
        <f>IF(N167="Ground lease/Option",'Part VI-Revenues &amp; Expenses'!$K$243,"")</f>
        <v/>
      </c>
      <c r="M167" s="463" t="s">
        <v>1986</v>
      </c>
      <c r="N167" s="3923" t="s">
        <v>5223</v>
      </c>
      <c r="O167" s="3924"/>
      <c r="P167" s="2742" t="s">
        <v>1771</v>
      </c>
      <c r="Q167" s="2743"/>
    </row>
    <row r="168" spans="1:32" ht="12" customHeight="1">
      <c r="A168" s="46" t="s">
        <v>749</v>
      </c>
      <c r="B168" s="139" t="s">
        <v>682</v>
      </c>
      <c r="D168" s="139"/>
      <c r="E168" s="139"/>
      <c r="F168" s="139"/>
      <c r="G168" s="139"/>
      <c r="H168" s="139"/>
      <c r="J168" s="463" t="s">
        <v>749</v>
      </c>
      <c r="K168" s="3894" t="s">
        <v>5218</v>
      </c>
      <c r="L168" s="3895"/>
      <c r="M168" s="3895"/>
      <c r="N168" s="3895"/>
      <c r="O168" s="3895"/>
      <c r="P168" s="3896"/>
      <c r="Q168" s="532"/>
    </row>
    <row r="169" spans="1:32" ht="12" customHeight="1">
      <c r="B169" s="140" t="s">
        <v>3750</v>
      </c>
      <c r="D169" s="140"/>
      <c r="E169" s="140"/>
      <c r="F169" s="140"/>
      <c r="G169" s="140"/>
      <c r="H169" s="39"/>
      <c r="I169" s="2300"/>
      <c r="J169" s="2300"/>
      <c r="K169" s="2300"/>
      <c r="L169" s="2286"/>
      <c r="M169" s="2286"/>
      <c r="N169" s="2286"/>
      <c r="O169" s="2286"/>
      <c r="P169" s="2286"/>
      <c r="Q169" s="896"/>
    </row>
    <row r="170" spans="1:32" ht="22.9" customHeight="1">
      <c r="A170" s="3885" t="s">
        <v>5312</v>
      </c>
      <c r="B170" s="3886"/>
      <c r="C170" s="3886"/>
      <c r="D170" s="3886"/>
      <c r="E170" s="3886"/>
      <c r="F170" s="3886"/>
      <c r="G170" s="3886"/>
      <c r="H170" s="3886"/>
      <c r="I170" s="3886"/>
      <c r="J170" s="3886"/>
      <c r="K170" s="3886"/>
      <c r="L170" s="3886"/>
      <c r="M170" s="3886"/>
      <c r="N170" s="3886"/>
      <c r="O170" s="3886"/>
      <c r="P170" s="3886"/>
      <c r="Q170" s="3887"/>
      <c r="U170" s="135"/>
      <c r="V170" s="135"/>
      <c r="W170" s="135"/>
      <c r="X170" s="135"/>
      <c r="Y170" s="135"/>
      <c r="Z170" s="135"/>
      <c r="AA170" s="135"/>
      <c r="AB170" s="135"/>
      <c r="AC170" s="135"/>
      <c r="AD170" s="135"/>
      <c r="AE170" s="465"/>
    </row>
    <row r="171" spans="1:32" ht="12" customHeight="1">
      <c r="B171" s="136" t="s">
        <v>1867</v>
      </c>
      <c r="C171" s="137"/>
      <c r="D171" s="2297"/>
      <c r="E171" s="2297"/>
      <c r="F171" s="2297"/>
      <c r="G171" s="2297"/>
      <c r="H171" s="2297"/>
      <c r="I171" s="2297"/>
      <c r="J171" s="2297"/>
      <c r="K171" s="2297"/>
      <c r="L171" s="2297"/>
      <c r="M171" s="2297"/>
      <c r="N171" s="2297"/>
      <c r="O171" s="2297"/>
      <c r="P171" s="2297"/>
      <c r="Q171" s="2297"/>
    </row>
    <row r="172" spans="1:32" ht="11.65" customHeight="1">
      <c r="A172" s="2621"/>
      <c r="B172" s="2622"/>
      <c r="C172" s="2622"/>
      <c r="D172" s="2622"/>
      <c r="E172" s="2622"/>
      <c r="F172" s="2622"/>
      <c r="G172" s="2622"/>
      <c r="H172" s="2622"/>
      <c r="I172" s="2622"/>
      <c r="J172" s="2622"/>
      <c r="K172" s="2622"/>
      <c r="L172" s="2622"/>
      <c r="M172" s="2622"/>
      <c r="N172" s="2622"/>
      <c r="O172" s="2622"/>
      <c r="P172" s="2622"/>
      <c r="Q172" s="2623"/>
    </row>
    <row r="173" spans="1:32" ht="3" customHeight="1">
      <c r="A173" s="2286"/>
      <c r="B173" s="2300"/>
      <c r="C173" s="2297"/>
      <c r="D173" s="2297"/>
      <c r="E173" s="2297"/>
      <c r="F173" s="2297"/>
      <c r="G173" s="2297"/>
      <c r="H173" s="2297"/>
      <c r="I173" s="2297"/>
      <c r="J173" s="2297"/>
      <c r="K173" s="2297"/>
      <c r="L173" s="2297"/>
      <c r="M173" s="2297"/>
      <c r="Q173" s="2286"/>
    </row>
    <row r="174" spans="1:32" ht="13.9" customHeight="1">
      <c r="A174" s="2283" t="s">
        <v>426</v>
      </c>
      <c r="B174" s="2283" t="s">
        <v>2658</v>
      </c>
      <c r="C174" s="2283"/>
      <c r="D174" s="2297"/>
      <c r="E174" s="2297"/>
      <c r="F174" s="2297"/>
      <c r="G174" s="2297"/>
      <c r="H174" s="2297"/>
      <c r="I174" s="2297"/>
      <c r="J174" s="2297"/>
      <c r="K174" s="2297"/>
      <c r="L174" s="2297"/>
      <c r="M174" s="2297"/>
      <c r="O174" s="131" t="s">
        <v>1868</v>
      </c>
      <c r="P174" s="2624"/>
      <c r="Q174" s="2625"/>
    </row>
    <row r="175" spans="1:32" ht="21.75" customHeight="1">
      <c r="A175" s="141" t="s">
        <v>1984</v>
      </c>
      <c r="B175" s="2620" t="s">
        <v>3740</v>
      </c>
      <c r="C175" s="2620"/>
      <c r="D175" s="2620"/>
      <c r="E175" s="2620"/>
      <c r="F175" s="2620"/>
      <c r="G175" s="2620"/>
      <c r="H175" s="2620"/>
      <c r="I175" s="2620"/>
      <c r="J175" s="2620"/>
      <c r="K175" s="2620"/>
      <c r="L175" s="2620"/>
      <c r="M175" s="2620"/>
      <c r="N175" s="2620"/>
      <c r="O175" s="160" t="s">
        <v>1984</v>
      </c>
      <c r="P175" s="3925" t="s">
        <v>2990</v>
      </c>
      <c r="Q175" s="1149"/>
    </row>
    <row r="176" spans="1:32" ht="22.15" customHeight="1">
      <c r="A176" s="141" t="s">
        <v>1986</v>
      </c>
      <c r="B176" s="2620" t="s">
        <v>4758</v>
      </c>
      <c r="C176" s="2620"/>
      <c r="D176" s="2620"/>
      <c r="E176" s="2620"/>
      <c r="F176" s="2620"/>
      <c r="G176" s="2620"/>
      <c r="H176" s="2620"/>
      <c r="I176" s="2620"/>
      <c r="J176" s="2620"/>
      <c r="K176" s="2620"/>
      <c r="L176" s="2620"/>
      <c r="M176" s="2620"/>
      <c r="N176" s="2620"/>
      <c r="O176" s="160" t="s">
        <v>1986</v>
      </c>
      <c r="P176" s="3915" t="s">
        <v>5245</v>
      </c>
      <c r="Q176" s="2292"/>
    </row>
    <row r="177" spans="1:32" ht="22.15" customHeight="1">
      <c r="A177" s="141" t="s">
        <v>749</v>
      </c>
      <c r="B177" s="2620" t="s">
        <v>3741</v>
      </c>
      <c r="C177" s="2620"/>
      <c r="D177" s="2620"/>
      <c r="E177" s="2620"/>
      <c r="F177" s="2620"/>
      <c r="G177" s="2620"/>
      <c r="H177" s="2620"/>
      <c r="I177" s="2620"/>
      <c r="J177" s="2620"/>
      <c r="K177" s="2620"/>
      <c r="L177" s="2620"/>
      <c r="M177" s="2620"/>
      <c r="N177" s="2620"/>
      <c r="O177" s="160" t="s">
        <v>749</v>
      </c>
      <c r="P177" s="3915" t="s">
        <v>5245</v>
      </c>
      <c r="Q177" s="2292"/>
    </row>
    <row r="178" spans="1:32" ht="21.75" customHeight="1">
      <c r="A178" s="141" t="s">
        <v>2116</v>
      </c>
      <c r="B178" s="2620" t="s">
        <v>4903</v>
      </c>
      <c r="C178" s="2620"/>
      <c r="D178" s="2620"/>
      <c r="E178" s="2620"/>
      <c r="F178" s="2620"/>
      <c r="G178" s="2620"/>
      <c r="H178" s="2620"/>
      <c r="I178" s="2620"/>
      <c r="J178" s="2620"/>
      <c r="K178" s="2620"/>
      <c r="L178" s="2620"/>
      <c r="M178" s="2620"/>
      <c r="N178" s="2620"/>
      <c r="O178" s="160" t="s">
        <v>2116</v>
      </c>
      <c r="P178" s="3926" t="s">
        <v>5245</v>
      </c>
      <c r="Q178" s="2296"/>
    </row>
    <row r="179" spans="1:32" ht="12" customHeight="1">
      <c r="B179" s="140" t="s">
        <v>3750</v>
      </c>
      <c r="D179" s="140"/>
      <c r="E179" s="140"/>
      <c r="F179" s="140"/>
      <c r="G179" s="140"/>
      <c r="H179" s="39"/>
      <c r="I179" s="2300"/>
      <c r="J179" s="2300"/>
      <c r="K179" s="2300"/>
      <c r="L179" s="2286"/>
      <c r="M179" s="2286"/>
      <c r="N179" s="2286"/>
      <c r="O179" s="2286"/>
      <c r="P179" s="2286"/>
      <c r="Q179" s="896"/>
    </row>
    <row r="180" spans="1:32" ht="11.65" customHeight="1">
      <c r="A180" s="3885" t="s">
        <v>5258</v>
      </c>
      <c r="B180" s="3886"/>
      <c r="C180" s="3886"/>
      <c r="D180" s="3886"/>
      <c r="E180" s="3886"/>
      <c r="F180" s="3886"/>
      <c r="G180" s="3886"/>
      <c r="H180" s="3886"/>
      <c r="I180" s="3886"/>
      <c r="J180" s="3886"/>
      <c r="K180" s="3886"/>
      <c r="L180" s="3886"/>
      <c r="M180" s="3886"/>
      <c r="N180" s="3886"/>
      <c r="O180" s="3886"/>
      <c r="P180" s="3886"/>
      <c r="Q180" s="3887"/>
      <c r="U180" s="135"/>
      <c r="V180" s="135"/>
      <c r="W180" s="135"/>
      <c r="X180" s="135"/>
      <c r="Y180" s="135"/>
      <c r="Z180" s="135"/>
      <c r="AA180" s="135"/>
      <c r="AB180" s="135"/>
      <c r="AC180" s="135"/>
      <c r="AD180" s="135"/>
      <c r="AE180" s="465"/>
    </row>
    <row r="181" spans="1:32" ht="12" customHeight="1">
      <c r="B181" s="136" t="s">
        <v>1867</v>
      </c>
      <c r="C181" s="137"/>
      <c r="D181" s="2297"/>
      <c r="E181" s="2297"/>
      <c r="F181" s="2297"/>
      <c r="G181" s="2297"/>
      <c r="H181" s="2297"/>
      <c r="I181" s="2297"/>
      <c r="J181" s="2297"/>
      <c r="K181" s="2297"/>
      <c r="L181" s="2297"/>
      <c r="M181" s="2297"/>
      <c r="N181" s="2297"/>
      <c r="O181" s="2297"/>
      <c r="P181" s="2297"/>
      <c r="Q181" s="2297"/>
    </row>
    <row r="182" spans="1:32" ht="11.65" customHeight="1">
      <c r="A182" s="2621"/>
      <c r="B182" s="2622"/>
      <c r="C182" s="2622"/>
      <c r="D182" s="2622"/>
      <c r="E182" s="2622"/>
      <c r="F182" s="2622"/>
      <c r="G182" s="2622"/>
      <c r="H182" s="2622"/>
      <c r="I182" s="2622"/>
      <c r="J182" s="2622"/>
      <c r="K182" s="2622"/>
      <c r="L182" s="2622"/>
      <c r="M182" s="2622"/>
      <c r="N182" s="2622"/>
      <c r="O182" s="2622"/>
      <c r="P182" s="2622"/>
      <c r="Q182" s="2623"/>
    </row>
    <row r="183" spans="1:32" ht="3" customHeight="1">
      <c r="B183" s="2300"/>
      <c r="C183" s="2297"/>
      <c r="D183" s="2297"/>
      <c r="E183" s="2297"/>
      <c r="F183" s="2297"/>
      <c r="G183" s="2297"/>
      <c r="H183" s="2297"/>
      <c r="I183" s="2297"/>
      <c r="J183" s="2297"/>
      <c r="K183" s="2297"/>
      <c r="L183" s="2297"/>
      <c r="M183" s="2297"/>
      <c r="N183" s="2297"/>
      <c r="O183" s="2297"/>
      <c r="P183" s="2297"/>
      <c r="Q183" s="2286"/>
    </row>
    <row r="184" spans="1:32" ht="13.9" customHeight="1">
      <c r="A184" s="2264" t="s">
        <v>362</v>
      </c>
      <c r="B184" s="2574" t="s">
        <v>2659</v>
      </c>
      <c r="C184" s="2574"/>
      <c r="D184" s="2574"/>
      <c r="O184" s="131" t="s">
        <v>1868</v>
      </c>
      <c r="P184" s="2624"/>
      <c r="Q184" s="2625"/>
    </row>
    <row r="185" spans="1:32" ht="12" customHeight="1">
      <c r="A185" s="141" t="s">
        <v>1984</v>
      </c>
      <c r="B185" s="879" t="s">
        <v>468</v>
      </c>
      <c r="D185" s="879"/>
      <c r="E185" s="879"/>
      <c r="F185" s="879"/>
      <c r="G185" s="879"/>
      <c r="H185" s="879"/>
      <c r="I185" s="879"/>
      <c r="J185" s="879"/>
      <c r="K185" s="879"/>
      <c r="L185" s="879"/>
      <c r="M185" s="879"/>
      <c r="O185" s="160" t="s">
        <v>1984</v>
      </c>
      <c r="P185" s="3927" t="s">
        <v>2990</v>
      </c>
      <c r="Q185" s="534"/>
    </row>
    <row r="186" spans="1:32" ht="12" customHeight="1">
      <c r="A186" s="141" t="s">
        <v>1986</v>
      </c>
      <c r="B186" s="879" t="s">
        <v>2644</v>
      </c>
      <c r="D186" s="879"/>
      <c r="E186" s="879"/>
      <c r="F186" s="879"/>
      <c r="G186" s="879"/>
      <c r="H186" s="879"/>
      <c r="I186" s="879"/>
      <c r="J186" s="879"/>
      <c r="K186" s="879"/>
      <c r="L186" s="879"/>
      <c r="M186" s="879"/>
      <c r="O186" s="160" t="s">
        <v>1986</v>
      </c>
      <c r="P186" s="3892" t="s">
        <v>2990</v>
      </c>
      <c r="Q186" s="535"/>
    </row>
    <row r="187" spans="1:32" ht="12" customHeight="1">
      <c r="A187" s="141" t="s">
        <v>749</v>
      </c>
      <c r="B187" s="879" t="s">
        <v>2645</v>
      </c>
      <c r="D187" s="879"/>
      <c r="E187" s="879"/>
      <c r="F187" s="879"/>
      <c r="G187" s="879"/>
      <c r="H187" s="879"/>
      <c r="I187" s="879"/>
      <c r="J187" s="139" t="s">
        <v>4920</v>
      </c>
      <c r="L187" s="879"/>
      <c r="M187" s="879"/>
      <c r="O187" s="160" t="s">
        <v>749</v>
      </c>
      <c r="P187" s="3892" t="s">
        <v>2990</v>
      </c>
      <c r="Q187" s="535"/>
    </row>
    <row r="188" spans="1:32" ht="12" customHeight="1">
      <c r="B188" s="39" t="s">
        <v>1737</v>
      </c>
      <c r="C188" s="897" t="s">
        <v>2646</v>
      </c>
      <c r="G188" s="879"/>
      <c r="H188" s="879"/>
      <c r="J188" s="879"/>
      <c r="K188" s="879"/>
      <c r="L188" s="879"/>
      <c r="M188" s="879"/>
      <c r="O188" s="443" t="s">
        <v>1737</v>
      </c>
      <c r="P188" s="3892" t="s">
        <v>2990</v>
      </c>
      <c r="Q188" s="535"/>
    </row>
    <row r="189" spans="1:32" ht="12" customHeight="1">
      <c r="A189" s="139"/>
      <c r="B189" s="39" t="s">
        <v>1738</v>
      </c>
      <c r="C189" s="897" t="s">
        <v>2647</v>
      </c>
      <c r="G189" s="879"/>
      <c r="H189" s="879"/>
      <c r="I189" s="879"/>
      <c r="J189" s="879"/>
      <c r="K189" s="879"/>
      <c r="L189" s="879"/>
      <c r="M189" s="879"/>
      <c r="O189" s="443" t="s">
        <v>1738</v>
      </c>
      <c r="P189" s="3892" t="s">
        <v>2990</v>
      </c>
      <c r="Q189" s="535"/>
    </row>
    <row r="190" spans="1:32" s="132" customFormat="1" ht="21.75" customHeight="1">
      <c r="A190" s="141"/>
      <c r="B190" s="477" t="s">
        <v>1739</v>
      </c>
      <c r="C190" s="2620" t="s">
        <v>3742</v>
      </c>
      <c r="D190" s="2620"/>
      <c r="E190" s="2620"/>
      <c r="F190" s="2620"/>
      <c r="G190" s="2620"/>
      <c r="H190" s="2620"/>
      <c r="I190" s="2620"/>
      <c r="J190" s="2620"/>
      <c r="K190" s="2620"/>
      <c r="L190" s="2620"/>
      <c r="M190" s="2620"/>
      <c r="N190" s="2620"/>
      <c r="O190" s="160" t="s">
        <v>1739</v>
      </c>
      <c r="P190" s="3915" t="s">
        <v>2990</v>
      </c>
      <c r="Q190" s="2292"/>
      <c r="AE190" s="466"/>
      <c r="AF190" s="466"/>
    </row>
    <row r="191" spans="1:32" ht="12" customHeight="1">
      <c r="A191" s="141"/>
      <c r="B191" s="39" t="s">
        <v>2366</v>
      </c>
      <c r="C191" s="897" t="s">
        <v>2648</v>
      </c>
      <c r="G191" s="879"/>
      <c r="H191" s="879"/>
      <c r="I191" s="879"/>
      <c r="J191" s="879"/>
      <c r="K191" s="879"/>
      <c r="L191" s="879"/>
      <c r="M191" s="879"/>
      <c r="O191" s="443" t="s">
        <v>2366</v>
      </c>
      <c r="P191" s="3892" t="s">
        <v>2990</v>
      </c>
      <c r="Q191" s="535"/>
    </row>
    <row r="192" spans="1:32" s="132" customFormat="1" ht="21.75" customHeight="1">
      <c r="A192" s="141"/>
      <c r="B192" s="477" t="s">
        <v>1549</v>
      </c>
      <c r="C192" s="2620" t="s">
        <v>2649</v>
      </c>
      <c r="D192" s="2620"/>
      <c r="E192" s="2620"/>
      <c r="F192" s="2620"/>
      <c r="G192" s="2620"/>
      <c r="H192" s="2620"/>
      <c r="I192" s="2620"/>
      <c r="J192" s="2620"/>
      <c r="K192" s="2620"/>
      <c r="L192" s="2620"/>
      <c r="M192" s="2620"/>
      <c r="N192" s="2620"/>
      <c r="O192" s="160" t="s">
        <v>1549</v>
      </c>
      <c r="P192" s="3915" t="s">
        <v>5245</v>
      </c>
      <c r="Q192" s="2292"/>
      <c r="AE192" s="466"/>
      <c r="AF192" s="466"/>
    </row>
    <row r="193" spans="1:32" s="132" customFormat="1" ht="21.75" customHeight="1">
      <c r="A193" s="141"/>
      <c r="B193" s="477" t="s">
        <v>1550</v>
      </c>
      <c r="C193" s="2620" t="s">
        <v>3893</v>
      </c>
      <c r="D193" s="2620"/>
      <c r="E193" s="2620"/>
      <c r="F193" s="2620"/>
      <c r="G193" s="2620"/>
      <c r="H193" s="2620"/>
      <c r="I193" s="2620"/>
      <c r="J193" s="2620"/>
      <c r="K193" s="2620"/>
      <c r="L193" s="2620"/>
      <c r="M193" s="2620"/>
      <c r="N193" s="2620"/>
      <c r="O193" s="160" t="s">
        <v>1550</v>
      </c>
      <c r="P193" s="3915" t="s">
        <v>5245</v>
      </c>
      <c r="Q193" s="2292"/>
      <c r="AE193" s="466"/>
      <c r="AF193" s="466"/>
    </row>
    <row r="194" spans="1:32" ht="21.75" customHeight="1">
      <c r="A194" s="141" t="s">
        <v>2116</v>
      </c>
      <c r="B194" s="2620" t="s">
        <v>2650</v>
      </c>
      <c r="C194" s="2620"/>
      <c r="D194" s="2620"/>
      <c r="E194" s="2620"/>
      <c r="F194" s="2620"/>
      <c r="G194" s="2620"/>
      <c r="H194" s="2620"/>
      <c r="I194" s="2620"/>
      <c r="J194" s="2620"/>
      <c r="K194" s="2620"/>
      <c r="L194" s="2620"/>
      <c r="M194" s="2620"/>
      <c r="N194" s="2620"/>
      <c r="O194" s="160" t="s">
        <v>2116</v>
      </c>
      <c r="P194" s="3915" t="s">
        <v>2990</v>
      </c>
      <c r="Q194" s="2292"/>
    </row>
    <row r="195" spans="1:32" ht="12" customHeight="1">
      <c r="A195" s="141" t="s">
        <v>1735</v>
      </c>
      <c r="B195" s="879" t="s">
        <v>2380</v>
      </c>
      <c r="D195" s="879"/>
      <c r="E195" s="879"/>
      <c r="F195" s="879"/>
      <c r="G195" s="879"/>
      <c r="H195" s="879"/>
      <c r="I195" s="879"/>
      <c r="J195" s="879"/>
      <c r="K195" s="879"/>
      <c r="L195" s="879"/>
      <c r="M195" s="879"/>
      <c r="O195" s="160" t="s">
        <v>1735</v>
      </c>
      <c r="P195" s="3893" t="s">
        <v>2990</v>
      </c>
      <c r="Q195" s="536"/>
    </row>
    <row r="196" spans="1:32" ht="12" customHeight="1">
      <c r="B196" s="140" t="s">
        <v>3750</v>
      </c>
      <c r="D196" s="140"/>
      <c r="E196" s="140"/>
      <c r="F196" s="140"/>
      <c r="G196" s="140"/>
      <c r="H196" s="39"/>
      <c r="I196" s="2300"/>
      <c r="J196" s="2300"/>
      <c r="K196" s="2300"/>
      <c r="L196" s="2286"/>
      <c r="M196" s="2286"/>
      <c r="N196" s="2286"/>
      <c r="O196" s="2286"/>
      <c r="P196" s="2286"/>
      <c r="Q196" s="896"/>
    </row>
    <row r="197" spans="1:32" ht="22.9" customHeight="1">
      <c r="A197" s="3885" t="s">
        <v>5246</v>
      </c>
      <c r="B197" s="3886"/>
      <c r="C197" s="3886"/>
      <c r="D197" s="3886"/>
      <c r="E197" s="3886"/>
      <c r="F197" s="3886"/>
      <c r="G197" s="3886"/>
      <c r="H197" s="3886"/>
      <c r="I197" s="3886"/>
      <c r="J197" s="3886"/>
      <c r="K197" s="3886"/>
      <c r="L197" s="3886"/>
      <c r="M197" s="3886"/>
      <c r="N197" s="3886"/>
      <c r="O197" s="3886"/>
      <c r="P197" s="3886"/>
      <c r="Q197" s="3887"/>
      <c r="U197" s="135"/>
      <c r="V197" s="135"/>
      <c r="W197" s="135"/>
      <c r="X197" s="135"/>
      <c r="Y197" s="135"/>
      <c r="Z197" s="135"/>
      <c r="AA197" s="135"/>
      <c r="AB197" s="135"/>
      <c r="AC197" s="135"/>
      <c r="AD197" s="135"/>
      <c r="AE197" s="465"/>
    </row>
    <row r="198" spans="1:32" ht="12" customHeight="1">
      <c r="B198" s="136" t="s">
        <v>1867</v>
      </c>
      <c r="C198" s="137"/>
      <c r="D198" s="2297"/>
      <c r="E198" s="2297"/>
      <c r="F198" s="2297"/>
      <c r="G198" s="2297"/>
      <c r="H198" s="2297"/>
      <c r="I198" s="2297"/>
      <c r="J198" s="2297"/>
      <c r="K198" s="2297"/>
      <c r="L198" s="2297"/>
      <c r="M198" s="2297"/>
      <c r="N198" s="2297"/>
      <c r="O198" s="2297"/>
      <c r="P198" s="2297"/>
      <c r="Q198" s="2297"/>
    </row>
    <row r="199" spans="1:32" ht="11.65" customHeight="1">
      <c r="A199" s="2621"/>
      <c r="B199" s="2622"/>
      <c r="C199" s="2622"/>
      <c r="D199" s="2622"/>
      <c r="E199" s="2622"/>
      <c r="F199" s="2622"/>
      <c r="G199" s="2622"/>
      <c r="H199" s="2622"/>
      <c r="I199" s="2622"/>
      <c r="J199" s="2622"/>
      <c r="K199" s="2622"/>
      <c r="L199" s="2622"/>
      <c r="M199" s="2622"/>
      <c r="N199" s="2622"/>
      <c r="O199" s="2622"/>
      <c r="P199" s="2622"/>
      <c r="Q199" s="2623"/>
    </row>
    <row r="200" spans="1:32" ht="3" customHeight="1">
      <c r="A200" s="2286"/>
      <c r="B200" s="2300"/>
      <c r="C200" s="2297"/>
      <c r="D200" s="2297"/>
      <c r="E200" s="2297"/>
      <c r="F200" s="2297"/>
      <c r="G200" s="2297"/>
      <c r="H200" s="2297"/>
      <c r="I200" s="2297"/>
      <c r="J200" s="2297"/>
      <c r="K200" s="2297"/>
      <c r="L200" s="2297"/>
      <c r="M200" s="2297"/>
      <c r="N200" s="2297"/>
      <c r="O200" s="2297"/>
      <c r="P200" s="2297"/>
      <c r="Q200" s="2286"/>
    </row>
    <row r="201" spans="1:32" ht="13.9" customHeight="1">
      <c r="A201" s="2283" t="s">
        <v>363</v>
      </c>
      <c r="B201" s="2283" t="s">
        <v>2660</v>
      </c>
      <c r="C201" s="2283"/>
      <c r="D201" s="2297"/>
      <c r="E201" s="146"/>
      <c r="F201" s="146"/>
      <c r="G201" s="2297"/>
      <c r="J201" s="898"/>
      <c r="K201" s="898"/>
      <c r="L201" s="898"/>
      <c r="M201" s="898"/>
      <c r="N201" s="898"/>
      <c r="O201" s="131" t="s">
        <v>1868</v>
      </c>
      <c r="P201" s="2624"/>
      <c r="Q201" s="2625"/>
    </row>
    <row r="202" spans="1:32" ht="22.5" customHeight="1">
      <c r="A202" s="2744" t="s">
        <v>5074</v>
      </c>
      <c r="B202" s="2744"/>
      <c r="C202" s="2744"/>
      <c r="D202" s="2744"/>
      <c r="E202" s="2744"/>
      <c r="F202" s="2744"/>
      <c r="G202" s="2744"/>
      <c r="H202" s="2744"/>
      <c r="I202" s="2744"/>
      <c r="J202" s="2744"/>
      <c r="K202" s="2744"/>
      <c r="L202" s="2744"/>
      <c r="M202" s="2744"/>
      <c r="N202" s="2744"/>
      <c r="O202" s="2744"/>
      <c r="P202" s="2744"/>
      <c r="Q202" s="2744"/>
    </row>
    <row r="203" spans="1:32" ht="11.25" customHeight="1">
      <c r="A203" s="138"/>
      <c r="B203" s="139" t="s">
        <v>97</v>
      </c>
      <c r="D203" s="139"/>
      <c r="E203" s="139"/>
      <c r="F203" s="139"/>
      <c r="G203" s="139"/>
      <c r="H203" s="65" t="s">
        <v>1737</v>
      </c>
      <c r="I203" s="51" t="s">
        <v>152</v>
      </c>
      <c r="J203" s="3898" t="s">
        <v>1844</v>
      </c>
      <c r="K203" s="3899"/>
      <c r="L203" s="3899"/>
      <c r="M203" s="3899"/>
      <c r="N203" s="3928"/>
      <c r="O203" s="65" t="s">
        <v>1737</v>
      </c>
      <c r="P203" s="3891" t="s">
        <v>2993</v>
      </c>
      <c r="Q203" s="534"/>
    </row>
    <row r="204" spans="1:32" ht="11.25" customHeight="1">
      <c r="A204" s="138"/>
      <c r="B204" s="140" t="s">
        <v>3750</v>
      </c>
      <c r="C204" s="104"/>
      <c r="D204" s="104"/>
      <c r="E204" s="104"/>
      <c r="F204" s="104"/>
      <c r="H204" s="65" t="s">
        <v>1738</v>
      </c>
      <c r="I204" s="51" t="s">
        <v>1596</v>
      </c>
      <c r="J204" s="3929" t="s">
        <v>5184</v>
      </c>
      <c r="K204" s="3930"/>
      <c r="L204" s="3930"/>
      <c r="M204" s="3930"/>
      <c r="N204" s="3931"/>
      <c r="O204" s="65" t="s">
        <v>1738</v>
      </c>
      <c r="P204" s="3893" t="s">
        <v>2990</v>
      </c>
      <c r="Q204" s="536"/>
    </row>
    <row r="205" spans="1:32" ht="11.65" customHeight="1">
      <c r="A205" s="3885" t="s">
        <v>5247</v>
      </c>
      <c r="B205" s="3886"/>
      <c r="C205" s="3886"/>
      <c r="D205" s="3886"/>
      <c r="E205" s="3886"/>
      <c r="F205" s="3886"/>
      <c r="G205" s="3886"/>
      <c r="H205" s="3886"/>
      <c r="I205" s="3886"/>
      <c r="J205" s="3886"/>
      <c r="K205" s="3886"/>
      <c r="L205" s="3886"/>
      <c r="M205" s="3886"/>
      <c r="N205" s="3886"/>
      <c r="O205" s="3886"/>
      <c r="P205" s="3886"/>
      <c r="Q205" s="3887"/>
      <c r="U205" s="135"/>
      <c r="V205" s="135"/>
      <c r="W205" s="135"/>
      <c r="X205" s="135"/>
      <c r="Y205" s="135"/>
      <c r="Z205" s="135"/>
      <c r="AA205" s="135"/>
      <c r="AB205" s="135"/>
      <c r="AC205" s="135"/>
      <c r="AD205" s="135"/>
      <c r="AE205" s="465"/>
    </row>
    <row r="206" spans="1:32" ht="11.25" customHeight="1">
      <c r="B206" s="136" t="s">
        <v>1867</v>
      </c>
      <c r="C206" s="137"/>
      <c r="D206" s="2297"/>
      <c r="E206" s="2297"/>
      <c r="F206" s="2297"/>
      <c r="G206" s="2297"/>
      <c r="H206" s="2297"/>
      <c r="I206" s="2297"/>
      <c r="J206" s="2297"/>
      <c r="K206" s="2297"/>
      <c r="L206" s="2297"/>
      <c r="M206" s="2297"/>
      <c r="N206" s="2297"/>
      <c r="O206" s="2297"/>
      <c r="P206" s="2297"/>
      <c r="Q206" s="2297"/>
    </row>
    <row r="207" spans="1:32" ht="11.65" customHeight="1">
      <c r="A207" s="2621"/>
      <c r="B207" s="2622"/>
      <c r="C207" s="2622"/>
      <c r="D207" s="2622"/>
      <c r="E207" s="2622"/>
      <c r="F207" s="2622"/>
      <c r="G207" s="2622"/>
      <c r="H207" s="2622"/>
      <c r="I207" s="2622"/>
      <c r="J207" s="2622"/>
      <c r="K207" s="2622"/>
      <c r="L207" s="2622"/>
      <c r="M207" s="2622"/>
      <c r="N207" s="2622"/>
      <c r="O207" s="2622"/>
      <c r="P207" s="2622"/>
      <c r="Q207" s="2623"/>
    </row>
    <row r="208" spans="1:32" ht="4.1500000000000004" customHeight="1">
      <c r="B208" s="2300"/>
      <c r="C208" s="2297"/>
      <c r="D208" s="2297"/>
      <c r="E208" s="2297"/>
      <c r="F208" s="2297"/>
      <c r="G208" s="2297"/>
      <c r="H208" s="2297"/>
      <c r="I208" s="2297"/>
      <c r="J208" s="2297"/>
      <c r="K208" s="2297"/>
      <c r="L208" s="2297"/>
      <c r="M208" s="2297"/>
      <c r="Q208" s="896"/>
    </row>
    <row r="209" spans="1:32" ht="13.9" customHeight="1">
      <c r="A209" s="2283" t="s">
        <v>364</v>
      </c>
      <c r="B209" s="3" t="s">
        <v>2661</v>
      </c>
      <c r="C209" s="3"/>
      <c r="D209" s="86"/>
      <c r="E209" s="86"/>
      <c r="F209" s="86"/>
      <c r="G209" s="2297"/>
      <c r="H209" s="2297"/>
      <c r="I209" s="2297"/>
      <c r="J209" s="2297"/>
      <c r="K209" s="2297"/>
      <c r="L209" s="2297"/>
      <c r="M209" s="2297"/>
      <c r="O209" s="131" t="s">
        <v>1868</v>
      </c>
      <c r="P209" s="2624"/>
      <c r="Q209" s="2625"/>
    </row>
    <row r="210" spans="1:32" ht="11.65" customHeight="1">
      <c r="A210" s="141" t="s">
        <v>1984</v>
      </c>
      <c r="B210" s="2620" t="s">
        <v>1850</v>
      </c>
      <c r="C210" s="2620"/>
      <c r="D210" s="2620"/>
      <c r="E210" s="2620"/>
      <c r="F210" s="2620"/>
      <c r="G210" s="2620"/>
      <c r="H210" s="65" t="s">
        <v>1737</v>
      </c>
      <c r="I210" s="51" t="s">
        <v>635</v>
      </c>
      <c r="J210" s="3898" t="s">
        <v>5211</v>
      </c>
      <c r="K210" s="3899"/>
      <c r="L210" s="3899"/>
      <c r="M210" s="3899"/>
      <c r="N210" s="3928"/>
      <c r="O210" s="160" t="s">
        <v>1486</v>
      </c>
      <c r="P210" s="3927" t="s">
        <v>2990</v>
      </c>
      <c r="Q210" s="2248"/>
    </row>
    <row r="211" spans="1:32" ht="11.65" customHeight="1">
      <c r="A211" s="149"/>
      <c r="B211" s="2620"/>
      <c r="C211" s="2620"/>
      <c r="D211" s="2620"/>
      <c r="E211" s="2620"/>
      <c r="F211" s="2620"/>
      <c r="G211" s="2620"/>
      <c r="H211" s="65" t="s">
        <v>1738</v>
      </c>
      <c r="I211" s="51" t="s">
        <v>116</v>
      </c>
      <c r="J211" s="3929" t="s">
        <v>5224</v>
      </c>
      <c r="K211" s="3930"/>
      <c r="L211" s="3930"/>
      <c r="M211" s="3930"/>
      <c r="N211" s="3931"/>
      <c r="O211" s="160" t="s">
        <v>1738</v>
      </c>
      <c r="P211" s="3892" t="s">
        <v>2990</v>
      </c>
      <c r="Q211" s="535"/>
    </row>
    <row r="212" spans="1:32" ht="12" customHeight="1">
      <c r="A212" s="141" t="s">
        <v>1986</v>
      </c>
      <c r="B212" s="51" t="s">
        <v>3899</v>
      </c>
      <c r="D212" s="51"/>
      <c r="E212" s="51"/>
      <c r="F212" s="51"/>
      <c r="G212" s="51"/>
      <c r="H212" s="51"/>
      <c r="I212" s="51"/>
      <c r="J212" s="51"/>
      <c r="K212" s="41"/>
      <c r="L212" s="51"/>
      <c r="M212" s="51"/>
      <c r="O212" s="463" t="s">
        <v>1986</v>
      </c>
      <c r="P212" s="3892" t="s">
        <v>2993</v>
      </c>
      <c r="Q212" s="535"/>
    </row>
    <row r="213" spans="1:32" ht="12" customHeight="1">
      <c r="A213" s="46" t="s">
        <v>749</v>
      </c>
      <c r="B213" s="51" t="s">
        <v>3900</v>
      </c>
      <c r="D213" s="51"/>
      <c r="E213" s="51"/>
      <c r="F213" s="51"/>
      <c r="G213" s="51"/>
      <c r="H213" s="51"/>
      <c r="I213" s="51"/>
      <c r="J213" s="51"/>
      <c r="K213" s="41"/>
      <c r="L213" s="51"/>
      <c r="M213" s="51"/>
      <c r="O213" s="463" t="s">
        <v>749</v>
      </c>
      <c r="P213" s="3893" t="s">
        <v>2993</v>
      </c>
      <c r="Q213" s="536"/>
    </row>
    <row r="214" spans="1:32" ht="11.25" customHeight="1">
      <c r="B214" s="140" t="s">
        <v>3750</v>
      </c>
      <c r="D214" s="140"/>
      <c r="E214" s="140"/>
      <c r="F214" s="140"/>
      <c r="G214" s="140"/>
      <c r="H214" s="39"/>
      <c r="I214" s="2300"/>
      <c r="J214" s="2300"/>
      <c r="K214" s="2300"/>
      <c r="L214" s="2286"/>
      <c r="M214" s="2286"/>
      <c r="N214" s="2286"/>
      <c r="O214" s="2286"/>
      <c r="P214" s="2286"/>
      <c r="Q214" s="896"/>
    </row>
    <row r="215" spans="1:32" ht="24" customHeight="1">
      <c r="A215" s="3885" t="s">
        <v>5279</v>
      </c>
      <c r="B215" s="3886"/>
      <c r="C215" s="3886"/>
      <c r="D215" s="3886"/>
      <c r="E215" s="3886"/>
      <c r="F215" s="3886"/>
      <c r="G215" s="3886"/>
      <c r="H215" s="3886"/>
      <c r="I215" s="3886"/>
      <c r="J215" s="3886"/>
      <c r="K215" s="3886"/>
      <c r="L215" s="3886"/>
      <c r="M215" s="3886"/>
      <c r="N215" s="3886"/>
      <c r="O215" s="3886"/>
      <c r="P215" s="3886"/>
      <c r="Q215" s="3887"/>
      <c r="U215" s="135"/>
      <c r="V215" s="135"/>
      <c r="W215" s="135"/>
      <c r="X215" s="135"/>
      <c r="Y215" s="135"/>
      <c r="Z215" s="135"/>
      <c r="AA215" s="135"/>
      <c r="AB215" s="135"/>
      <c r="AC215" s="135"/>
      <c r="AD215" s="135"/>
      <c r="AE215" s="465"/>
    </row>
    <row r="216" spans="1:32" ht="11.25" customHeight="1">
      <c r="B216" s="136" t="s">
        <v>1867</v>
      </c>
      <c r="C216" s="137"/>
      <c r="D216" s="2297"/>
      <c r="E216" s="2297"/>
      <c r="F216" s="2297"/>
      <c r="G216" s="2297"/>
      <c r="H216" s="2297"/>
      <c r="I216" s="2297"/>
      <c r="J216" s="2297"/>
      <c r="K216" s="2297"/>
      <c r="L216" s="2297"/>
      <c r="M216" s="2297"/>
      <c r="N216" s="2297"/>
      <c r="O216" s="2297"/>
      <c r="P216" s="2297"/>
      <c r="Q216" s="2297"/>
    </row>
    <row r="217" spans="1:32" ht="11.65" customHeight="1">
      <c r="A217" s="2621"/>
      <c r="B217" s="2622"/>
      <c r="C217" s="2622"/>
      <c r="D217" s="2622"/>
      <c r="E217" s="2622"/>
      <c r="F217" s="2622"/>
      <c r="G217" s="2622"/>
      <c r="H217" s="2622"/>
      <c r="I217" s="2622"/>
      <c r="J217" s="2622"/>
      <c r="K217" s="2622"/>
      <c r="L217" s="2622"/>
      <c r="M217" s="2622"/>
      <c r="N217" s="2622"/>
      <c r="O217" s="2622"/>
      <c r="P217" s="2622"/>
      <c r="Q217" s="2623"/>
    </row>
    <row r="218" spans="1:32" ht="3" customHeight="1">
      <c r="A218" s="2286"/>
      <c r="B218" s="2300"/>
      <c r="C218" s="2297"/>
      <c r="D218" s="2297"/>
      <c r="E218" s="2297"/>
      <c r="F218" s="2297"/>
      <c r="G218" s="2297"/>
      <c r="H218" s="2297"/>
      <c r="I218" s="2297"/>
      <c r="J218" s="2297"/>
      <c r="K218" s="2297"/>
      <c r="L218" s="2297"/>
      <c r="M218" s="2297"/>
      <c r="Q218" s="2286"/>
    </row>
    <row r="219" spans="1:32" ht="13.9" customHeight="1">
      <c r="A219" s="2283" t="s">
        <v>1726</v>
      </c>
      <c r="B219" s="2283" t="s">
        <v>2662</v>
      </c>
      <c r="C219" s="113"/>
      <c r="D219" s="2297"/>
      <c r="E219" s="2297"/>
      <c r="F219" s="2297"/>
      <c r="G219" s="2297"/>
      <c r="H219" s="2297"/>
      <c r="I219" s="2297"/>
      <c r="J219" s="2297"/>
      <c r="K219" s="2297"/>
      <c r="L219" s="2297"/>
      <c r="M219" s="2297"/>
      <c r="O219" s="131" t="s">
        <v>1868</v>
      </c>
      <c r="P219" s="2624"/>
      <c r="Q219" s="2625"/>
    </row>
    <row r="220" spans="1:32" s="26" customFormat="1" ht="11.65" customHeight="1">
      <c r="B220" s="144" t="s">
        <v>1192</v>
      </c>
      <c r="N220" s="120"/>
      <c r="P220" s="3888" t="s">
        <v>2993</v>
      </c>
      <c r="Q220" s="532"/>
      <c r="AE220" s="116"/>
      <c r="AF220" s="116"/>
    </row>
    <row r="221" spans="1:32" ht="12" customHeight="1">
      <c r="A221" s="46" t="s">
        <v>1984</v>
      </c>
      <c r="B221" s="35" t="s">
        <v>3701</v>
      </c>
      <c r="D221" s="41"/>
      <c r="E221" s="41"/>
      <c r="F221" s="41"/>
      <c r="G221" s="41"/>
      <c r="H221" s="41"/>
      <c r="I221" s="41"/>
      <c r="J221" s="41"/>
      <c r="K221" s="41"/>
      <c r="L221" s="41"/>
      <c r="M221" s="41"/>
      <c r="O221" s="463" t="s">
        <v>1984</v>
      </c>
      <c r="P221" s="3888" t="s">
        <v>5183</v>
      </c>
      <c r="Q221" s="534"/>
    </row>
    <row r="222" spans="1:32" ht="11.65" customHeight="1">
      <c r="A222" s="46"/>
      <c r="B222" s="145" t="s">
        <v>1737</v>
      </c>
      <c r="C222" s="51" t="s">
        <v>1932</v>
      </c>
      <c r="E222" s="51"/>
      <c r="F222" s="51"/>
      <c r="G222" s="51"/>
      <c r="H222" s="51"/>
      <c r="I222" s="41"/>
      <c r="J222" s="65" t="s">
        <v>1486</v>
      </c>
      <c r="K222" s="3898" t="s">
        <v>532</v>
      </c>
      <c r="L222" s="3928"/>
      <c r="Q222" s="535"/>
    </row>
    <row r="223" spans="1:32" ht="11.65" customHeight="1">
      <c r="A223" s="46"/>
      <c r="B223" s="145" t="s">
        <v>1738</v>
      </c>
      <c r="C223" s="897" t="s">
        <v>4743</v>
      </c>
      <c r="E223" s="897"/>
      <c r="F223" s="897"/>
      <c r="G223" s="897"/>
      <c r="H223" s="897"/>
      <c r="I223" s="41"/>
      <c r="J223" s="65" t="s">
        <v>1487</v>
      </c>
      <c r="K223" s="3932" t="s">
        <v>5185</v>
      </c>
      <c r="L223" s="3933"/>
      <c r="M223" s="3934" t="s">
        <v>2725</v>
      </c>
      <c r="N223" s="3935"/>
      <c r="O223" s="3935"/>
      <c r="P223" s="3936"/>
      <c r="Q223" s="535"/>
    </row>
    <row r="224" spans="1:32" ht="11.65" customHeight="1">
      <c r="A224" s="46"/>
      <c r="B224" s="39" t="s">
        <v>1739</v>
      </c>
      <c r="C224" s="897" t="s">
        <v>4746</v>
      </c>
      <c r="D224" s="147"/>
      <c r="E224" s="897"/>
      <c r="F224" s="897"/>
      <c r="G224" s="897"/>
      <c r="H224" s="897"/>
      <c r="I224" s="94"/>
      <c r="J224" s="463" t="s">
        <v>1488</v>
      </c>
      <c r="K224" s="3937" t="s">
        <v>5186</v>
      </c>
      <c r="L224" s="3938"/>
      <c r="M224" s="3938"/>
      <c r="N224" s="3939"/>
      <c r="O224" s="2054"/>
      <c r="P224" s="1169"/>
      <c r="Q224" s="535"/>
      <c r="R224" s="41"/>
    </row>
    <row r="225" spans="1:32" ht="11.65" customHeight="1">
      <c r="A225" s="46"/>
      <c r="B225" s="39" t="s">
        <v>2366</v>
      </c>
      <c r="C225" s="897" t="s">
        <v>4745</v>
      </c>
      <c r="D225" s="147"/>
      <c r="E225" s="897"/>
      <c r="F225" s="897"/>
      <c r="G225" s="897"/>
      <c r="H225" s="897"/>
      <c r="I225" s="94"/>
      <c r="J225" s="463" t="s">
        <v>4744</v>
      </c>
      <c r="K225" s="3929" t="s">
        <v>5187</v>
      </c>
      <c r="L225" s="3930"/>
      <c r="M225" s="3930"/>
      <c r="N225" s="3931"/>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3888" t="s">
        <v>5183</v>
      </c>
      <c r="Q226" s="532"/>
    </row>
    <row r="227" spans="1:32" ht="10.9" customHeight="1">
      <c r="A227" s="46"/>
      <c r="B227" s="51" t="s">
        <v>4972</v>
      </c>
      <c r="D227" s="51"/>
      <c r="E227" s="51"/>
      <c r="F227" s="51"/>
      <c r="G227" s="51"/>
      <c r="H227" s="51"/>
      <c r="I227" s="51"/>
      <c r="J227" s="51"/>
      <c r="K227" s="41"/>
      <c r="L227" s="41"/>
      <c r="M227" s="41"/>
      <c r="N227" s="463" t="s">
        <v>3603</v>
      </c>
      <c r="O227" s="2175">
        <f>'Part VI-Revenues &amp; Expenses'!$O$67</f>
        <v>84</v>
      </c>
      <c r="P227" s="2668" t="s">
        <v>4974</v>
      </c>
      <c r="Q227" s="2669"/>
    </row>
    <row r="228" spans="1:32" ht="10.9" customHeight="1">
      <c r="A228" s="46"/>
      <c r="B228" s="145" t="s">
        <v>1737</v>
      </c>
      <c r="C228" s="51" t="s">
        <v>4975</v>
      </c>
      <c r="D228" s="51"/>
      <c r="E228" s="51"/>
      <c r="F228" s="51"/>
      <c r="H228" s="463" t="s">
        <v>4976</v>
      </c>
      <c r="I228" s="51" t="s">
        <v>4985</v>
      </c>
      <c r="M228" s="41"/>
      <c r="N228" s="41"/>
      <c r="O228" s="293"/>
      <c r="P228" s="2159" t="s">
        <v>773</v>
      </c>
      <c r="Q228" s="2160" t="s">
        <v>4973</v>
      </c>
    </row>
    <row r="229" spans="1:32" s="42" customFormat="1" ht="11.65" customHeight="1">
      <c r="A229" s="50"/>
      <c r="B229" s="463" t="s">
        <v>2117</v>
      </c>
      <c r="C229" s="3940" t="s">
        <v>4970</v>
      </c>
      <c r="D229" s="3941"/>
      <c r="E229" s="3941"/>
      <c r="F229" s="3941"/>
      <c r="G229" s="3942"/>
      <c r="H229" s="463" t="s">
        <v>2117</v>
      </c>
      <c r="I229" s="3943" t="s">
        <v>4173</v>
      </c>
      <c r="J229" s="3505"/>
      <c r="K229" s="3505"/>
      <c r="L229" s="3505"/>
      <c r="M229" s="3505"/>
      <c r="N229" s="3505"/>
      <c r="O229" s="3944"/>
      <c r="P229" s="534"/>
      <c r="Q229" s="538"/>
      <c r="AE229" s="53"/>
      <c r="AF229" s="53"/>
    </row>
    <row r="230" spans="1:32" s="42" customFormat="1" ht="11.65" customHeight="1">
      <c r="A230" s="50"/>
      <c r="B230" s="463" t="s">
        <v>2118</v>
      </c>
      <c r="C230" s="3945" t="s">
        <v>4968</v>
      </c>
      <c r="D230" s="3946"/>
      <c r="E230" s="3946"/>
      <c r="F230" s="3946"/>
      <c r="G230" s="3947"/>
      <c r="H230" s="463" t="s">
        <v>2118</v>
      </c>
      <c r="I230" s="3521"/>
      <c r="J230" s="3508"/>
      <c r="K230" s="3508"/>
      <c r="L230" s="3508"/>
      <c r="M230" s="3508"/>
      <c r="N230" s="3508"/>
      <c r="O230" s="3509"/>
      <c r="P230" s="535"/>
      <c r="Q230" s="2139"/>
      <c r="AE230" s="53"/>
      <c r="AF230" s="53"/>
    </row>
    <row r="231" spans="1:32" s="42" customFormat="1" ht="11.65" customHeight="1">
      <c r="A231" s="50"/>
      <c r="B231" s="463" t="s">
        <v>1734</v>
      </c>
      <c r="C231" s="3945" t="s">
        <v>1014</v>
      </c>
      <c r="D231" s="3946"/>
      <c r="E231" s="3946"/>
      <c r="F231" s="3946"/>
      <c r="G231" s="3947"/>
      <c r="H231" s="463" t="s">
        <v>1734</v>
      </c>
      <c r="I231" s="3521" t="s">
        <v>4173</v>
      </c>
      <c r="J231" s="3508"/>
      <c r="K231" s="3508"/>
      <c r="L231" s="3508"/>
      <c r="M231" s="3508"/>
      <c r="N231" s="3508"/>
      <c r="O231" s="3509"/>
      <c r="P231" s="535"/>
      <c r="Q231" s="2139"/>
      <c r="AE231" s="53"/>
      <c r="AF231" s="53"/>
    </row>
    <row r="232" spans="1:32" s="42" customFormat="1" ht="11.65" customHeight="1">
      <c r="A232" s="50"/>
      <c r="B232" s="463" t="s">
        <v>4984</v>
      </c>
      <c r="C232" s="3948" t="s">
        <v>1014</v>
      </c>
      <c r="D232" s="3949"/>
      <c r="E232" s="3949"/>
      <c r="F232" s="3949"/>
      <c r="G232" s="3950"/>
      <c r="H232" s="463" t="s">
        <v>4984</v>
      </c>
      <c r="I232" s="3528"/>
      <c r="J232" s="3512"/>
      <c r="K232" s="3512"/>
      <c r="L232" s="3512"/>
      <c r="M232" s="3512"/>
      <c r="N232" s="3512"/>
      <c r="O232" s="3513"/>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91" t="s">
        <v>5183</v>
      </c>
      <c r="Q233" s="534"/>
    </row>
    <row r="234" spans="1:32" ht="11.65" customHeight="1">
      <c r="A234" s="46"/>
      <c r="B234" s="145" t="s">
        <v>1737</v>
      </c>
      <c r="C234" s="51" t="s">
        <v>3465</v>
      </c>
      <c r="E234" s="51"/>
      <c r="F234" s="51"/>
      <c r="L234" s="32"/>
      <c r="M234" s="32"/>
      <c r="O234" s="65" t="s">
        <v>1737</v>
      </c>
      <c r="P234" s="3892" t="s">
        <v>2990</v>
      </c>
      <c r="Q234" s="535"/>
    </row>
    <row r="235" spans="1:32" ht="11.65" customHeight="1">
      <c r="B235" s="145" t="s">
        <v>1738</v>
      </c>
      <c r="C235" s="897" t="s">
        <v>2809</v>
      </c>
      <c r="E235" s="897"/>
      <c r="F235" s="897"/>
      <c r="L235" s="32"/>
      <c r="M235" s="32"/>
      <c r="O235" s="65" t="s">
        <v>1738</v>
      </c>
      <c r="P235" s="3892" t="s">
        <v>2990</v>
      </c>
      <c r="Q235" s="535"/>
    </row>
    <row r="236" spans="1:32" ht="11.65" customHeight="1">
      <c r="B236" s="145" t="s">
        <v>1739</v>
      </c>
      <c r="C236" s="897" t="s">
        <v>2810</v>
      </c>
      <c r="E236" s="897"/>
      <c r="F236" s="897"/>
      <c r="G236" s="897"/>
      <c r="H236" s="897"/>
      <c r="I236" s="41"/>
      <c r="J236" s="32"/>
      <c r="K236" s="41"/>
      <c r="L236" s="32"/>
      <c r="M236" s="32"/>
      <c r="O236" s="65" t="s">
        <v>1739</v>
      </c>
      <c r="P236" s="3892" t="s">
        <v>2990</v>
      </c>
      <c r="Q236" s="535"/>
    </row>
    <row r="237" spans="1:32" ht="11.65" customHeight="1">
      <c r="A237" s="46"/>
      <c r="B237" s="145" t="s">
        <v>2366</v>
      </c>
      <c r="C237" s="897" t="s">
        <v>2811</v>
      </c>
      <c r="E237" s="897"/>
      <c r="F237" s="897"/>
      <c r="G237" s="897"/>
      <c r="H237" s="897"/>
      <c r="I237" s="41"/>
      <c r="J237" s="32"/>
      <c r="K237" s="41"/>
      <c r="L237" s="32"/>
      <c r="M237" s="32"/>
      <c r="O237" s="65" t="s">
        <v>2366</v>
      </c>
      <c r="P237" s="3892" t="s">
        <v>2990</v>
      </c>
      <c r="Q237" s="535"/>
    </row>
    <row r="238" spans="1:32" ht="11.65" customHeight="1">
      <c r="A238" s="46"/>
      <c r="B238" s="145" t="s">
        <v>1549</v>
      </c>
      <c r="C238" s="897" t="s">
        <v>2812</v>
      </c>
      <c r="E238" s="897"/>
      <c r="F238" s="897"/>
      <c r="G238" s="897"/>
      <c r="H238" s="897"/>
      <c r="I238" s="41"/>
      <c r="J238" s="32"/>
      <c r="K238" s="41"/>
      <c r="L238" s="32"/>
      <c r="M238" s="32"/>
      <c r="O238" s="65" t="s">
        <v>1549</v>
      </c>
      <c r="P238" s="3892" t="s">
        <v>2990</v>
      </c>
      <c r="Q238" s="535"/>
    </row>
    <row r="239" spans="1:32" ht="11.65" customHeight="1">
      <c r="A239" s="46"/>
      <c r="B239" s="39" t="s">
        <v>1550</v>
      </c>
      <c r="C239" s="51" t="s">
        <v>775</v>
      </c>
      <c r="E239" s="51"/>
      <c r="F239" s="51"/>
      <c r="G239" s="51"/>
      <c r="H239" s="51"/>
      <c r="I239" s="41"/>
      <c r="J239" s="32"/>
      <c r="K239" s="41"/>
      <c r="L239" s="32"/>
      <c r="M239" s="32"/>
      <c r="O239" s="463" t="s">
        <v>2800</v>
      </c>
      <c r="P239" s="3892" t="s">
        <v>2990</v>
      </c>
      <c r="Q239" s="535"/>
    </row>
    <row r="240" spans="1:32" ht="11.65" customHeight="1">
      <c r="A240" s="46"/>
      <c r="B240" s="65"/>
      <c r="C240" s="51" t="s">
        <v>1489</v>
      </c>
      <c r="E240" s="51"/>
      <c r="F240" s="51"/>
      <c r="G240" s="51"/>
      <c r="H240" s="51"/>
      <c r="I240" s="41"/>
      <c r="J240" s="32"/>
      <c r="K240" s="41"/>
      <c r="L240" s="32"/>
      <c r="M240" s="32"/>
      <c r="O240" s="463" t="s">
        <v>2801</v>
      </c>
      <c r="P240" s="3893" t="s">
        <v>2993</v>
      </c>
      <c r="Q240" s="536"/>
    </row>
    <row r="241" spans="1:32" ht="11.25" customHeight="1">
      <c r="A241" s="46" t="s">
        <v>2116</v>
      </c>
      <c r="B241" s="51" t="s">
        <v>3660</v>
      </c>
      <c r="C241" s="51"/>
      <c r="E241" s="51"/>
      <c r="F241" s="51"/>
      <c r="G241" s="51"/>
      <c r="H241" s="51"/>
      <c r="I241" s="51"/>
      <c r="J241" s="51"/>
      <c r="K241" s="41"/>
      <c r="M241" s="64" t="s">
        <v>4829</v>
      </c>
      <c r="N241" s="2128" t="str">
        <f>'Part I-Project Information'!$H$82</f>
        <v>Family</v>
      </c>
      <c r="O241" s="463" t="s">
        <v>2116</v>
      </c>
      <c r="P241" s="3891" t="s">
        <v>970</v>
      </c>
      <c r="Q241" s="534"/>
    </row>
    <row r="242" spans="1:32" ht="11.65" customHeight="1">
      <c r="B242" s="65" t="s">
        <v>1737</v>
      </c>
      <c r="C242" s="38" t="s">
        <v>1255</v>
      </c>
      <c r="E242" s="41"/>
      <c r="F242" s="41"/>
      <c r="G242" s="38"/>
      <c r="H242" s="897"/>
      <c r="I242" s="41"/>
      <c r="J242" s="897"/>
      <c r="K242" s="41"/>
      <c r="L242" s="897"/>
      <c r="M242" s="897"/>
      <c r="O242" s="65" t="s">
        <v>1737</v>
      </c>
      <c r="P242" s="3892"/>
      <c r="Q242" s="535"/>
    </row>
    <row r="243" spans="1:32" ht="11.65" customHeight="1">
      <c r="B243" s="65" t="s">
        <v>1738</v>
      </c>
      <c r="C243" s="35" t="s">
        <v>4759</v>
      </c>
      <c r="E243" s="41"/>
      <c r="F243" s="41"/>
      <c r="G243" s="897"/>
      <c r="H243" s="897"/>
      <c r="I243" s="41"/>
      <c r="J243" s="897"/>
      <c r="K243" s="41"/>
      <c r="L243" s="897"/>
      <c r="M243" s="897"/>
      <c r="O243" s="65" t="s">
        <v>1738</v>
      </c>
      <c r="P243" s="3893"/>
      <c r="Q243" s="536"/>
    </row>
    <row r="244" spans="1:32" ht="11.25" customHeight="1">
      <c r="B244" s="140" t="s">
        <v>3750</v>
      </c>
      <c r="D244" s="140"/>
      <c r="E244" s="140"/>
      <c r="F244" s="140"/>
      <c r="G244" s="140"/>
      <c r="H244" s="39"/>
      <c r="I244" s="2300"/>
      <c r="J244" s="2300"/>
      <c r="K244" s="2300"/>
      <c r="L244" s="2286"/>
      <c r="M244" s="2286"/>
      <c r="N244" s="2286"/>
      <c r="O244" s="2286"/>
      <c r="P244" s="2286"/>
      <c r="Q244" s="896"/>
    </row>
    <row r="245" spans="1:32" ht="11.65" customHeight="1">
      <c r="A245" s="3885" t="s">
        <v>5288</v>
      </c>
      <c r="B245" s="3886"/>
      <c r="C245" s="3886"/>
      <c r="D245" s="3886"/>
      <c r="E245" s="3886"/>
      <c r="F245" s="3886"/>
      <c r="G245" s="3886"/>
      <c r="H245" s="3886"/>
      <c r="I245" s="3886"/>
      <c r="J245" s="3886"/>
      <c r="K245" s="3886"/>
      <c r="L245" s="3886"/>
      <c r="M245" s="3886"/>
      <c r="N245" s="3886"/>
      <c r="O245" s="3886"/>
      <c r="P245" s="3886"/>
      <c r="Q245" s="3887"/>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7"/>
      <c r="E246" s="2297"/>
      <c r="F246" s="2297"/>
      <c r="G246" s="2297"/>
      <c r="H246" s="2297"/>
      <c r="I246" s="2297"/>
      <c r="J246" s="2297"/>
      <c r="K246" s="2297"/>
      <c r="L246" s="2297"/>
      <c r="M246" s="2297"/>
      <c r="N246" s="2297"/>
      <c r="O246" s="2297"/>
      <c r="P246" s="2297"/>
      <c r="Q246" s="2297"/>
    </row>
    <row r="247" spans="1:32" ht="11.25" customHeight="1">
      <c r="A247" s="2621"/>
      <c r="B247" s="2622"/>
      <c r="C247" s="2622"/>
      <c r="D247" s="2622"/>
      <c r="E247" s="2622"/>
      <c r="F247" s="2622"/>
      <c r="G247" s="2622"/>
      <c r="H247" s="2622"/>
      <c r="I247" s="2622"/>
      <c r="J247" s="2622"/>
      <c r="K247" s="2622"/>
      <c r="L247" s="2622"/>
      <c r="M247" s="2622"/>
      <c r="N247" s="2622"/>
      <c r="O247" s="2622"/>
      <c r="P247" s="2622"/>
      <c r="Q247" s="2623"/>
    </row>
    <row r="248" spans="1:32" ht="3" customHeight="1">
      <c r="A248" s="2286"/>
      <c r="B248" s="2300"/>
      <c r="C248" s="2297"/>
      <c r="D248" s="2297"/>
      <c r="E248" s="2297"/>
      <c r="F248" s="2297"/>
      <c r="G248" s="2297"/>
      <c r="H248" s="2297"/>
      <c r="I248" s="2297"/>
      <c r="J248" s="2297"/>
      <c r="K248" s="2297"/>
      <c r="L248" s="2297"/>
      <c r="M248" s="2297"/>
      <c r="Q248" s="2286"/>
    </row>
    <row r="249" spans="1:32" ht="13.9" customHeight="1">
      <c r="A249" s="2283" t="s">
        <v>2783</v>
      </c>
      <c r="B249" s="3" t="s">
        <v>2663</v>
      </c>
      <c r="C249" s="3"/>
      <c r="D249" s="86"/>
      <c r="E249" s="86"/>
      <c r="F249" s="86"/>
      <c r="G249" s="86"/>
      <c r="H249" s="2297"/>
      <c r="I249" s="2297"/>
      <c r="J249" s="2297"/>
      <c r="K249" s="2297"/>
      <c r="L249" s="2231"/>
      <c r="M249" s="2232"/>
      <c r="O249" s="131" t="s">
        <v>1868</v>
      </c>
      <c r="P249" s="2624"/>
      <c r="Q249" s="2625"/>
    </row>
    <row r="250" spans="1:32" ht="11.65" customHeight="1">
      <c r="A250" s="46" t="s">
        <v>1984</v>
      </c>
      <c r="B250" s="51" t="s">
        <v>1268</v>
      </c>
      <c r="D250" s="41"/>
      <c r="E250" s="51"/>
      <c r="F250" s="51"/>
      <c r="J250" s="463" t="s">
        <v>1984</v>
      </c>
      <c r="K250" s="3894" t="s">
        <v>1771</v>
      </c>
      <c r="L250" s="3895"/>
      <c r="M250" s="3895"/>
      <c r="N250" s="3895"/>
      <c r="O250" s="3896"/>
      <c r="P250" s="2670" t="s">
        <v>1771</v>
      </c>
      <c r="Q250" s="2671"/>
    </row>
    <row r="251" spans="1:32" ht="11.65" customHeight="1">
      <c r="A251" s="46" t="s">
        <v>1986</v>
      </c>
      <c r="B251" s="51" t="s">
        <v>2813</v>
      </c>
      <c r="D251" s="51"/>
      <c r="E251" s="51"/>
      <c r="F251" s="51"/>
      <c r="J251" s="463" t="s">
        <v>1986</v>
      </c>
      <c r="K251" s="3951"/>
      <c r="L251" s="3952"/>
      <c r="M251" s="3952"/>
      <c r="N251" s="3952"/>
      <c r="O251" s="3953"/>
      <c r="P251" s="2658"/>
      <c r="Q251" s="2659"/>
    </row>
    <row r="252" spans="1:32" s="147" customFormat="1" ht="11.65" customHeight="1">
      <c r="A252" s="46"/>
      <c r="B252" s="51" t="s">
        <v>1946</v>
      </c>
      <c r="D252" s="51"/>
      <c r="E252" s="51"/>
      <c r="F252" s="51"/>
      <c r="K252" s="3929"/>
      <c r="L252" s="3930"/>
      <c r="M252" s="3930"/>
      <c r="N252" s="3930"/>
      <c r="O252" s="3931"/>
      <c r="P252" s="2660"/>
      <c r="Q252" s="2661"/>
      <c r="AE252" s="467"/>
      <c r="AF252" s="467"/>
    </row>
    <row r="253" spans="1:32" s="147" customFormat="1" ht="11.65" customHeight="1">
      <c r="A253" s="46"/>
      <c r="B253" s="51" t="s">
        <v>2544</v>
      </c>
      <c r="D253" s="51"/>
      <c r="E253" s="51"/>
      <c r="F253" s="51"/>
      <c r="G253" s="51"/>
      <c r="H253" s="51"/>
      <c r="I253" s="94"/>
      <c r="J253" s="94"/>
      <c r="M253" s="35"/>
      <c r="N253" s="1021"/>
      <c r="O253" s="463"/>
      <c r="P253" s="3892"/>
      <c r="Q253" s="535"/>
      <c r="AE253" s="467"/>
      <c r="AF253" s="467"/>
    </row>
    <row r="254" spans="1:32" s="147" customFormat="1" ht="11.65" customHeight="1">
      <c r="A254" s="46" t="s">
        <v>749</v>
      </c>
      <c r="B254" s="51" t="s">
        <v>4904</v>
      </c>
      <c r="D254" s="51"/>
      <c r="E254" s="51"/>
      <c r="F254" s="51"/>
      <c r="J254" s="463" t="s">
        <v>749</v>
      </c>
      <c r="K254" s="3954"/>
      <c r="L254" s="3955"/>
      <c r="M254" s="3955"/>
      <c r="N254" s="3955"/>
      <c r="O254" s="3956"/>
      <c r="P254" s="2662"/>
      <c r="Q254" s="2663"/>
      <c r="AE254" s="467"/>
      <c r="AF254" s="467"/>
    </row>
    <row r="255" spans="1:32" s="147" customFormat="1" ht="11.65" customHeight="1">
      <c r="A255" s="46"/>
      <c r="B255" s="51" t="s">
        <v>4765</v>
      </c>
      <c r="D255" s="51"/>
      <c r="E255" s="51"/>
      <c r="F255" s="51"/>
      <c r="AE255" s="467"/>
      <c r="AF255" s="467"/>
    </row>
    <row r="256" spans="1:32" s="147" customFormat="1" ht="11.65" customHeight="1">
      <c r="A256" s="46"/>
      <c r="C256" s="51" t="s">
        <v>4762</v>
      </c>
      <c r="D256" s="51"/>
      <c r="E256" s="51"/>
      <c r="F256" s="51"/>
      <c r="K256" s="463" t="s">
        <v>4761</v>
      </c>
      <c r="L256" s="3957"/>
      <c r="M256" s="35"/>
      <c r="N256" s="1021"/>
      <c r="O256" s="1021"/>
      <c r="P256" s="3891"/>
      <c r="Q256" s="534"/>
      <c r="AE256" s="467"/>
      <c r="AF256" s="467"/>
    </row>
    <row r="257" spans="1:32" s="147" customFormat="1" ht="11.65" customHeight="1">
      <c r="A257" s="46"/>
      <c r="B257" s="51"/>
      <c r="C257" s="54" t="s">
        <v>4763</v>
      </c>
      <c r="D257" s="51"/>
      <c r="E257" s="51"/>
      <c r="F257" s="51"/>
      <c r="K257" s="463" t="s">
        <v>4764</v>
      </c>
      <c r="L257" s="3958"/>
      <c r="M257" s="35"/>
      <c r="N257" s="1021"/>
      <c r="O257" s="1021"/>
      <c r="P257" s="3893"/>
      <c r="Q257" s="536"/>
      <c r="AE257" s="467"/>
      <c r="AF257" s="467"/>
    </row>
    <row r="258" spans="1:32" s="147" customFormat="1" ht="11.65" customHeight="1">
      <c r="A258" s="46"/>
      <c r="B258" s="51" t="s">
        <v>4760</v>
      </c>
      <c r="D258" s="51"/>
      <c r="E258" s="51"/>
      <c r="F258" s="51"/>
      <c r="K258" s="3894"/>
      <c r="L258" s="3895"/>
      <c r="M258" s="3895"/>
      <c r="N258" s="3895"/>
      <c r="O258" s="3896"/>
      <c r="P258" s="2666"/>
      <c r="Q258" s="2667"/>
      <c r="AE258" s="467"/>
      <c r="AF258" s="467"/>
    </row>
    <row r="259" spans="1:32" s="147" customFormat="1" ht="11.65" customHeight="1">
      <c r="A259" s="46" t="s">
        <v>2116</v>
      </c>
      <c r="B259" s="51" t="s">
        <v>3902</v>
      </c>
      <c r="D259" s="51"/>
      <c r="E259" s="51"/>
      <c r="F259" s="51"/>
      <c r="G259" s="51"/>
      <c r="H259" s="51"/>
      <c r="I259" s="94"/>
      <c r="J259" s="94"/>
      <c r="K259" s="94"/>
      <c r="M259" s="35"/>
      <c r="N259" s="1021"/>
      <c r="O259" s="463" t="s">
        <v>2116</v>
      </c>
      <c r="P259" s="3891"/>
      <c r="Q259" s="534"/>
      <c r="AE259" s="467"/>
      <c r="AF259" s="467"/>
    </row>
    <row r="260" spans="1:32" s="147" customFormat="1" ht="11.65" customHeight="1">
      <c r="A260" s="46"/>
      <c r="B260" s="2620" t="s">
        <v>3758</v>
      </c>
      <c r="C260" s="2620"/>
      <c r="D260" s="2620"/>
      <c r="E260" s="2620"/>
      <c r="F260" s="2620"/>
      <c r="G260" s="2620"/>
      <c r="H260" s="431" t="s">
        <v>4111</v>
      </c>
      <c r="K260" s="94"/>
      <c r="M260" s="35"/>
      <c r="N260" s="1021"/>
      <c r="O260" s="65" t="s">
        <v>1737</v>
      </c>
      <c r="P260" s="3892"/>
      <c r="Q260" s="535"/>
      <c r="AE260" s="467"/>
      <c r="AF260" s="467"/>
    </row>
    <row r="261" spans="1:32" s="147" customFormat="1" ht="11.65" customHeight="1">
      <c r="A261" s="46"/>
      <c r="B261" s="2620"/>
      <c r="C261" s="2620"/>
      <c r="D261" s="2620"/>
      <c r="E261" s="2620"/>
      <c r="F261" s="2620"/>
      <c r="G261" s="2620"/>
      <c r="H261" s="54" t="s">
        <v>4112</v>
      </c>
      <c r="K261" s="94"/>
      <c r="M261" s="35"/>
      <c r="N261" s="1021"/>
      <c r="O261" s="65" t="s">
        <v>1738</v>
      </c>
      <c r="P261" s="3892"/>
      <c r="Q261" s="535"/>
      <c r="AE261" s="467"/>
      <c r="AF261" s="467"/>
    </row>
    <row r="262" spans="1:32" s="147" customFormat="1" ht="11.65" customHeight="1">
      <c r="A262" s="46"/>
      <c r="B262" s="51"/>
      <c r="D262" s="51"/>
      <c r="E262" s="51"/>
      <c r="F262" s="51"/>
      <c r="G262" s="51"/>
      <c r="H262" s="54" t="s">
        <v>4113</v>
      </c>
      <c r="K262" s="94"/>
      <c r="M262" s="35"/>
      <c r="N262" s="1021"/>
      <c r="O262" s="65" t="s">
        <v>1739</v>
      </c>
      <c r="P262" s="3892"/>
      <c r="Q262" s="535"/>
      <c r="AE262" s="467"/>
      <c r="AF262" s="467"/>
    </row>
    <row r="263" spans="1:32" s="147" customFormat="1" ht="11.65" customHeight="1">
      <c r="A263" s="46"/>
      <c r="B263" s="51"/>
      <c r="D263" s="51"/>
      <c r="E263" s="51"/>
      <c r="F263" s="51"/>
      <c r="G263" s="51"/>
      <c r="H263" s="54" t="s">
        <v>4114</v>
      </c>
      <c r="K263" s="94"/>
      <c r="M263" s="35"/>
      <c r="N263" s="1021"/>
      <c r="O263" s="463" t="s">
        <v>2366</v>
      </c>
      <c r="P263" s="3892"/>
      <c r="Q263" s="535"/>
      <c r="AE263" s="467"/>
      <c r="AF263" s="467"/>
    </row>
    <row r="264" spans="1:32" s="147" customFormat="1" ht="21.75" customHeight="1">
      <c r="B264" s="2620" t="s">
        <v>3903</v>
      </c>
      <c r="C264" s="2620"/>
      <c r="D264" s="2620"/>
      <c r="E264" s="2620"/>
      <c r="F264" s="2620"/>
      <c r="G264" s="2620"/>
      <c r="H264" s="2620"/>
      <c r="I264" s="2620"/>
      <c r="J264" s="2620"/>
      <c r="K264" s="2620"/>
      <c r="L264" s="2620"/>
      <c r="M264" s="2620"/>
      <c r="N264" s="2620"/>
      <c r="O264" s="160"/>
      <c r="P264" s="3926"/>
      <c r="Q264" s="2296"/>
      <c r="T264" s="467"/>
      <c r="AE264" s="467"/>
      <c r="AF264" s="467"/>
    </row>
    <row r="265" spans="1:32" s="147" customFormat="1" ht="33.75" customHeight="1">
      <c r="A265" s="141" t="s">
        <v>1735</v>
      </c>
      <c r="B265" s="2620" t="s">
        <v>5078</v>
      </c>
      <c r="C265" s="2620"/>
      <c r="D265" s="2620"/>
      <c r="E265" s="2620"/>
      <c r="F265" s="2620"/>
      <c r="G265" s="2620"/>
      <c r="H265" s="2620"/>
      <c r="I265" s="2620"/>
      <c r="J265" s="2620"/>
      <c r="K265" s="2620"/>
      <c r="L265" s="2620"/>
      <c r="M265" s="2620"/>
      <c r="N265" s="2620"/>
      <c r="O265" s="160" t="s">
        <v>1735</v>
      </c>
      <c r="P265" s="3959"/>
      <c r="Q265" s="2291"/>
      <c r="T265" s="467"/>
      <c r="AE265" s="467"/>
      <c r="AF265" s="467"/>
    </row>
    <row r="266" spans="1:32" s="147" customFormat="1" ht="21.75" customHeight="1">
      <c r="B266" s="2620" t="s">
        <v>5077</v>
      </c>
      <c r="C266" s="2620"/>
      <c r="D266" s="2620"/>
      <c r="E266" s="2620"/>
      <c r="F266" s="2620"/>
      <c r="G266" s="2620"/>
      <c r="H266" s="2620"/>
      <c r="I266" s="2620"/>
      <c r="J266" s="2620"/>
      <c r="K266" s="2620"/>
      <c r="L266" s="2620"/>
      <c r="M266" s="2620"/>
      <c r="N266" s="2620"/>
      <c r="O266" s="160"/>
      <c r="P266" s="3915"/>
      <c r="Q266" s="2292"/>
      <c r="T266" s="467"/>
      <c r="AE266" s="467"/>
      <c r="AF266" s="467"/>
    </row>
    <row r="267" spans="1:32" ht="11.65" customHeight="1">
      <c r="B267" s="65" t="s">
        <v>1737</v>
      </c>
      <c r="C267" s="897" t="s">
        <v>5075</v>
      </c>
      <c r="E267" s="897"/>
      <c r="F267" s="897"/>
      <c r="L267" s="32"/>
      <c r="M267" s="32"/>
      <c r="O267" s="65" t="s">
        <v>1737</v>
      </c>
      <c r="P267" s="3960"/>
      <c r="Q267" s="2151"/>
    </row>
    <row r="268" spans="1:32" ht="11.65" customHeight="1">
      <c r="B268" s="65"/>
      <c r="D268" s="54" t="s">
        <v>3860</v>
      </c>
      <c r="E268" s="3739"/>
      <c r="F268" s="3740"/>
      <c r="G268" s="3741"/>
      <c r="H268" s="897" t="s">
        <v>4945</v>
      </c>
      <c r="I268" s="3739" t="s">
        <v>4946</v>
      </c>
      <c r="J268" s="3740"/>
      <c r="K268" s="3741"/>
      <c r="L268" s="134" t="s">
        <v>4947</v>
      </c>
      <c r="M268" s="3739"/>
      <c r="N268" s="3740"/>
      <c r="O268" s="3740"/>
      <c r="P268" s="3740"/>
      <c r="Q268" s="3741"/>
      <c r="U268" s="391"/>
    </row>
    <row r="269" spans="1:32" ht="11.65" customHeight="1">
      <c r="A269" s="46"/>
      <c r="B269" s="65" t="s">
        <v>1738</v>
      </c>
      <c r="C269" s="897" t="s">
        <v>5076</v>
      </c>
      <c r="E269" s="897"/>
      <c r="F269" s="897"/>
      <c r="G269" s="897"/>
      <c r="H269" s="897"/>
      <c r="I269" s="41"/>
      <c r="J269" s="32"/>
      <c r="K269" s="41"/>
      <c r="L269" s="32"/>
      <c r="M269" s="32"/>
      <c r="O269" s="65" t="s">
        <v>1738</v>
      </c>
      <c r="P269" s="3897"/>
      <c r="Q269" s="533"/>
      <c r="S269" s="65"/>
      <c r="U269" s="391"/>
    </row>
    <row r="270" spans="1:32" ht="11.65" customHeight="1">
      <c r="A270" s="46"/>
      <c r="B270" s="65"/>
      <c r="D270" s="54" t="s">
        <v>2302</v>
      </c>
      <c r="E270" s="3739"/>
      <c r="F270" s="3740"/>
      <c r="G270" s="3741"/>
      <c r="H270" s="134" t="s">
        <v>1800</v>
      </c>
      <c r="I270" s="3739"/>
      <c r="J270" s="3740"/>
      <c r="K270" s="3740"/>
      <c r="L270" s="3740"/>
      <c r="M270" s="3741"/>
      <c r="S270" s="65"/>
      <c r="U270" s="391"/>
    </row>
    <row r="271" spans="1:32" ht="11.25" customHeight="1">
      <c r="B271" s="140" t="s">
        <v>3750</v>
      </c>
      <c r="D271" s="140"/>
      <c r="E271" s="140"/>
      <c r="F271" s="140"/>
      <c r="G271" s="140"/>
      <c r="H271" s="39"/>
      <c r="I271" s="2300"/>
      <c r="J271" s="2300"/>
      <c r="K271" s="2300"/>
      <c r="L271" s="2286"/>
      <c r="M271" s="2286"/>
      <c r="N271" s="2286"/>
      <c r="O271" s="2286"/>
      <c r="P271" s="2286"/>
      <c r="Q271" s="896"/>
    </row>
    <row r="272" spans="1:32" ht="13.15" customHeight="1">
      <c r="A272" s="3885" t="s">
        <v>5248</v>
      </c>
      <c r="B272" s="3886"/>
      <c r="C272" s="3886"/>
      <c r="D272" s="3886"/>
      <c r="E272" s="3886"/>
      <c r="F272" s="3886"/>
      <c r="G272" s="3886"/>
      <c r="H272" s="3886"/>
      <c r="I272" s="3886"/>
      <c r="J272" s="3886"/>
      <c r="K272" s="3886"/>
      <c r="L272" s="3886"/>
      <c r="M272" s="3886"/>
      <c r="N272" s="3886"/>
      <c r="O272" s="3886"/>
      <c r="P272" s="3886"/>
      <c r="Q272" s="3887"/>
      <c r="R272" s="445" t="s">
        <v>1254</v>
      </c>
      <c r="S272" s="446"/>
      <c r="U272" s="135"/>
      <c r="V272" s="135"/>
      <c r="W272" s="135"/>
      <c r="X272" s="135"/>
      <c r="Y272" s="135"/>
      <c r="Z272" s="135"/>
      <c r="AA272" s="135"/>
      <c r="AB272" s="135"/>
      <c r="AC272" s="135"/>
      <c r="AD272" s="135"/>
      <c r="AE272" s="465"/>
    </row>
    <row r="273" spans="1:32" ht="10.9" customHeight="1">
      <c r="B273" s="136" t="s">
        <v>1867</v>
      </c>
      <c r="C273" s="137"/>
      <c r="D273" s="2297"/>
      <c r="E273" s="2297"/>
      <c r="F273" s="2297"/>
      <c r="G273" s="2297"/>
      <c r="H273" s="2297"/>
      <c r="I273" s="2297"/>
      <c r="J273" s="2297"/>
      <c r="K273" s="2297"/>
      <c r="L273" s="2297"/>
      <c r="M273" s="2297"/>
      <c r="N273" s="2297"/>
      <c r="O273" s="2297"/>
      <c r="P273" s="2297"/>
      <c r="Q273" s="2297"/>
    </row>
    <row r="274" spans="1:32" ht="13.15" customHeight="1">
      <c r="A274" s="2621"/>
      <c r="B274" s="2622"/>
      <c r="C274" s="2622"/>
      <c r="D274" s="2622"/>
      <c r="E274" s="2622"/>
      <c r="F274" s="2622"/>
      <c r="G274" s="2622"/>
      <c r="H274" s="2622"/>
      <c r="I274" s="2622"/>
      <c r="J274" s="2622"/>
      <c r="K274" s="2622"/>
      <c r="L274" s="2622"/>
      <c r="M274" s="2622"/>
      <c r="N274" s="2622"/>
      <c r="O274" s="2622"/>
      <c r="P274" s="2622"/>
      <c r="Q274" s="2623"/>
    </row>
    <row r="275" spans="1:32" ht="3" customHeight="1">
      <c r="A275" s="2286"/>
      <c r="B275" s="2300"/>
      <c r="C275" s="2297"/>
      <c r="D275" s="2297"/>
      <c r="E275" s="2297"/>
      <c r="F275" s="2297"/>
      <c r="G275" s="2297"/>
      <c r="H275" s="2297"/>
      <c r="I275" s="2297"/>
      <c r="J275" s="2297"/>
      <c r="K275" s="2297"/>
      <c r="L275" s="2297"/>
      <c r="M275" s="2297"/>
      <c r="Q275" s="2286"/>
    </row>
    <row r="276" spans="1:32" ht="13.9" customHeight="1">
      <c r="A276" s="2283" t="s">
        <v>2252</v>
      </c>
      <c r="B276" s="3" t="s">
        <v>2664</v>
      </c>
      <c r="C276" s="3"/>
      <c r="D276" s="86"/>
      <c r="E276" s="86"/>
      <c r="F276" s="86"/>
      <c r="G276" s="86"/>
      <c r="H276" s="2297"/>
      <c r="I276" s="2297"/>
      <c r="J276" s="2297"/>
      <c r="K276" s="2297"/>
      <c r="L276" s="2297"/>
      <c r="M276" s="2297"/>
      <c r="O276" s="131" t="s">
        <v>1868</v>
      </c>
      <c r="P276" s="2624"/>
      <c r="Q276" s="2625"/>
    </row>
    <row r="277" spans="1:32" s="414" customFormat="1" ht="21.75" customHeight="1">
      <c r="A277" s="141" t="s">
        <v>1984</v>
      </c>
      <c r="B277" s="2620" t="s">
        <v>4958</v>
      </c>
      <c r="C277" s="2620"/>
      <c r="D277" s="2620"/>
      <c r="E277" s="2620"/>
      <c r="F277" s="2620"/>
      <c r="G277" s="2620"/>
      <c r="H277" s="2620"/>
      <c r="I277" s="2620"/>
      <c r="J277" s="2620"/>
      <c r="K277" s="2620"/>
      <c r="L277" s="2620"/>
      <c r="M277" s="2620"/>
      <c r="N277" s="2620"/>
      <c r="O277" s="160" t="s">
        <v>1984</v>
      </c>
      <c r="P277" s="3959" t="s">
        <v>2990</v>
      </c>
      <c r="Q277" s="1149"/>
      <c r="AE277" s="468"/>
      <c r="AF277" s="468"/>
    </row>
    <row r="278" spans="1:32" s="147" customFormat="1" ht="11.65" customHeight="1">
      <c r="A278" s="46"/>
      <c r="B278" s="51" t="s">
        <v>3753</v>
      </c>
      <c r="D278" s="51"/>
      <c r="E278" s="51"/>
      <c r="F278" s="51"/>
      <c r="G278" s="51"/>
      <c r="H278" s="51"/>
      <c r="I278" s="51"/>
      <c r="J278" s="51"/>
      <c r="K278" s="51"/>
      <c r="L278" s="51"/>
      <c r="M278" s="51"/>
      <c r="O278" s="463"/>
      <c r="P278" s="3893" t="s">
        <v>2990</v>
      </c>
      <c r="Q278" s="536"/>
      <c r="AE278" s="467"/>
      <c r="AF278" s="467"/>
    </row>
    <row r="279" spans="1:32" s="147" customFormat="1" ht="11.65" customHeight="1">
      <c r="A279" s="46" t="s">
        <v>1986</v>
      </c>
      <c r="B279" s="51" t="s">
        <v>3754</v>
      </c>
      <c r="D279" s="51"/>
      <c r="E279" s="51"/>
      <c r="F279" s="51"/>
      <c r="G279" s="51"/>
      <c r="H279" s="51"/>
      <c r="I279" s="51"/>
      <c r="J279" s="51"/>
      <c r="K279" s="51"/>
      <c r="L279" s="51"/>
      <c r="M279" s="51"/>
      <c r="O279" s="463" t="s">
        <v>1986</v>
      </c>
      <c r="P279" s="3893" t="s">
        <v>2990</v>
      </c>
      <c r="Q279" s="536"/>
      <c r="AE279" s="467"/>
      <c r="AF279" s="467"/>
    </row>
    <row r="280" spans="1:32" s="147" customFormat="1" ht="11.65" customHeight="1">
      <c r="A280" s="46" t="s">
        <v>749</v>
      </c>
      <c r="B280" s="51" t="s">
        <v>4115</v>
      </c>
      <c r="D280" s="51"/>
      <c r="E280" s="51"/>
      <c r="F280" s="51"/>
      <c r="G280" s="51"/>
      <c r="H280" s="51"/>
      <c r="I280" s="51"/>
      <c r="J280" s="51"/>
      <c r="K280" s="51"/>
      <c r="L280" s="51"/>
      <c r="M280" s="51"/>
      <c r="O280" s="463" t="s">
        <v>749</v>
      </c>
      <c r="P280" s="3927" t="s">
        <v>2990</v>
      </c>
      <c r="Q280" s="534"/>
      <c r="AE280" s="467"/>
      <c r="AF280" s="467"/>
    </row>
    <row r="281" spans="1:32" s="147" customFormat="1" ht="11.65" customHeight="1">
      <c r="A281" s="46"/>
      <c r="B281" s="51" t="s">
        <v>3755</v>
      </c>
      <c r="D281" s="51"/>
      <c r="E281" s="51"/>
      <c r="F281" s="51"/>
      <c r="G281" s="51"/>
      <c r="H281" s="51"/>
      <c r="I281" s="51"/>
      <c r="J281" s="51"/>
      <c r="K281" s="51"/>
      <c r="L281" s="51"/>
      <c r="M281" s="51"/>
      <c r="O281" s="463"/>
      <c r="P281" s="3893" t="s">
        <v>2990</v>
      </c>
      <c r="Q281" s="536"/>
      <c r="AE281" s="467"/>
      <c r="AF281" s="467"/>
    </row>
    <row r="282" spans="1:32" s="147" customFormat="1" ht="22.5" customHeight="1">
      <c r="A282" s="141" t="s">
        <v>2116</v>
      </c>
      <c r="B282" s="2620" t="s">
        <v>4961</v>
      </c>
      <c r="C282" s="2620"/>
      <c r="D282" s="2620"/>
      <c r="E282" s="2620"/>
      <c r="F282" s="2620"/>
      <c r="G282" s="2620"/>
      <c r="H282" s="2620"/>
      <c r="I282" s="2620"/>
      <c r="J282" s="2620"/>
      <c r="K282" s="2620"/>
      <c r="L282" s="2620"/>
      <c r="M282" s="2620"/>
      <c r="N282" s="2620"/>
      <c r="O282" s="463" t="s">
        <v>2116</v>
      </c>
      <c r="P282" s="3926" t="s">
        <v>2990</v>
      </c>
      <c r="Q282" s="2296"/>
      <c r="AE282" s="467"/>
      <c r="AF282" s="467"/>
    </row>
    <row r="283" spans="1:32" ht="11.25" customHeight="1">
      <c r="B283" s="140" t="s">
        <v>3750</v>
      </c>
      <c r="D283" s="140"/>
      <c r="E283" s="140"/>
      <c r="F283" s="140"/>
      <c r="G283" s="140"/>
      <c r="H283" s="39"/>
      <c r="I283" s="2300"/>
      <c r="J283" s="2300"/>
      <c r="K283" s="2300"/>
      <c r="L283" s="2286"/>
      <c r="M283" s="2286"/>
      <c r="N283" s="2286"/>
      <c r="O283" s="2286"/>
      <c r="P283" s="2286"/>
      <c r="Q283" s="896"/>
    </row>
    <row r="284" spans="1:32" ht="13.15" customHeight="1">
      <c r="A284" s="3885" t="s">
        <v>5259</v>
      </c>
      <c r="B284" s="3886"/>
      <c r="C284" s="3886"/>
      <c r="D284" s="3886"/>
      <c r="E284" s="3886"/>
      <c r="F284" s="3886"/>
      <c r="G284" s="3886"/>
      <c r="H284" s="3886"/>
      <c r="I284" s="3886"/>
      <c r="J284" s="3886"/>
      <c r="K284" s="3886"/>
      <c r="L284" s="3886"/>
      <c r="M284" s="3886"/>
      <c r="N284" s="3886"/>
      <c r="O284" s="3886"/>
      <c r="P284" s="3886"/>
      <c r="Q284" s="3887"/>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7"/>
      <c r="E285" s="2297"/>
      <c r="F285" s="2297"/>
      <c r="G285" s="2297"/>
      <c r="H285" s="2297"/>
      <c r="I285" s="2297"/>
      <c r="J285" s="2297"/>
      <c r="K285" s="2297"/>
      <c r="L285" s="2297"/>
      <c r="M285" s="2297"/>
      <c r="N285" s="2297"/>
      <c r="O285" s="2297"/>
      <c r="P285" s="2297"/>
      <c r="Q285" s="2297"/>
    </row>
    <row r="286" spans="1:32" ht="13.15" customHeight="1">
      <c r="A286" s="2621"/>
      <c r="B286" s="2622"/>
      <c r="C286" s="2622"/>
      <c r="D286" s="2622"/>
      <c r="E286" s="2622"/>
      <c r="F286" s="2622"/>
      <c r="G286" s="2622"/>
      <c r="H286" s="2622"/>
      <c r="I286" s="2622"/>
      <c r="J286" s="2622"/>
      <c r="K286" s="2622"/>
      <c r="L286" s="2622"/>
      <c r="M286" s="2622"/>
      <c r="N286" s="2622"/>
      <c r="O286" s="2622"/>
      <c r="P286" s="2622"/>
      <c r="Q286" s="2623"/>
    </row>
    <row r="287" spans="1:32" ht="3" customHeight="1"/>
    <row r="288" spans="1:32" ht="13.9" customHeight="1">
      <c r="A288" s="2283" t="s">
        <v>4097</v>
      </c>
      <c r="B288" s="2283" t="s">
        <v>2665</v>
      </c>
      <c r="C288" s="2283"/>
      <c r="D288" s="2297"/>
      <c r="E288" s="2297"/>
      <c r="F288" s="2297"/>
      <c r="G288" s="2297"/>
      <c r="H288" s="2297"/>
      <c r="I288" s="2297"/>
      <c r="J288" s="2297"/>
      <c r="K288" s="2297"/>
      <c r="L288" s="2297"/>
      <c r="M288" s="2297"/>
      <c r="O288" s="131" t="s">
        <v>1868</v>
      </c>
      <c r="P288" s="2624"/>
      <c r="Q288" s="2625"/>
    </row>
    <row r="289" spans="1:32" s="414" customFormat="1" ht="33" customHeight="1">
      <c r="A289" s="141" t="s">
        <v>1984</v>
      </c>
      <c r="B289" s="2620" t="s">
        <v>4960</v>
      </c>
      <c r="C289" s="2620"/>
      <c r="D289" s="2620"/>
      <c r="E289" s="2620"/>
      <c r="F289" s="2620"/>
      <c r="G289" s="2620"/>
      <c r="H289" s="2620"/>
      <c r="I289" s="2620"/>
      <c r="J289" s="2620"/>
      <c r="K289" s="2620"/>
      <c r="L289" s="2620"/>
      <c r="M289" s="2620"/>
      <c r="N289" s="2620"/>
      <c r="O289" s="160" t="s">
        <v>1984</v>
      </c>
      <c r="P289" s="3925" t="s">
        <v>5183</v>
      </c>
      <c r="Q289" s="1149"/>
      <c r="AE289" s="468"/>
      <c r="AF289" s="468"/>
    </row>
    <row r="290" spans="1:32" s="414" customFormat="1" ht="21.75" customHeight="1">
      <c r="A290" s="141"/>
      <c r="B290" s="2620" t="s">
        <v>2815</v>
      </c>
      <c r="C290" s="2620"/>
      <c r="D290" s="2620"/>
      <c r="E290" s="2620"/>
      <c r="F290" s="2620"/>
      <c r="G290" s="2620"/>
      <c r="H290" s="2620"/>
      <c r="I290" s="2620"/>
      <c r="J290" s="2620"/>
      <c r="K290" s="2620"/>
      <c r="L290" s="2620"/>
      <c r="M290" s="2620"/>
      <c r="N290" s="2620"/>
      <c r="O290" s="160"/>
      <c r="P290" s="3926" t="s">
        <v>5183</v>
      </c>
      <c r="Q290" s="2296"/>
      <c r="AE290" s="468"/>
      <c r="AF290" s="468"/>
    </row>
    <row r="291" spans="1:32" s="26" customFormat="1" ht="11.65" customHeight="1">
      <c r="A291" s="138" t="s">
        <v>1986</v>
      </c>
      <c r="B291" s="177" t="s">
        <v>310</v>
      </c>
      <c r="C291" s="158"/>
      <c r="D291" s="572"/>
      <c r="E291" s="572"/>
      <c r="F291" s="158"/>
      <c r="H291" s="158"/>
      <c r="I291" s="158"/>
      <c r="J291" s="2094" t="s">
        <v>4780</v>
      </c>
      <c r="K291" s="3961" t="s">
        <v>3767</v>
      </c>
      <c r="L291" s="3962"/>
      <c r="M291" s="3962"/>
      <c r="N291" s="3963"/>
      <c r="O291" s="463" t="s">
        <v>1986</v>
      </c>
      <c r="P291" s="3926" t="s">
        <v>5183</v>
      </c>
      <c r="Q291" s="2296"/>
      <c r="R291" s="1020"/>
      <c r="S291" s="1134"/>
    </row>
    <row r="292" spans="1:32" s="26" customFormat="1" ht="11.65" customHeight="1">
      <c r="A292" s="138"/>
      <c r="B292" s="177"/>
      <c r="C292" s="158"/>
      <c r="D292" s="572"/>
      <c r="E292" s="572"/>
      <c r="F292" s="158"/>
      <c r="H292" s="158"/>
      <c r="I292" s="158"/>
      <c r="J292" s="2094" t="s">
        <v>4962</v>
      </c>
      <c r="K292" s="3961" t="s">
        <v>4768</v>
      </c>
      <c r="L292" s="3962"/>
      <c r="M292" s="3962"/>
      <c r="N292" s="3963"/>
      <c r="O292" s="463"/>
      <c r="P292" s="463"/>
      <c r="Q292" s="463"/>
      <c r="R292" s="463"/>
      <c r="S292" s="1134"/>
    </row>
    <row r="293" spans="1:32" s="102" customFormat="1" ht="11.65" customHeight="1">
      <c r="A293" s="41"/>
      <c r="B293" s="140" t="s">
        <v>3750</v>
      </c>
      <c r="C293" s="41"/>
      <c r="D293" s="47"/>
      <c r="E293" s="47"/>
      <c r="F293" s="47"/>
      <c r="G293" s="47"/>
      <c r="K293" s="35"/>
      <c r="M293" s="45"/>
      <c r="N293" s="5"/>
      <c r="O293" s="2"/>
      <c r="P293" s="2285"/>
    </row>
    <row r="294" spans="1:32" s="42" customFormat="1" ht="21.75" customHeight="1">
      <c r="A294" s="3885" t="s">
        <v>5260</v>
      </c>
      <c r="B294" s="3886"/>
      <c r="C294" s="3886"/>
      <c r="D294" s="3886"/>
      <c r="E294" s="3886"/>
      <c r="F294" s="3886"/>
      <c r="G294" s="3886"/>
      <c r="H294" s="3886"/>
      <c r="I294" s="3886"/>
      <c r="J294" s="3886"/>
      <c r="K294" s="3886"/>
      <c r="L294" s="3886"/>
      <c r="M294" s="3886"/>
      <c r="N294" s="3886"/>
      <c r="O294" s="3886"/>
      <c r="P294" s="3886"/>
      <c r="Q294" s="3887"/>
      <c r="R294" s="445" t="s">
        <v>1254</v>
      </c>
    </row>
    <row r="295" spans="1:32" s="42" customFormat="1" ht="11.25" customHeight="1">
      <c r="A295" s="34"/>
      <c r="B295" s="136" t="s">
        <v>1867</v>
      </c>
      <c r="C295" s="137"/>
      <c r="D295" s="2297"/>
      <c r="E295" s="2297"/>
      <c r="F295" s="2297"/>
      <c r="G295" s="2297"/>
      <c r="H295" s="2297"/>
      <c r="I295" s="2297"/>
      <c r="J295" s="2297"/>
      <c r="K295" s="2297"/>
      <c r="L295" s="2297"/>
      <c r="M295" s="2297"/>
      <c r="N295" s="2297"/>
      <c r="O295" s="2297"/>
      <c r="P295" s="2297"/>
      <c r="Q295" s="2297"/>
      <c r="R295" s="34"/>
    </row>
    <row r="296" spans="1:32" s="42" customFormat="1" ht="11.25" customHeight="1">
      <c r="A296" s="2621"/>
      <c r="B296" s="2622"/>
      <c r="C296" s="2622"/>
      <c r="D296" s="2622"/>
      <c r="E296" s="2622"/>
      <c r="F296" s="2622"/>
      <c r="G296" s="2622"/>
      <c r="H296" s="2622"/>
      <c r="I296" s="2622"/>
      <c r="J296" s="2622"/>
      <c r="K296" s="2622"/>
      <c r="L296" s="2622"/>
      <c r="M296" s="2622"/>
      <c r="N296" s="2622"/>
      <c r="O296" s="2622"/>
      <c r="P296" s="2622"/>
      <c r="Q296" s="2623"/>
      <c r="R296" s="34"/>
    </row>
    <row r="297" spans="1:32" s="42" customFormat="1" ht="3" customHeight="1">
      <c r="A297" s="41"/>
      <c r="D297" s="38"/>
      <c r="E297" s="35"/>
      <c r="F297" s="887"/>
      <c r="G297" s="887"/>
      <c r="H297" s="887"/>
      <c r="I297" s="887"/>
      <c r="J297" s="897"/>
      <c r="K297" s="897"/>
      <c r="L297" s="897"/>
      <c r="M297" s="59"/>
      <c r="N297" s="887"/>
      <c r="O297" s="2288"/>
      <c r="P297" s="2"/>
    </row>
    <row r="298" spans="1:32" ht="13.9" customHeight="1">
      <c r="A298" s="2283" t="s">
        <v>4098</v>
      </c>
      <c r="B298" s="2283" t="s">
        <v>2666</v>
      </c>
      <c r="C298" s="2287"/>
      <c r="D298" s="2302"/>
      <c r="E298" s="2297"/>
      <c r="F298" s="2297"/>
      <c r="G298" s="2297"/>
      <c r="H298" s="2297"/>
      <c r="I298" s="2297"/>
      <c r="J298" s="2297"/>
      <c r="K298" s="2297"/>
      <c r="L298" s="2297"/>
      <c r="M298" s="2297"/>
      <c r="O298" s="131" t="s">
        <v>1868</v>
      </c>
      <c r="P298" s="2624"/>
      <c r="Q298" s="2625"/>
    </row>
    <row r="299" spans="1:32" ht="12.75" customHeight="1">
      <c r="A299" s="13" t="s">
        <v>1984</v>
      </c>
      <c r="B299" s="2283" t="s">
        <v>4117</v>
      </c>
    </row>
    <row r="300" spans="1:32" s="147" customFormat="1" ht="44.25" customHeight="1">
      <c r="A300" s="141"/>
      <c r="B300" s="2161" t="s">
        <v>1737</v>
      </c>
      <c r="C300" s="2620" t="s">
        <v>3906</v>
      </c>
      <c r="D300" s="2620"/>
      <c r="E300" s="2620"/>
      <c r="F300" s="2620"/>
      <c r="G300" s="2620"/>
      <c r="H300" s="2620"/>
      <c r="I300" s="2620"/>
      <c r="J300" s="2620"/>
      <c r="K300" s="2620"/>
      <c r="L300" s="2620"/>
      <c r="M300" s="2620"/>
      <c r="N300" s="2620"/>
      <c r="O300" s="160" t="s">
        <v>2727</v>
      </c>
      <c r="P300" s="3925" t="s">
        <v>2990</v>
      </c>
      <c r="Q300" s="1149"/>
      <c r="AE300" s="467"/>
      <c r="AF300" s="467"/>
    </row>
    <row r="301" spans="1:32" s="414" customFormat="1" ht="12" customHeight="1">
      <c r="A301" s="141"/>
      <c r="B301" s="2161" t="s">
        <v>1738</v>
      </c>
      <c r="C301" s="2620" t="s">
        <v>3907</v>
      </c>
      <c r="D301" s="2620"/>
      <c r="E301" s="2620"/>
      <c r="F301" s="2620"/>
      <c r="G301" s="2620"/>
      <c r="H301" s="2620"/>
      <c r="I301" s="2620"/>
      <c r="J301" s="2620"/>
      <c r="K301" s="2620"/>
      <c r="L301" s="2620"/>
      <c r="M301" s="2620"/>
      <c r="N301" s="2620"/>
      <c r="O301" s="148" t="s">
        <v>1738</v>
      </c>
      <c r="P301" s="3915" t="s">
        <v>2990</v>
      </c>
      <c r="Q301" s="2292"/>
      <c r="AE301" s="468"/>
      <c r="AF301" s="468"/>
    </row>
    <row r="302" spans="1:32" s="414" customFormat="1" ht="21.75" customHeight="1">
      <c r="A302" s="141"/>
      <c r="B302" s="477" t="s">
        <v>1739</v>
      </c>
      <c r="C302" s="2620" t="s">
        <v>3905</v>
      </c>
      <c r="D302" s="2620"/>
      <c r="E302" s="2620"/>
      <c r="F302" s="2620"/>
      <c r="G302" s="2620"/>
      <c r="H302" s="2620"/>
      <c r="I302" s="2620"/>
      <c r="J302" s="2620"/>
      <c r="K302" s="2620"/>
      <c r="L302" s="2620"/>
      <c r="M302" s="2620"/>
      <c r="N302" s="2620"/>
      <c r="O302" s="160" t="s">
        <v>1739</v>
      </c>
      <c r="P302" s="3926" t="s">
        <v>2990</v>
      </c>
      <c r="Q302" s="2296"/>
      <c r="AE302" s="468"/>
      <c r="AF302" s="468"/>
    </row>
    <row r="303" spans="1:32" s="94" customFormat="1" ht="12.75" customHeight="1">
      <c r="A303" s="13" t="s">
        <v>1986</v>
      </c>
      <c r="B303" s="2283" t="s">
        <v>3872</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1" t="s">
        <v>1737</v>
      </c>
      <c r="C304" s="2620" t="s">
        <v>3747</v>
      </c>
      <c r="D304" s="2620"/>
      <c r="E304" s="2620"/>
      <c r="F304" s="2620"/>
      <c r="G304" s="2620"/>
      <c r="H304" s="2620"/>
      <c r="I304" s="139"/>
      <c r="J304" s="2649" t="s">
        <v>3790</v>
      </c>
      <c r="K304" s="2650"/>
      <c r="L304" s="2650"/>
      <c r="M304" s="2664" t="s">
        <v>3760</v>
      </c>
      <c r="N304" s="2664"/>
      <c r="AE304" s="469"/>
      <c r="AF304" s="469"/>
    </row>
    <row r="305" spans="1:33" s="294" customFormat="1" ht="10.5" customHeight="1">
      <c r="A305" s="305"/>
      <c r="B305" s="2259"/>
      <c r="C305" s="2620"/>
      <c r="D305" s="2620"/>
      <c r="E305" s="2620"/>
      <c r="F305" s="2620"/>
      <c r="G305" s="2620"/>
      <c r="H305" s="2620"/>
      <c r="I305" s="2270"/>
      <c r="J305" s="2650"/>
      <c r="K305" s="2650"/>
      <c r="L305" s="2650"/>
      <c r="M305" s="35" t="s">
        <v>3761</v>
      </c>
      <c r="N305" s="2300" t="s">
        <v>3789</v>
      </c>
      <c r="P305" s="303"/>
    </row>
    <row r="306" spans="1:33" s="294" customFormat="1" ht="13.15" customHeight="1">
      <c r="A306" s="305"/>
      <c r="B306" s="2259"/>
      <c r="C306" s="2620"/>
      <c r="D306" s="2620"/>
      <c r="E306" s="2620"/>
      <c r="F306" s="2620"/>
      <c r="G306" s="2620"/>
      <c r="H306" s="2620"/>
      <c r="I306" s="51" t="s">
        <v>4118</v>
      </c>
      <c r="K306" s="3964">
        <v>5</v>
      </c>
      <c r="L306" s="1016" t="str">
        <f>IF(K306&lt;M306,"Check!!!","")</f>
        <v/>
      </c>
      <c r="M306" s="1017">
        <f>ROUNDUP('Part VI-Revenues &amp; Expenses'!$O$67*'Part VIII-Threshold Criteria'!N306,0)</f>
        <v>5</v>
      </c>
      <c r="N306" s="2127">
        <f>'DCA Underwriting Assumptions'!$Q$139</f>
        <v>0.05</v>
      </c>
      <c r="O306" s="463" t="s">
        <v>3636</v>
      </c>
      <c r="P306" s="3891"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1"/>
      <c r="C307" s="2620" t="s">
        <v>3748</v>
      </c>
      <c r="D307" s="2620"/>
      <c r="E307" s="2620"/>
      <c r="F307" s="2620"/>
      <c r="G307" s="2620"/>
      <c r="H307" s="2620"/>
      <c r="I307" s="884" t="s">
        <v>4119</v>
      </c>
      <c r="J307" s="294"/>
      <c r="K307" s="3964">
        <v>2</v>
      </c>
      <c r="L307" s="1016" t="str">
        <f>IF(K307&lt;M307,"Check!!!","")</f>
        <v/>
      </c>
      <c r="M307" s="1017">
        <f>ROUNDUP(K306*'Part VIII-Threshold Criteria'!N307,0)</f>
        <v>2</v>
      </c>
      <c r="N307" s="2127">
        <f>'DCA Underwriting Assumptions'!$Q$140</f>
        <v>0.4</v>
      </c>
      <c r="O307" s="463" t="s">
        <v>2118</v>
      </c>
      <c r="P307" s="3965" t="s">
        <v>2990</v>
      </c>
      <c r="Q307" s="2648"/>
      <c r="T307" s="139"/>
      <c r="U307" s="139"/>
      <c r="V307" s="139"/>
      <c r="W307" s="139"/>
      <c r="X307" s="139"/>
      <c r="Y307" s="139"/>
      <c r="Z307" s="139"/>
      <c r="AA307" s="139"/>
      <c r="AB307" s="139"/>
      <c r="AC307" s="139"/>
      <c r="AD307" s="139"/>
      <c r="AE307" s="139"/>
      <c r="AF307" s="139"/>
      <c r="AG307" s="139"/>
    </row>
    <row r="308" spans="1:33" s="294" customFormat="1" ht="10.5" customHeight="1">
      <c r="A308" s="305"/>
      <c r="B308" s="2259"/>
      <c r="C308" s="2620"/>
      <c r="D308" s="2620"/>
      <c r="E308" s="2620"/>
      <c r="F308" s="2620"/>
      <c r="G308" s="2620"/>
      <c r="H308" s="2620"/>
      <c r="O308" s="39"/>
      <c r="P308" s="3965"/>
      <c r="Q308" s="2648"/>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1" t="s">
        <v>1738</v>
      </c>
      <c r="C309" s="2620" t="s">
        <v>3749</v>
      </c>
      <c r="D309" s="2620"/>
      <c r="E309" s="2620"/>
      <c r="F309" s="2620"/>
      <c r="G309" s="2620"/>
      <c r="H309" s="2620"/>
      <c r="I309" s="51" t="s">
        <v>4120</v>
      </c>
      <c r="J309" s="294"/>
      <c r="K309" s="3964">
        <v>2</v>
      </c>
      <c r="L309" s="1016" t="str">
        <f>IF(K309&lt;M309,"Check!!!","")</f>
        <v/>
      </c>
      <c r="M309" s="1017">
        <f>ROUNDUP('Part VI-Revenues &amp; Expenses'!$O$67*'Part VIII-Threshold Criteria'!N309,0)</f>
        <v>2</v>
      </c>
      <c r="N309" s="2127">
        <f>'DCA Underwriting Assumptions'!$Q$141</f>
        <v>0.02</v>
      </c>
      <c r="O309" s="463" t="s">
        <v>1738</v>
      </c>
      <c r="P309" s="3893"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20"/>
      <c r="D310" s="2620"/>
      <c r="E310" s="2620"/>
      <c r="F310" s="2620"/>
      <c r="G310" s="2620"/>
      <c r="H310" s="2620"/>
      <c r="J310" s="35"/>
      <c r="K310" s="35"/>
      <c r="L310" s="897"/>
      <c r="M310" s="2293"/>
      <c r="O310" s="35"/>
      <c r="P310" s="2300"/>
      <c r="Q310" s="35"/>
      <c r="T310" s="35"/>
      <c r="U310" s="884"/>
      <c r="V310" s="35"/>
      <c r="W310" s="884"/>
      <c r="X310" s="35"/>
      <c r="Y310" s="35"/>
      <c r="Z310" s="35"/>
      <c r="AA310" s="35"/>
      <c r="AB310" s="35"/>
      <c r="AC310" s="35"/>
      <c r="AD310" s="35"/>
      <c r="AE310" s="35"/>
      <c r="AF310" s="35"/>
      <c r="AG310" s="35"/>
    </row>
    <row r="311" spans="1:33" s="294" customFormat="1" ht="10.5" customHeight="1">
      <c r="A311" s="305"/>
      <c r="C311" s="2620"/>
      <c r="D311" s="2620"/>
      <c r="E311" s="2620"/>
      <c r="F311" s="2620"/>
      <c r="G311" s="2620"/>
      <c r="H311" s="2620"/>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3" t="s">
        <v>3873</v>
      </c>
      <c r="D312" s="2297"/>
      <c r="E312" s="2297"/>
      <c r="F312" s="2297"/>
      <c r="G312" s="2297"/>
      <c r="H312" s="2297"/>
      <c r="O312" s="39"/>
      <c r="P312" s="463"/>
      <c r="V312" s="35"/>
      <c r="W312" s="884"/>
      <c r="X312" s="35"/>
      <c r="Z312" s="1016"/>
      <c r="AA312" s="1016"/>
      <c r="AB312" s="1016"/>
      <c r="AC312" s="1016"/>
      <c r="AD312" s="1016"/>
      <c r="AE312" s="1016"/>
      <c r="AF312" s="1016"/>
      <c r="AG312" s="1016"/>
    </row>
    <row r="313" spans="1:33" s="94" customFormat="1" ht="21.75" customHeight="1">
      <c r="B313" s="2647" t="s">
        <v>3638</v>
      </c>
      <c r="C313" s="2647"/>
      <c r="D313" s="2647"/>
      <c r="E313" s="2647"/>
      <c r="F313" s="2647"/>
      <c r="G313" s="2647"/>
      <c r="H313" s="2647"/>
      <c r="I313" s="2647"/>
      <c r="J313" s="2647"/>
      <c r="K313" s="2647"/>
      <c r="L313" s="2647"/>
      <c r="M313" s="2647"/>
      <c r="N313" s="2647"/>
      <c r="O313" s="160" t="s">
        <v>749</v>
      </c>
      <c r="P313" s="3966" t="s">
        <v>2990</v>
      </c>
      <c r="Q313" s="1150"/>
      <c r="AE313" s="469"/>
      <c r="AF313" s="469"/>
    </row>
    <row r="314" spans="1:33" s="94" customFormat="1" ht="11.25" customHeight="1">
      <c r="B314" s="391" t="s">
        <v>3639</v>
      </c>
      <c r="D314" s="391"/>
      <c r="E314" s="391"/>
      <c r="F314" s="391"/>
      <c r="G314" s="391"/>
      <c r="H314" s="391"/>
      <c r="I314" s="391" t="s">
        <v>3759</v>
      </c>
      <c r="J314" s="391"/>
      <c r="K314" s="391"/>
      <c r="L314" s="3967" t="s">
        <v>5188</v>
      </c>
      <c r="M314" s="3968"/>
      <c r="N314" s="3968"/>
      <c r="O314" s="3969"/>
      <c r="P314" s="391"/>
      <c r="Q314" s="391"/>
      <c r="R314" s="391"/>
      <c r="AE314" s="469"/>
      <c r="AF314" s="469"/>
    </row>
    <row r="315" spans="1:33" s="414" customFormat="1" ht="44.25" customHeight="1">
      <c r="B315" s="2161" t="s">
        <v>1737</v>
      </c>
      <c r="C315" s="2620" t="s">
        <v>3637</v>
      </c>
      <c r="D315" s="2620"/>
      <c r="E315" s="2620"/>
      <c r="F315" s="2620"/>
      <c r="G315" s="2620"/>
      <c r="H315" s="2620"/>
      <c r="I315" s="2620"/>
      <c r="J315" s="2620"/>
      <c r="K315" s="2620"/>
      <c r="L315" s="2620"/>
      <c r="M315" s="2620"/>
      <c r="N315" s="2620"/>
      <c r="O315" s="160" t="s">
        <v>3642</v>
      </c>
      <c r="P315" s="3925" t="s">
        <v>2990</v>
      </c>
      <c r="Q315" s="1149"/>
      <c r="AE315" s="468"/>
      <c r="AF315" s="468"/>
    </row>
    <row r="316" spans="1:33" s="414" customFormat="1" ht="34.5" customHeight="1">
      <c r="B316" s="2161" t="s">
        <v>1738</v>
      </c>
      <c r="C316" s="2620" t="s">
        <v>4905</v>
      </c>
      <c r="D316" s="2620"/>
      <c r="E316" s="2620"/>
      <c r="F316" s="2620"/>
      <c r="G316" s="2620"/>
      <c r="H316" s="2620"/>
      <c r="I316" s="2620"/>
      <c r="J316" s="2620"/>
      <c r="K316" s="2620"/>
      <c r="L316" s="2620"/>
      <c r="M316" s="2620"/>
      <c r="N316" s="2620"/>
      <c r="O316" s="160" t="s">
        <v>3643</v>
      </c>
      <c r="P316" s="3915" t="s">
        <v>2990</v>
      </c>
      <c r="Q316" s="2292"/>
      <c r="AE316" s="468"/>
      <c r="AF316" s="468"/>
    </row>
    <row r="317" spans="1:33" s="414" customFormat="1" ht="22.5" customHeight="1">
      <c r="B317" s="477" t="s">
        <v>1739</v>
      </c>
      <c r="C317" s="2620" t="s">
        <v>3640</v>
      </c>
      <c r="D317" s="2620"/>
      <c r="E317" s="2620"/>
      <c r="F317" s="2620"/>
      <c r="G317" s="2620"/>
      <c r="H317" s="2620"/>
      <c r="I317" s="2620"/>
      <c r="J317" s="2620"/>
      <c r="K317" s="2620"/>
      <c r="L317" s="2620"/>
      <c r="M317" s="2620"/>
      <c r="N317" s="2620"/>
      <c r="O317" s="160" t="s">
        <v>3644</v>
      </c>
      <c r="P317" s="3915" t="s">
        <v>2990</v>
      </c>
      <c r="Q317" s="2292"/>
      <c r="AE317" s="468"/>
      <c r="AF317" s="468"/>
    </row>
    <row r="318" spans="1:33" s="414" customFormat="1" ht="32.25" customHeight="1">
      <c r="B318" s="477" t="s">
        <v>2366</v>
      </c>
      <c r="C318" s="2620" t="s">
        <v>3641</v>
      </c>
      <c r="D318" s="2620"/>
      <c r="E318" s="2620"/>
      <c r="F318" s="2620"/>
      <c r="G318" s="2620"/>
      <c r="H318" s="2620"/>
      <c r="I318" s="2620"/>
      <c r="J318" s="2620"/>
      <c r="K318" s="2620"/>
      <c r="L318" s="2620"/>
      <c r="M318" s="2620"/>
      <c r="N318" s="2620"/>
      <c r="O318" s="160" t="s">
        <v>3645</v>
      </c>
      <c r="P318" s="3926" t="s">
        <v>2990</v>
      </c>
      <c r="Q318" s="2296"/>
      <c r="AE318" s="468"/>
      <c r="AF318" s="468"/>
    </row>
    <row r="319" spans="1:33" ht="11.25" customHeight="1">
      <c r="B319" s="140" t="s">
        <v>3750</v>
      </c>
      <c r="D319" s="140"/>
      <c r="E319" s="140"/>
      <c r="F319" s="140"/>
      <c r="G319" s="140"/>
      <c r="H319" s="39"/>
      <c r="I319" s="2300"/>
      <c r="J319" s="2300"/>
      <c r="K319" s="2300"/>
      <c r="L319" s="2286"/>
      <c r="M319" s="2286"/>
      <c r="N319" s="2286"/>
      <c r="O319" s="2286"/>
      <c r="P319" s="2286"/>
      <c r="Q319" s="896"/>
    </row>
    <row r="320" spans="1:33" ht="32.25" customHeight="1">
      <c r="A320" s="3885" t="s">
        <v>5189</v>
      </c>
      <c r="B320" s="3886"/>
      <c r="C320" s="3886"/>
      <c r="D320" s="3886"/>
      <c r="E320" s="3886"/>
      <c r="F320" s="3886"/>
      <c r="G320" s="3886"/>
      <c r="H320" s="3886"/>
      <c r="I320" s="3886"/>
      <c r="J320" s="3886"/>
      <c r="K320" s="3886"/>
      <c r="L320" s="3886"/>
      <c r="M320" s="3886"/>
      <c r="N320" s="3886"/>
      <c r="O320" s="3886"/>
      <c r="P320" s="3886"/>
      <c r="Q320" s="3887"/>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7"/>
      <c r="E321" s="2297"/>
      <c r="F321" s="2297"/>
      <c r="G321" s="2297"/>
      <c r="H321" s="2297"/>
      <c r="I321" s="2297"/>
      <c r="J321" s="2297"/>
      <c r="K321" s="2297"/>
      <c r="L321" s="2297"/>
      <c r="M321" s="2297"/>
      <c r="N321" s="2297"/>
      <c r="O321" s="2297"/>
      <c r="P321" s="2297"/>
      <c r="Q321" s="2297"/>
    </row>
    <row r="322" spans="1:256 1523:1523" ht="45.75" customHeight="1">
      <c r="A322" s="2651"/>
      <c r="B322" s="2652"/>
      <c r="C322" s="2652"/>
      <c r="D322" s="2652"/>
      <c r="E322" s="2652"/>
      <c r="F322" s="2652"/>
      <c r="G322" s="2652"/>
      <c r="H322" s="2652"/>
      <c r="I322" s="2652"/>
      <c r="J322" s="2652"/>
      <c r="K322" s="2652"/>
      <c r="L322" s="2652"/>
      <c r="M322" s="2652"/>
      <c r="N322" s="2652"/>
      <c r="O322" s="2652"/>
      <c r="P322" s="2652"/>
      <c r="Q322" s="2653"/>
    </row>
    <row r="323" spans="1:256 1523:1523" ht="13.9" customHeight="1">
      <c r="A323" s="2283" t="s">
        <v>4096</v>
      </c>
      <c r="B323" s="9" t="s">
        <v>2667</v>
      </c>
      <c r="C323" s="9"/>
      <c r="D323" s="9"/>
      <c r="E323" s="9"/>
      <c r="F323" s="9"/>
      <c r="G323" s="9"/>
      <c r="H323" s="2297"/>
      <c r="I323" s="2297"/>
      <c r="J323" s="2297"/>
      <c r="K323" s="2297"/>
      <c r="L323" s="2297"/>
      <c r="M323" s="2297"/>
      <c r="O323" s="131" t="s">
        <v>1868</v>
      </c>
      <c r="P323" s="2654"/>
      <c r="Q323" s="2655"/>
    </row>
    <row r="324" spans="1:256 1523:1523" ht="11.65" customHeight="1">
      <c r="B324" s="144" t="s">
        <v>2253</v>
      </c>
      <c r="P324" s="3891" t="s">
        <v>2993</v>
      </c>
      <c r="Q324" s="534"/>
    </row>
    <row r="325" spans="1:256 1523:1523" ht="12" customHeight="1">
      <c r="B325" s="879" t="s">
        <v>2212</v>
      </c>
      <c r="C325" s="879"/>
      <c r="D325" s="879"/>
      <c r="E325" s="879"/>
      <c r="F325" s="879"/>
      <c r="G325" s="879"/>
      <c r="H325" s="879"/>
      <c r="I325" s="879"/>
      <c r="J325" s="879"/>
      <c r="K325" s="879"/>
      <c r="L325" s="879"/>
      <c r="P325" s="3893" t="s">
        <v>2990</v>
      </c>
      <c r="Q325" s="536"/>
    </row>
    <row r="326" spans="1:256 1523:1523" ht="11.65" customHeight="1">
      <c r="A326" s="141" t="s">
        <v>1984</v>
      </c>
      <c r="B326" s="180" t="s">
        <v>459</v>
      </c>
      <c r="D326" s="897"/>
      <c r="E326" s="897"/>
      <c r="F326" s="897"/>
      <c r="G326" s="897"/>
      <c r="H326" s="897"/>
      <c r="I326" s="897"/>
      <c r="J326" s="897"/>
      <c r="K326" s="897"/>
      <c r="L326" s="897"/>
      <c r="M326" s="897"/>
      <c r="N326" s="160"/>
    </row>
    <row r="327" spans="1:256 1523:1523" ht="22.5" customHeight="1">
      <c r="B327" s="2620" t="s">
        <v>2881</v>
      </c>
      <c r="C327" s="2620"/>
      <c r="D327" s="2620"/>
      <c r="E327" s="2620"/>
      <c r="F327" s="2620"/>
      <c r="G327" s="2620"/>
      <c r="H327" s="2620"/>
      <c r="I327" s="2620"/>
      <c r="J327" s="2620"/>
      <c r="K327" s="2620"/>
      <c r="L327" s="2620"/>
      <c r="M327" s="2620"/>
      <c r="N327" s="2620"/>
      <c r="O327" s="160" t="s">
        <v>1984</v>
      </c>
      <c r="P327" s="3970" t="s">
        <v>2993</v>
      </c>
      <c r="Q327" s="537"/>
    </row>
    <row r="328" spans="1:256 1523:1523" ht="12.4" customHeight="1">
      <c r="A328" s="141" t="s">
        <v>1986</v>
      </c>
      <c r="B328" s="214" t="s">
        <v>460</v>
      </c>
      <c r="D328" s="214"/>
      <c r="E328" s="214"/>
      <c r="F328" s="214"/>
      <c r="G328" s="214"/>
      <c r="H328" s="214"/>
      <c r="I328" s="214"/>
      <c r="J328" s="214"/>
      <c r="K328" s="214"/>
      <c r="L328" s="214"/>
      <c r="M328" s="214"/>
      <c r="O328" s="160" t="s">
        <v>1986</v>
      </c>
      <c r="P328" s="2286"/>
      <c r="Q328" s="896"/>
    </row>
    <row r="329" spans="1:256 1523:1523" ht="36" customHeight="1">
      <c r="B329" s="879" t="s">
        <v>1737</v>
      </c>
      <c r="C329" s="213" t="s">
        <v>1131</v>
      </c>
      <c r="E329" s="132"/>
      <c r="F329" s="132"/>
      <c r="G329" s="3971" t="s">
        <v>4918</v>
      </c>
      <c r="H329" s="3972"/>
      <c r="I329" s="3972"/>
      <c r="J329" s="3972"/>
      <c r="K329" s="3972"/>
      <c r="L329" s="3972"/>
      <c r="M329" s="3972"/>
      <c r="N329" s="3973"/>
      <c r="O329" s="216" t="s">
        <v>1737</v>
      </c>
      <c r="P329" s="3925" t="s">
        <v>2990</v>
      </c>
      <c r="Q329" s="1149"/>
      <c r="BFO329" s="147" t="s">
        <v>2728</v>
      </c>
    </row>
    <row r="330" spans="1:256 1523:1523" ht="23.25" customHeight="1">
      <c r="B330" s="879" t="s">
        <v>1738</v>
      </c>
      <c r="C330" s="2620" t="s">
        <v>1132</v>
      </c>
      <c r="D330" s="2620"/>
      <c r="E330" s="2620"/>
      <c r="F330" s="2656"/>
      <c r="G330" s="3528" t="s">
        <v>3762</v>
      </c>
      <c r="H330" s="3974"/>
      <c r="I330" s="3974"/>
      <c r="J330" s="3974"/>
      <c r="K330" s="3974"/>
      <c r="L330" s="3974"/>
      <c r="M330" s="3974"/>
      <c r="N330" s="3975"/>
      <c r="O330" s="216" t="s">
        <v>1738</v>
      </c>
      <c r="P330" s="3926" t="s">
        <v>2990</v>
      </c>
      <c r="Q330" s="2296"/>
    </row>
    <row r="331" spans="1:256 1523:1523" ht="3" customHeight="1">
      <c r="A331" s="2286"/>
      <c r="B331" s="1168"/>
      <c r="C331" s="2286"/>
      <c r="D331" s="2286"/>
      <c r="E331" s="2286"/>
      <c r="F331" s="2286"/>
      <c r="G331" s="2286"/>
      <c r="H331" s="2286"/>
      <c r="I331" s="2286"/>
      <c r="J331" s="2286"/>
      <c r="K331" s="2286"/>
      <c r="L331" s="2286"/>
      <c r="M331" s="2286"/>
      <c r="N331" s="2286"/>
      <c r="O331" s="2286"/>
      <c r="P331" s="2286"/>
      <c r="Q331" s="2286"/>
      <c r="R331" s="2286"/>
      <c r="S331" s="2286"/>
      <c r="T331" s="2286"/>
      <c r="U331" s="2286"/>
      <c r="V331" s="2286"/>
      <c r="W331" s="2286"/>
      <c r="X331" s="2286"/>
      <c r="Y331" s="2286"/>
      <c r="Z331" s="2286"/>
      <c r="AA331" s="2286"/>
      <c r="AB331" s="2286"/>
      <c r="AC331" s="2286"/>
      <c r="AD331" s="2286"/>
      <c r="AE331" s="896"/>
      <c r="AF331" s="896"/>
      <c r="AG331" s="2286"/>
      <c r="AH331" s="2286"/>
      <c r="AI331" s="2286"/>
      <c r="AJ331" s="2286"/>
      <c r="AK331" s="2286"/>
      <c r="AL331" s="2286"/>
      <c r="AM331" s="2286"/>
      <c r="AN331" s="2286"/>
      <c r="AO331" s="2286"/>
      <c r="AP331" s="2286"/>
      <c r="AQ331" s="2286"/>
      <c r="AR331" s="2286"/>
      <c r="AS331" s="2286"/>
      <c r="AT331" s="2286"/>
      <c r="AU331" s="2286"/>
      <c r="AV331" s="2286"/>
      <c r="AW331" s="2286"/>
      <c r="AX331" s="2286"/>
      <c r="AY331" s="2286"/>
      <c r="AZ331" s="2286"/>
      <c r="BA331" s="2286"/>
      <c r="BB331" s="2286"/>
      <c r="BC331" s="2286"/>
      <c r="BD331" s="2286"/>
      <c r="BE331" s="2286"/>
      <c r="BF331" s="2286"/>
      <c r="BG331" s="2286"/>
      <c r="BH331" s="2286"/>
      <c r="BI331" s="2286"/>
      <c r="BJ331" s="2286"/>
      <c r="BK331" s="2286"/>
      <c r="BL331" s="2286"/>
      <c r="BM331" s="2286"/>
      <c r="BN331" s="2286"/>
      <c r="BO331" s="2286"/>
      <c r="BP331" s="2286"/>
      <c r="BQ331" s="2286"/>
      <c r="BR331" s="2286"/>
      <c r="BS331" s="2286"/>
      <c r="BT331" s="2286"/>
      <c r="BU331" s="2286"/>
      <c r="BV331" s="2286"/>
      <c r="BW331" s="2286"/>
      <c r="BX331" s="2286"/>
      <c r="BY331" s="2286"/>
      <c r="BZ331" s="2286"/>
      <c r="CA331" s="2286"/>
      <c r="CB331" s="2286"/>
      <c r="CC331" s="2286"/>
      <c r="CD331" s="2286"/>
      <c r="CE331" s="2286"/>
      <c r="CF331" s="2286"/>
      <c r="CG331" s="2286"/>
      <c r="CH331" s="2286"/>
      <c r="CI331" s="2286"/>
      <c r="CJ331" s="2286"/>
      <c r="CK331" s="2286"/>
      <c r="CL331" s="2286"/>
      <c r="CM331" s="2286"/>
      <c r="CN331" s="2286"/>
      <c r="CO331" s="2286"/>
      <c r="CP331" s="2286"/>
      <c r="CQ331" s="2286"/>
      <c r="CR331" s="2286"/>
      <c r="CS331" s="2286"/>
      <c r="CT331" s="2286"/>
      <c r="CU331" s="2286"/>
      <c r="CV331" s="2286"/>
      <c r="CW331" s="2286"/>
      <c r="CX331" s="2286"/>
      <c r="CY331" s="2286"/>
      <c r="CZ331" s="2286"/>
      <c r="DA331" s="2286"/>
      <c r="DB331" s="2286"/>
      <c r="DC331" s="2286"/>
      <c r="DD331" s="2286"/>
      <c r="DE331" s="2286"/>
      <c r="DF331" s="2286"/>
      <c r="DG331" s="2286"/>
      <c r="DH331" s="2286"/>
      <c r="DI331" s="2286"/>
      <c r="DJ331" s="2286"/>
      <c r="DK331" s="2286"/>
      <c r="DL331" s="2286"/>
      <c r="DM331" s="2286"/>
      <c r="DN331" s="2286"/>
      <c r="DO331" s="2286"/>
      <c r="DP331" s="2286"/>
      <c r="DQ331" s="2286"/>
      <c r="DR331" s="2286"/>
      <c r="DS331" s="2286"/>
      <c r="DT331" s="2286"/>
      <c r="DU331" s="2286"/>
      <c r="DV331" s="2286"/>
      <c r="DW331" s="2286"/>
      <c r="DX331" s="2286"/>
      <c r="DY331" s="2286"/>
      <c r="DZ331" s="2286"/>
      <c r="EA331" s="2286"/>
      <c r="EB331" s="2286"/>
      <c r="EC331" s="2286"/>
      <c r="ED331" s="2286"/>
      <c r="EE331" s="2286"/>
      <c r="EF331" s="2286"/>
      <c r="EG331" s="2286"/>
      <c r="EH331" s="2286"/>
      <c r="EI331" s="2286"/>
      <c r="EJ331" s="2286"/>
      <c r="EK331" s="2286"/>
      <c r="EL331" s="2286"/>
      <c r="EM331" s="2286"/>
      <c r="EN331" s="2286"/>
      <c r="EO331" s="2286"/>
      <c r="EP331" s="2286"/>
      <c r="EQ331" s="2286"/>
      <c r="ER331" s="2286"/>
      <c r="ES331" s="2286"/>
      <c r="ET331" s="2286"/>
      <c r="EU331" s="2286"/>
      <c r="EV331" s="2286"/>
      <c r="EW331" s="2286"/>
      <c r="EX331" s="2286"/>
      <c r="EY331" s="2286"/>
      <c r="EZ331" s="2286"/>
      <c r="FA331" s="2286"/>
      <c r="FB331" s="2286"/>
      <c r="FC331" s="2286"/>
      <c r="FD331" s="2286"/>
      <c r="FE331" s="2286"/>
      <c r="FF331" s="2286"/>
      <c r="FG331" s="2286"/>
      <c r="FH331" s="2286"/>
      <c r="FI331" s="2286"/>
      <c r="FJ331" s="2286"/>
      <c r="FK331" s="2286"/>
      <c r="FL331" s="2286"/>
      <c r="FM331" s="2286"/>
      <c r="FN331" s="2286"/>
      <c r="FO331" s="2286"/>
      <c r="FP331" s="2286"/>
      <c r="FQ331" s="2286"/>
      <c r="FR331" s="2286"/>
      <c r="FS331" s="2286"/>
      <c r="FT331" s="2286"/>
      <c r="FU331" s="2286"/>
      <c r="FV331" s="2286"/>
      <c r="FW331" s="2286"/>
      <c r="FX331" s="2286"/>
      <c r="FY331" s="2286"/>
      <c r="FZ331" s="2286"/>
      <c r="GA331" s="2286"/>
      <c r="GB331" s="2286"/>
      <c r="GC331" s="2286"/>
      <c r="GD331" s="2286"/>
      <c r="GE331" s="2286"/>
      <c r="GF331" s="2286"/>
      <c r="GG331" s="2286"/>
      <c r="GH331" s="2286"/>
      <c r="GI331" s="2286"/>
      <c r="GJ331" s="2286"/>
      <c r="GK331" s="2286"/>
      <c r="GL331" s="2286"/>
      <c r="GM331" s="2286"/>
      <c r="GN331" s="2286"/>
      <c r="GO331" s="2286"/>
      <c r="GP331" s="2286"/>
      <c r="GQ331" s="2286"/>
      <c r="GR331" s="2286"/>
      <c r="GS331" s="2286"/>
      <c r="GT331" s="2286"/>
      <c r="GU331" s="2286"/>
      <c r="GV331" s="2286"/>
      <c r="GW331" s="2286"/>
      <c r="GX331" s="2286"/>
      <c r="GY331" s="2286"/>
      <c r="GZ331" s="2286"/>
      <c r="HA331" s="2286"/>
      <c r="HB331" s="2286"/>
      <c r="HC331" s="2286"/>
      <c r="HD331" s="2286"/>
      <c r="HE331" s="2286"/>
      <c r="HF331" s="2286"/>
      <c r="HG331" s="2286"/>
      <c r="HH331" s="2286"/>
      <c r="HI331" s="2286"/>
      <c r="HJ331" s="2286"/>
      <c r="HK331" s="2286"/>
      <c r="HL331" s="2286"/>
      <c r="HM331" s="2286"/>
      <c r="HN331" s="2286"/>
      <c r="HO331" s="2286"/>
      <c r="HP331" s="2286"/>
      <c r="HQ331" s="2286"/>
      <c r="HR331" s="2286"/>
      <c r="HS331" s="2286"/>
      <c r="HT331" s="2286"/>
      <c r="HU331" s="2286"/>
      <c r="HV331" s="2286"/>
      <c r="HW331" s="2286"/>
      <c r="HX331" s="2286"/>
      <c r="HY331" s="2286"/>
      <c r="HZ331" s="2286"/>
      <c r="IA331" s="2286"/>
      <c r="IB331" s="2286"/>
      <c r="IC331" s="2286"/>
      <c r="ID331" s="2286"/>
      <c r="IE331" s="2286"/>
      <c r="IF331" s="2286"/>
      <c r="IG331" s="2286"/>
      <c r="IH331" s="2286"/>
      <c r="II331" s="2286"/>
      <c r="IJ331" s="2286"/>
      <c r="IK331" s="2286"/>
      <c r="IL331" s="2286"/>
      <c r="IM331" s="2286"/>
      <c r="IN331" s="2286"/>
      <c r="IO331" s="2286"/>
      <c r="IP331" s="2286"/>
      <c r="IQ331" s="2286"/>
      <c r="IR331" s="2286"/>
      <c r="IS331" s="2286"/>
      <c r="IT331" s="2286"/>
      <c r="IU331" s="2286"/>
      <c r="IV331" s="2286"/>
    </row>
    <row r="332" spans="1:256 1523:1523" s="132" customFormat="1" ht="22.5" customHeight="1">
      <c r="A332" s="141" t="s">
        <v>749</v>
      </c>
      <c r="B332" s="2665" t="s">
        <v>2673</v>
      </c>
      <c r="C332" s="2665"/>
      <c r="D332" s="2665"/>
      <c r="E332" s="2665"/>
      <c r="F332" s="2665"/>
      <c r="G332" s="2665"/>
      <c r="H332" s="2665"/>
      <c r="I332" s="2665"/>
      <c r="J332" s="2665"/>
      <c r="K332" s="2665"/>
      <c r="L332" s="2665"/>
      <c r="M332" s="2665"/>
      <c r="N332" s="2665"/>
      <c r="O332" s="443" t="s">
        <v>749</v>
      </c>
      <c r="P332" s="2286"/>
      <c r="Q332" s="896"/>
      <c r="AE332" s="466"/>
      <c r="AF332" s="466"/>
    </row>
    <row r="333" spans="1:256 1523:1523" s="132" customFormat="1" ht="11.25" customHeight="1">
      <c r="A333" s="143"/>
      <c r="B333" s="879" t="s">
        <v>1737</v>
      </c>
      <c r="C333" s="3976"/>
      <c r="D333" s="3977"/>
      <c r="E333" s="3977"/>
      <c r="F333" s="3977"/>
      <c r="G333" s="3977"/>
      <c r="H333" s="3977"/>
      <c r="I333" s="3977"/>
      <c r="J333" s="3977"/>
      <c r="K333" s="3977"/>
      <c r="L333" s="3977"/>
      <c r="M333" s="3977"/>
      <c r="N333" s="3978"/>
      <c r="O333" s="216" t="s">
        <v>1737</v>
      </c>
      <c r="P333" s="3925"/>
      <c r="Q333" s="1149"/>
      <c r="AE333" s="466"/>
      <c r="AF333" s="466"/>
    </row>
    <row r="334" spans="1:256 1523:1523" s="132" customFormat="1" ht="11.25" customHeight="1">
      <c r="A334" s="143"/>
      <c r="B334" s="879" t="s">
        <v>1738</v>
      </c>
      <c r="C334" s="3948"/>
      <c r="D334" s="3949"/>
      <c r="E334" s="3949"/>
      <c r="F334" s="3949"/>
      <c r="G334" s="3949"/>
      <c r="H334" s="3949"/>
      <c r="I334" s="3949"/>
      <c r="J334" s="3949"/>
      <c r="K334" s="3949"/>
      <c r="L334" s="3949"/>
      <c r="M334" s="3949"/>
      <c r="N334" s="3950"/>
      <c r="O334" s="216" t="s">
        <v>1738</v>
      </c>
      <c r="P334" s="3926"/>
      <c r="Q334" s="2296"/>
      <c r="AE334" s="466"/>
      <c r="AF334" s="466"/>
    </row>
    <row r="335" spans="1:256 1523:1523" ht="3" customHeight="1">
      <c r="A335" s="2286"/>
      <c r="B335" s="2286"/>
      <c r="C335" s="2286"/>
      <c r="D335" s="2286"/>
      <c r="E335" s="2286"/>
      <c r="F335" s="2286"/>
      <c r="G335" s="2286"/>
      <c r="H335" s="2286"/>
      <c r="I335" s="2286"/>
      <c r="J335" s="2286"/>
      <c r="K335" s="2286"/>
      <c r="L335" s="2286"/>
      <c r="M335" s="2286"/>
      <c r="N335" s="2286"/>
      <c r="O335" s="2286"/>
      <c r="P335" s="2286"/>
      <c r="Q335" s="2286"/>
      <c r="R335" s="2286"/>
      <c r="S335" s="2286"/>
      <c r="T335" s="2286"/>
      <c r="U335" s="2286"/>
      <c r="V335" s="2286"/>
      <c r="W335" s="2286"/>
      <c r="X335" s="2286"/>
      <c r="Y335" s="2286"/>
      <c r="Z335" s="2286"/>
      <c r="AA335" s="2286"/>
      <c r="AB335" s="2286"/>
      <c r="AC335" s="2286"/>
      <c r="AD335" s="2286"/>
      <c r="AE335" s="896"/>
      <c r="AF335" s="896"/>
      <c r="AG335" s="2286"/>
      <c r="AH335" s="2286"/>
      <c r="AI335" s="2286"/>
      <c r="AJ335" s="2286"/>
      <c r="AK335" s="2286"/>
      <c r="AL335" s="2286"/>
      <c r="AM335" s="2286"/>
      <c r="AN335" s="2286"/>
      <c r="AO335" s="2286"/>
      <c r="AP335" s="2286"/>
      <c r="AQ335" s="2286"/>
      <c r="AR335" s="2286"/>
      <c r="AS335" s="2286"/>
      <c r="AT335" s="2286"/>
      <c r="AU335" s="2286"/>
      <c r="AV335" s="2286"/>
      <c r="AW335" s="2286"/>
      <c r="AX335" s="2286"/>
      <c r="AY335" s="2286"/>
      <c r="AZ335" s="2286"/>
      <c r="BA335" s="2286"/>
      <c r="BB335" s="2286"/>
      <c r="BC335" s="2286"/>
      <c r="BD335" s="2286"/>
      <c r="BE335" s="2286"/>
      <c r="BF335" s="2286"/>
      <c r="BG335" s="2286"/>
      <c r="BH335" s="2286"/>
      <c r="BI335" s="2286"/>
      <c r="BJ335" s="2286"/>
      <c r="BK335" s="2286"/>
      <c r="BL335" s="2286"/>
      <c r="BM335" s="2286"/>
      <c r="BN335" s="2286"/>
      <c r="BO335" s="2286"/>
      <c r="BP335" s="2286"/>
      <c r="BQ335" s="2286"/>
      <c r="BR335" s="2286"/>
      <c r="BS335" s="2286"/>
      <c r="BT335" s="2286"/>
      <c r="BU335" s="2286"/>
      <c r="BV335" s="2286"/>
      <c r="BW335" s="2286"/>
      <c r="BX335" s="2286"/>
      <c r="BY335" s="2286"/>
      <c r="BZ335" s="2286"/>
      <c r="CA335" s="2286"/>
      <c r="CB335" s="2286"/>
      <c r="CC335" s="2286"/>
      <c r="CD335" s="2286"/>
      <c r="CE335" s="2286"/>
      <c r="CF335" s="2286"/>
      <c r="CG335" s="2286"/>
      <c r="CH335" s="2286"/>
      <c r="CI335" s="2286"/>
      <c r="CJ335" s="2286"/>
      <c r="CK335" s="2286"/>
      <c r="CL335" s="2286"/>
      <c r="CM335" s="2286"/>
      <c r="CN335" s="2286"/>
      <c r="CO335" s="2286"/>
      <c r="CP335" s="2286"/>
      <c r="CQ335" s="2286"/>
      <c r="CR335" s="2286"/>
      <c r="CS335" s="2286"/>
      <c r="CT335" s="2286"/>
      <c r="CU335" s="2286"/>
      <c r="CV335" s="2286"/>
      <c r="CW335" s="2286"/>
      <c r="CX335" s="2286"/>
      <c r="CY335" s="2286"/>
      <c r="CZ335" s="2286"/>
      <c r="DA335" s="2286"/>
      <c r="DB335" s="2286"/>
      <c r="DC335" s="2286"/>
      <c r="DD335" s="2286"/>
      <c r="DE335" s="2286"/>
      <c r="DF335" s="2286"/>
      <c r="DG335" s="2286"/>
      <c r="DH335" s="2286"/>
      <c r="DI335" s="2286"/>
      <c r="DJ335" s="2286"/>
      <c r="DK335" s="2286"/>
      <c r="DL335" s="2286"/>
      <c r="DM335" s="2286"/>
      <c r="DN335" s="2286"/>
      <c r="DO335" s="2286"/>
      <c r="DP335" s="2286"/>
      <c r="DQ335" s="2286"/>
      <c r="DR335" s="2286"/>
      <c r="DS335" s="2286"/>
      <c r="DT335" s="2286"/>
      <c r="DU335" s="2286"/>
      <c r="DV335" s="2286"/>
      <c r="DW335" s="2286"/>
      <c r="DX335" s="2286"/>
      <c r="DY335" s="2286"/>
      <c r="DZ335" s="2286"/>
      <c r="EA335" s="2286"/>
      <c r="EB335" s="2286"/>
      <c r="EC335" s="2286"/>
      <c r="ED335" s="2286"/>
      <c r="EE335" s="2286"/>
      <c r="EF335" s="2286"/>
      <c r="EG335" s="2286"/>
      <c r="EH335" s="2286"/>
      <c r="EI335" s="2286"/>
      <c r="EJ335" s="2286"/>
      <c r="EK335" s="2286"/>
      <c r="EL335" s="2286"/>
      <c r="EM335" s="2286"/>
      <c r="EN335" s="2286"/>
      <c r="EO335" s="2286"/>
      <c r="EP335" s="2286"/>
      <c r="EQ335" s="2286"/>
      <c r="ER335" s="2286"/>
      <c r="ES335" s="2286"/>
      <c r="ET335" s="2286"/>
      <c r="EU335" s="2286"/>
      <c r="EV335" s="2286"/>
      <c r="EW335" s="2286"/>
      <c r="EX335" s="2286"/>
      <c r="EY335" s="2286"/>
      <c r="EZ335" s="2286"/>
      <c r="FA335" s="2286"/>
      <c r="FB335" s="2286"/>
      <c r="FC335" s="2286"/>
      <c r="FD335" s="2286"/>
      <c r="FE335" s="2286"/>
      <c r="FF335" s="2286"/>
      <c r="FG335" s="2286"/>
      <c r="FH335" s="2286"/>
      <c r="FI335" s="2286"/>
      <c r="FJ335" s="2286"/>
      <c r="FK335" s="2286"/>
      <c r="FL335" s="2286"/>
      <c r="FM335" s="2286"/>
      <c r="FN335" s="2286"/>
      <c r="FO335" s="2286"/>
      <c r="FP335" s="2286"/>
      <c r="FQ335" s="2286"/>
      <c r="FR335" s="2286"/>
      <c r="FS335" s="2286"/>
      <c r="FT335" s="2286"/>
      <c r="FU335" s="2286"/>
      <c r="FV335" s="2286"/>
      <c r="FW335" s="2286"/>
      <c r="FX335" s="2286"/>
      <c r="FY335" s="2286"/>
      <c r="FZ335" s="2286"/>
      <c r="GA335" s="2286"/>
      <c r="GB335" s="2286"/>
      <c r="GC335" s="2286"/>
      <c r="GD335" s="2286"/>
      <c r="GE335" s="2286"/>
      <c r="GF335" s="2286"/>
      <c r="GG335" s="2286"/>
      <c r="GH335" s="2286"/>
      <c r="GI335" s="2286"/>
      <c r="GJ335" s="2286"/>
      <c r="GK335" s="2286"/>
      <c r="GL335" s="2286"/>
      <c r="GM335" s="2286"/>
      <c r="GN335" s="2286"/>
      <c r="GO335" s="2286"/>
      <c r="GP335" s="2286"/>
      <c r="GQ335" s="2286"/>
      <c r="GR335" s="2286"/>
      <c r="GS335" s="2286"/>
      <c r="GT335" s="2286"/>
      <c r="GU335" s="2286"/>
      <c r="GV335" s="2286"/>
      <c r="GW335" s="2286"/>
      <c r="GX335" s="2286"/>
      <c r="GY335" s="2286"/>
      <c r="GZ335" s="2286"/>
      <c r="HA335" s="2286"/>
      <c r="HB335" s="2286"/>
      <c r="HC335" s="2286"/>
      <c r="HD335" s="2286"/>
      <c r="HE335" s="2286"/>
      <c r="HF335" s="2286"/>
      <c r="HG335" s="2286"/>
      <c r="HH335" s="2286"/>
      <c r="HI335" s="2286"/>
      <c r="HJ335" s="2286"/>
      <c r="HK335" s="2286"/>
      <c r="HL335" s="2286"/>
      <c r="HM335" s="2286"/>
      <c r="HN335" s="2286"/>
      <c r="HO335" s="2286"/>
      <c r="HP335" s="2286"/>
      <c r="HQ335" s="2286"/>
      <c r="HR335" s="2286"/>
      <c r="HS335" s="2286"/>
      <c r="HT335" s="2286"/>
      <c r="HU335" s="2286"/>
      <c r="HV335" s="2286"/>
      <c r="HW335" s="2286"/>
      <c r="HX335" s="2286"/>
      <c r="HY335" s="2286"/>
      <c r="HZ335" s="2286"/>
      <c r="IA335" s="2286"/>
      <c r="IB335" s="2286"/>
      <c r="IC335" s="2286"/>
      <c r="ID335" s="2286"/>
      <c r="IE335" s="2286"/>
      <c r="IF335" s="2286"/>
      <c r="IG335" s="2286"/>
      <c r="IH335" s="2286"/>
      <c r="II335" s="2286"/>
      <c r="IJ335" s="2286"/>
      <c r="IK335" s="2286"/>
      <c r="IL335" s="2286"/>
      <c r="IM335" s="2286"/>
      <c r="IN335" s="2286"/>
      <c r="IO335" s="2286"/>
      <c r="IP335" s="2286"/>
      <c r="IQ335" s="2286"/>
      <c r="IR335" s="2286"/>
      <c r="IS335" s="2286"/>
      <c r="IT335" s="2286"/>
      <c r="IU335" s="2286"/>
      <c r="IV335" s="2286"/>
    </row>
    <row r="336" spans="1:256 1523:1523" ht="11.25" customHeight="1">
      <c r="B336" s="140" t="s">
        <v>3750</v>
      </c>
      <c r="D336" s="140"/>
      <c r="E336" s="140"/>
      <c r="F336" s="140"/>
      <c r="G336" s="140"/>
      <c r="H336" s="39"/>
      <c r="I336" s="2300"/>
      <c r="J336" s="2300"/>
      <c r="K336" s="2300"/>
      <c r="L336" s="2286"/>
      <c r="M336" s="2286"/>
      <c r="N336" s="2286"/>
      <c r="O336" s="2286"/>
      <c r="P336" s="2286"/>
      <c r="Q336" s="896"/>
    </row>
    <row r="337" spans="1:31" ht="25.15" customHeight="1">
      <c r="A337" s="3885" t="s">
        <v>5190</v>
      </c>
      <c r="B337" s="3886"/>
      <c r="C337" s="3886"/>
      <c r="D337" s="3886"/>
      <c r="E337" s="3886"/>
      <c r="F337" s="3886"/>
      <c r="G337" s="3886"/>
      <c r="H337" s="3886"/>
      <c r="I337" s="3886"/>
      <c r="J337" s="3886"/>
      <c r="K337" s="3886"/>
      <c r="L337" s="3886"/>
      <c r="M337" s="3886"/>
      <c r="N337" s="3886"/>
      <c r="O337" s="3886"/>
      <c r="P337" s="3886"/>
      <c r="Q337" s="3887"/>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7"/>
      <c r="E338" s="2297"/>
      <c r="F338" s="2297"/>
      <c r="G338" s="2297"/>
      <c r="H338" s="2297"/>
      <c r="I338" s="2297"/>
      <c r="J338" s="2297"/>
      <c r="K338" s="2297"/>
      <c r="L338" s="2297"/>
      <c r="M338" s="2297"/>
      <c r="N338" s="2297"/>
      <c r="O338" s="2297"/>
      <c r="P338" s="2297"/>
      <c r="Q338" s="2297"/>
    </row>
    <row r="339" spans="1:31" ht="11.65" customHeight="1">
      <c r="A339" s="2621"/>
      <c r="B339" s="2622"/>
      <c r="C339" s="2622"/>
      <c r="D339" s="2622"/>
      <c r="E339" s="2622"/>
      <c r="F339" s="2622"/>
      <c r="G339" s="2622"/>
      <c r="H339" s="2622"/>
      <c r="I339" s="2622"/>
      <c r="J339" s="2622"/>
      <c r="K339" s="2622"/>
      <c r="L339" s="2622"/>
      <c r="M339" s="2622"/>
      <c r="N339" s="2622"/>
      <c r="O339" s="2622"/>
      <c r="P339" s="2622"/>
      <c r="Q339" s="2623"/>
    </row>
    <row r="340" spans="1:31" ht="13.9" customHeight="1">
      <c r="A340" s="2283" t="s">
        <v>4099</v>
      </c>
      <c r="B340" s="2283" t="s">
        <v>4137</v>
      </c>
      <c r="C340" s="2283"/>
      <c r="D340" s="2297"/>
      <c r="E340" s="2297"/>
      <c r="F340" s="2297"/>
      <c r="G340" s="2297"/>
      <c r="H340" s="2297"/>
      <c r="O340" s="131" t="s">
        <v>1868</v>
      </c>
      <c r="P340" s="2624"/>
      <c r="Q340" s="2625"/>
    </row>
    <row r="341" spans="1:31" ht="11.65" customHeight="1">
      <c r="A341" s="46" t="s">
        <v>1984</v>
      </c>
      <c r="B341" s="54" t="s">
        <v>4992</v>
      </c>
      <c r="O341" s="160" t="s">
        <v>1984</v>
      </c>
      <c r="P341" s="3891" t="s">
        <v>2990</v>
      </c>
      <c r="Q341" s="534"/>
    </row>
    <row r="342" spans="1:31" ht="11.65" customHeight="1">
      <c r="A342" s="141" t="s">
        <v>1986</v>
      </c>
      <c r="B342" s="54" t="s">
        <v>4085</v>
      </c>
      <c r="O342" s="160" t="s">
        <v>1986</v>
      </c>
      <c r="P342" s="3892" t="s">
        <v>2990</v>
      </c>
      <c r="Q342" s="535"/>
    </row>
    <row r="343" spans="1:31" ht="11.65" customHeight="1">
      <c r="A343" s="141" t="s">
        <v>749</v>
      </c>
      <c r="B343" s="144" t="s">
        <v>2351</v>
      </c>
      <c r="O343" s="160" t="s">
        <v>749</v>
      </c>
      <c r="P343" s="3892" t="s">
        <v>2993</v>
      </c>
      <c r="Q343" s="535"/>
    </row>
    <row r="344" spans="1:31" ht="11.65" customHeight="1">
      <c r="A344" s="46" t="s">
        <v>2116</v>
      </c>
      <c r="B344" s="54" t="s">
        <v>3838</v>
      </c>
      <c r="O344" s="463" t="s">
        <v>2116</v>
      </c>
      <c r="P344" s="3893" t="s">
        <v>2993</v>
      </c>
      <c r="Q344" s="536"/>
    </row>
    <row r="345" spans="1:31" ht="11.65" customHeight="1">
      <c r="A345" s="141" t="s">
        <v>1735</v>
      </c>
      <c r="B345" s="54" t="s">
        <v>2884</v>
      </c>
      <c r="N345" s="160" t="s">
        <v>1735</v>
      </c>
      <c r="O345" s="3979" t="s">
        <v>3832</v>
      </c>
      <c r="P345" s="3980"/>
      <c r="Q345" s="3981"/>
    </row>
    <row r="346" spans="1:31" ht="11.65" customHeight="1">
      <c r="A346" s="141" t="s">
        <v>1736</v>
      </c>
      <c r="B346" s="410" t="s">
        <v>2352</v>
      </c>
      <c r="N346" s="160" t="s">
        <v>1736</v>
      </c>
      <c r="O346" s="2644" t="s">
        <v>2885</v>
      </c>
      <c r="P346" s="2645"/>
      <c r="Q346" s="2646"/>
    </row>
    <row r="347" spans="1:31" ht="11.25" customHeight="1">
      <c r="B347" s="140" t="s">
        <v>3750</v>
      </c>
      <c r="D347" s="140"/>
      <c r="E347" s="140"/>
      <c r="F347" s="140"/>
      <c r="G347" s="140"/>
      <c r="H347" s="39"/>
      <c r="I347" s="2300"/>
      <c r="J347" s="2300"/>
      <c r="K347" s="2300"/>
      <c r="L347" s="2286"/>
      <c r="M347" s="2286"/>
      <c r="N347" s="2286"/>
      <c r="O347" s="2286"/>
      <c r="P347" s="2286"/>
      <c r="Q347" s="896"/>
    </row>
    <row r="348" spans="1:31" ht="36" customHeight="1">
      <c r="A348" s="3885" t="s">
        <v>5313</v>
      </c>
      <c r="B348" s="3886"/>
      <c r="C348" s="3886"/>
      <c r="D348" s="3886"/>
      <c r="E348" s="3886"/>
      <c r="F348" s="3886"/>
      <c r="G348" s="3886"/>
      <c r="H348" s="3886"/>
      <c r="I348" s="3886"/>
      <c r="J348" s="3886"/>
      <c r="K348" s="3886"/>
      <c r="L348" s="3886"/>
      <c r="M348" s="3886"/>
      <c r="N348" s="3886"/>
      <c r="O348" s="3886"/>
      <c r="P348" s="3886"/>
      <c r="Q348" s="3887"/>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7"/>
      <c r="E349" s="2297"/>
      <c r="F349" s="2297"/>
      <c r="G349" s="2297"/>
      <c r="H349" s="2297"/>
      <c r="I349" s="2297"/>
      <c r="J349" s="2297"/>
      <c r="K349" s="2297"/>
      <c r="L349" s="2297"/>
      <c r="M349" s="2297"/>
      <c r="N349" s="2297"/>
      <c r="O349" s="2297"/>
      <c r="P349" s="2297"/>
      <c r="Q349" s="2297"/>
    </row>
    <row r="350" spans="1:31" ht="13.15" customHeight="1">
      <c r="A350" s="2621"/>
      <c r="B350" s="2622"/>
      <c r="C350" s="2622"/>
      <c r="D350" s="2622"/>
      <c r="E350" s="2622"/>
      <c r="F350" s="2622"/>
      <c r="G350" s="2622"/>
      <c r="H350" s="2622"/>
      <c r="I350" s="2622"/>
      <c r="J350" s="2622"/>
      <c r="K350" s="2622"/>
      <c r="L350" s="2622"/>
      <c r="M350" s="2622"/>
      <c r="N350" s="2622"/>
      <c r="O350" s="2622"/>
      <c r="P350" s="2622"/>
      <c r="Q350" s="2623"/>
    </row>
    <row r="351" spans="1:31" ht="13.9" customHeight="1">
      <c r="A351" s="2283" t="s">
        <v>4100</v>
      </c>
      <c r="B351" s="3" t="s">
        <v>2668</v>
      </c>
      <c r="C351" s="3"/>
      <c r="D351" s="86"/>
      <c r="E351" s="2297"/>
      <c r="F351" s="2297"/>
      <c r="G351" s="2297"/>
      <c r="H351" s="2297"/>
      <c r="I351" s="2297"/>
      <c r="J351" s="2297"/>
      <c r="K351" s="2297"/>
      <c r="L351" s="2297"/>
      <c r="M351" s="2297"/>
      <c r="O351" s="131" t="s">
        <v>1868</v>
      </c>
      <c r="P351" s="2624"/>
      <c r="Q351" s="2625"/>
    </row>
    <row r="352" spans="1:31" ht="12.75" customHeight="1">
      <c r="A352" s="141" t="s">
        <v>1984</v>
      </c>
      <c r="B352" s="139" t="s">
        <v>3654</v>
      </c>
      <c r="D352" s="139"/>
      <c r="E352" s="139"/>
      <c r="F352" s="139"/>
      <c r="G352" s="139"/>
      <c r="H352" s="139"/>
      <c r="I352" s="139"/>
      <c r="J352" s="139"/>
      <c r="K352" s="139"/>
      <c r="L352" s="139"/>
      <c r="M352" s="139"/>
      <c r="N352" s="139"/>
      <c r="O352" s="160" t="s">
        <v>1984</v>
      </c>
      <c r="P352" s="3891" t="s">
        <v>2990</v>
      </c>
      <c r="Q352" s="534"/>
    </row>
    <row r="353" spans="1:32" ht="12.75" customHeight="1">
      <c r="A353" s="141" t="s">
        <v>1986</v>
      </c>
      <c r="B353" s="139" t="s">
        <v>3847</v>
      </c>
      <c r="D353" s="139"/>
      <c r="E353" s="139"/>
      <c r="F353" s="139"/>
      <c r="G353" s="139"/>
      <c r="H353" s="139"/>
      <c r="I353" s="139"/>
      <c r="J353" s="139"/>
      <c r="K353" s="139"/>
      <c r="L353" s="139"/>
      <c r="M353" s="139"/>
      <c r="N353" s="139"/>
      <c r="O353" s="160" t="s">
        <v>1986</v>
      </c>
      <c r="P353" s="3892" t="s">
        <v>2993</v>
      </c>
      <c r="Q353" s="535"/>
    </row>
    <row r="354" spans="1:32" ht="22.5" customHeight="1">
      <c r="A354" s="141" t="s">
        <v>749</v>
      </c>
      <c r="B354" s="2620" t="s">
        <v>4086</v>
      </c>
      <c r="C354" s="2620"/>
      <c r="D354" s="2620"/>
      <c r="E354" s="2620"/>
      <c r="F354" s="2620"/>
      <c r="G354" s="2620"/>
      <c r="H354" s="2620"/>
      <c r="I354" s="2620"/>
      <c r="J354" s="2620"/>
      <c r="K354" s="2620"/>
      <c r="L354" s="2620"/>
      <c r="M354" s="2620"/>
      <c r="N354" s="2620"/>
      <c r="O354" s="160" t="s">
        <v>749</v>
      </c>
      <c r="P354" s="3893" t="s">
        <v>2990</v>
      </c>
      <c r="Q354" s="536"/>
    </row>
    <row r="355" spans="1:32" ht="11.25" customHeight="1">
      <c r="B355" s="140" t="s">
        <v>3750</v>
      </c>
      <c r="D355" s="140"/>
      <c r="E355" s="140"/>
      <c r="F355" s="140"/>
      <c r="G355" s="140"/>
      <c r="H355" s="39"/>
      <c r="I355" s="2300"/>
      <c r="J355" s="2300"/>
      <c r="K355" s="2300"/>
      <c r="L355" s="2286"/>
      <c r="M355" s="2286"/>
      <c r="N355" s="2286"/>
      <c r="O355" s="2286"/>
      <c r="P355" s="2286"/>
      <c r="Q355" s="896"/>
    </row>
    <row r="356" spans="1:32" ht="24" customHeight="1">
      <c r="A356" s="3885" t="s">
        <v>5289</v>
      </c>
      <c r="B356" s="3886"/>
      <c r="C356" s="3886"/>
      <c r="D356" s="3886"/>
      <c r="E356" s="3886"/>
      <c r="F356" s="3886"/>
      <c r="G356" s="3886"/>
      <c r="H356" s="3886"/>
      <c r="I356" s="3886"/>
      <c r="J356" s="3886"/>
      <c r="K356" s="3886"/>
      <c r="L356" s="3886"/>
      <c r="M356" s="3886"/>
      <c r="N356" s="3886"/>
      <c r="O356" s="3886"/>
      <c r="P356" s="3886"/>
      <c r="Q356" s="3887"/>
      <c r="U356" s="135"/>
      <c r="V356" s="135"/>
      <c r="W356" s="135"/>
      <c r="X356" s="135"/>
      <c r="Y356" s="135"/>
      <c r="Z356" s="135"/>
      <c r="AA356" s="135"/>
      <c r="AB356" s="135"/>
      <c r="AC356" s="135"/>
      <c r="AD356" s="135"/>
      <c r="AE356" s="465"/>
    </row>
    <row r="357" spans="1:32" ht="11.25" customHeight="1">
      <c r="B357" s="136" t="s">
        <v>1867</v>
      </c>
      <c r="C357" s="137"/>
      <c r="D357" s="2297"/>
      <c r="E357" s="2297"/>
      <c r="F357" s="2297"/>
      <c r="G357" s="2297"/>
      <c r="H357" s="2297"/>
      <c r="I357" s="2297"/>
      <c r="J357" s="2297"/>
      <c r="K357" s="2297"/>
      <c r="L357" s="2297"/>
      <c r="M357" s="2297"/>
      <c r="N357" s="2297"/>
      <c r="O357" s="2297"/>
      <c r="P357" s="2297"/>
      <c r="Q357" s="2297"/>
    </row>
    <row r="358" spans="1:32" ht="11.65" customHeight="1">
      <c r="A358" s="2621"/>
      <c r="B358" s="2622"/>
      <c r="C358" s="2622"/>
      <c r="D358" s="2622"/>
      <c r="E358" s="2622"/>
      <c r="F358" s="2622"/>
      <c r="G358" s="2622"/>
      <c r="H358" s="2622"/>
      <c r="I358" s="2622"/>
      <c r="J358" s="2622"/>
      <c r="K358" s="2622"/>
      <c r="L358" s="2622"/>
      <c r="M358" s="2622"/>
      <c r="N358" s="2622"/>
      <c r="O358" s="2622"/>
      <c r="P358" s="2622"/>
      <c r="Q358" s="2623"/>
    </row>
    <row r="359" spans="1:32" ht="2.25" customHeight="1">
      <c r="A359" s="2286"/>
      <c r="B359" s="2300"/>
      <c r="C359" s="2297"/>
      <c r="D359" s="2297"/>
      <c r="E359" s="2297"/>
      <c r="F359" s="2297"/>
      <c r="G359" s="2297"/>
      <c r="H359" s="2297"/>
      <c r="I359" s="2297"/>
      <c r="J359" s="2297"/>
      <c r="K359" s="2297"/>
      <c r="L359" s="2297"/>
      <c r="M359" s="2297"/>
      <c r="N359" s="2297"/>
      <c r="O359" s="2297"/>
      <c r="P359" s="2297"/>
      <c r="Q359" s="896"/>
      <c r="R359" s="7"/>
      <c r="S359" s="7"/>
    </row>
    <row r="360" spans="1:32" ht="13.9" customHeight="1">
      <c r="A360" s="2283" t="s">
        <v>4103</v>
      </c>
      <c r="B360" s="3" t="s">
        <v>4076</v>
      </c>
      <c r="C360" s="3"/>
      <c r="D360" s="3"/>
      <c r="E360" s="3"/>
      <c r="F360" s="3"/>
      <c r="G360" s="3"/>
      <c r="H360" s="2297"/>
      <c r="I360" s="2297"/>
      <c r="J360" s="2297"/>
      <c r="K360" s="2297"/>
      <c r="L360" s="2297"/>
      <c r="M360" s="2297"/>
      <c r="O360" s="131" t="s">
        <v>1868</v>
      </c>
      <c r="P360" s="2752"/>
      <c r="Q360" s="2625"/>
    </row>
    <row r="361" spans="1:32" ht="10.5" customHeight="1">
      <c r="A361" s="46" t="s">
        <v>1984</v>
      </c>
      <c r="B361" s="134" t="s">
        <v>4077</v>
      </c>
      <c r="D361" s="149"/>
      <c r="E361" s="149"/>
      <c r="F361" s="149"/>
      <c r="G361" s="149"/>
      <c r="H361" s="463" t="s">
        <v>1984</v>
      </c>
      <c r="I361" s="3894"/>
      <c r="J361" s="3895"/>
      <c r="K361" s="3895"/>
      <c r="L361" s="3895"/>
      <c r="M361" s="3895"/>
      <c r="N361" s="3895"/>
      <c r="O361" s="3895"/>
      <c r="P361" s="3896"/>
      <c r="Q361" s="532"/>
    </row>
    <row r="362" spans="1:32" ht="10.5" customHeight="1">
      <c r="A362" s="141" t="s">
        <v>1986</v>
      </c>
      <c r="B362" s="134" t="s">
        <v>4078</v>
      </c>
      <c r="D362" s="149"/>
      <c r="E362" s="149"/>
      <c r="F362" s="149"/>
      <c r="G362" s="149"/>
      <c r="H362" s="160" t="s">
        <v>1986</v>
      </c>
      <c r="I362" s="3894"/>
      <c r="J362" s="3895"/>
      <c r="K362" s="3895"/>
      <c r="L362" s="3895"/>
      <c r="M362" s="3895"/>
      <c r="N362" s="3895"/>
      <c r="O362" s="3895"/>
      <c r="P362" s="3896"/>
      <c r="Q362" s="532"/>
    </row>
    <row r="363" spans="1:32" ht="21.75" customHeight="1">
      <c r="A363" s="141" t="s">
        <v>749</v>
      </c>
      <c r="B363" s="2657" t="s">
        <v>4068</v>
      </c>
      <c r="C363" s="2657"/>
      <c r="D363" s="2657"/>
      <c r="E363" s="2657"/>
      <c r="F363" s="2657"/>
      <c r="G363" s="2657"/>
      <c r="H363" s="2657"/>
      <c r="I363" s="2657"/>
      <c r="J363" s="2657"/>
      <c r="K363" s="2657"/>
      <c r="L363" s="2657"/>
      <c r="M363" s="2657"/>
      <c r="N363" s="2657"/>
      <c r="O363" s="160" t="s">
        <v>749</v>
      </c>
      <c r="P363" s="3982"/>
      <c r="Q363" s="1149"/>
    </row>
    <row r="364" spans="1:32" ht="21.75" customHeight="1">
      <c r="A364" s="141" t="s">
        <v>2116</v>
      </c>
      <c r="B364" s="2620" t="s">
        <v>4069</v>
      </c>
      <c r="C364" s="2620"/>
      <c r="D364" s="2620"/>
      <c r="E364" s="2620"/>
      <c r="F364" s="2620"/>
      <c r="G364" s="2620"/>
      <c r="H364" s="2620"/>
      <c r="I364" s="2620"/>
      <c r="J364" s="2620"/>
      <c r="K364" s="2620"/>
      <c r="L364" s="2620"/>
      <c r="M364" s="2620"/>
      <c r="N364" s="2620"/>
      <c r="O364" s="463" t="s">
        <v>2116</v>
      </c>
      <c r="P364" s="3915"/>
      <c r="Q364" s="2292"/>
    </row>
    <row r="365" spans="1:32" ht="10.5" customHeight="1">
      <c r="A365" s="141" t="s">
        <v>1735</v>
      </c>
      <c r="B365" s="51" t="s">
        <v>4070</v>
      </c>
      <c r="D365" s="51"/>
      <c r="E365" s="51"/>
      <c r="F365" s="51"/>
      <c r="G365" s="51"/>
      <c r="H365" s="51"/>
      <c r="I365" s="51"/>
      <c r="J365" s="51"/>
      <c r="K365" s="51"/>
      <c r="L365" s="51"/>
      <c r="M365" s="51"/>
      <c r="O365" s="160" t="s">
        <v>1735</v>
      </c>
      <c r="P365" s="3892"/>
      <c r="Q365" s="535"/>
    </row>
    <row r="366" spans="1:32" s="132" customFormat="1" ht="21.75" customHeight="1">
      <c r="A366" s="141" t="s">
        <v>1736</v>
      </c>
      <c r="B366" s="2620" t="s">
        <v>4071</v>
      </c>
      <c r="C366" s="2620"/>
      <c r="D366" s="2620"/>
      <c r="E366" s="2620"/>
      <c r="F366" s="2620"/>
      <c r="G366" s="2620"/>
      <c r="H366" s="2620"/>
      <c r="I366" s="2620"/>
      <c r="J366" s="2620"/>
      <c r="K366" s="2620"/>
      <c r="L366" s="2620"/>
      <c r="M366" s="2620"/>
      <c r="N366" s="2620"/>
      <c r="O366" s="160" t="s">
        <v>1736</v>
      </c>
      <c r="P366" s="3983"/>
      <c r="Q366" s="880"/>
      <c r="AE366" s="466"/>
      <c r="AF366" s="466"/>
    </row>
    <row r="367" spans="1:32" s="132" customFormat="1" ht="10.5" customHeight="1">
      <c r="A367" s="141" t="s">
        <v>1948</v>
      </c>
      <c r="B367" s="139" t="s">
        <v>4072</v>
      </c>
      <c r="D367" s="898"/>
      <c r="E367" s="898"/>
      <c r="F367" s="898"/>
      <c r="G367" s="898"/>
      <c r="H367" s="898"/>
      <c r="I367" s="898"/>
      <c r="J367" s="898"/>
      <c r="K367" s="898"/>
      <c r="L367" s="898"/>
      <c r="M367" s="898"/>
      <c r="N367" s="898"/>
      <c r="O367" s="160" t="s">
        <v>1948</v>
      </c>
      <c r="P367" s="3925"/>
      <c r="Q367" s="1149"/>
      <c r="AE367" s="466"/>
      <c r="AF367" s="466"/>
    </row>
    <row r="368" spans="1:32" s="132" customFormat="1" ht="10.5" customHeight="1">
      <c r="C368" s="879" t="s">
        <v>4991</v>
      </c>
      <c r="E368" s="2297"/>
      <c r="F368" s="2297"/>
      <c r="G368" s="2297"/>
      <c r="H368" s="2297"/>
      <c r="I368" s="2297"/>
      <c r="J368" s="2297"/>
      <c r="K368" s="2297"/>
      <c r="L368" s="2297"/>
      <c r="M368" s="2297"/>
      <c r="N368" s="2297"/>
      <c r="P368" s="3926"/>
      <c r="Q368" s="2296"/>
      <c r="AE368" s="466"/>
      <c r="AF368" s="466"/>
    </row>
    <row r="369" spans="1:32" ht="21.75" customHeight="1">
      <c r="A369" s="141" t="s">
        <v>3370</v>
      </c>
      <c r="B369" s="2620" t="s">
        <v>4073</v>
      </c>
      <c r="C369" s="2620"/>
      <c r="D369" s="2620"/>
      <c r="E369" s="2620"/>
      <c r="F369" s="2620"/>
      <c r="G369" s="2620"/>
      <c r="H369" s="2620"/>
      <c r="I369" s="2620"/>
      <c r="J369" s="2620"/>
      <c r="K369" s="2620"/>
      <c r="L369" s="2620"/>
      <c r="M369" s="2620"/>
      <c r="N369" s="2620"/>
      <c r="O369" s="160" t="s">
        <v>3370</v>
      </c>
      <c r="P369" s="3925"/>
      <c r="Q369" s="1149"/>
    </row>
    <row r="370" spans="1:32" ht="33" customHeight="1">
      <c r="A370" s="141" t="s">
        <v>616</v>
      </c>
      <c r="B370" s="2620" t="s">
        <v>4074</v>
      </c>
      <c r="C370" s="2620"/>
      <c r="D370" s="2620"/>
      <c r="E370" s="2620"/>
      <c r="F370" s="2620"/>
      <c r="G370" s="2620"/>
      <c r="H370" s="2620"/>
      <c r="I370" s="2620"/>
      <c r="J370" s="2620"/>
      <c r="K370" s="2620"/>
      <c r="L370" s="2620"/>
      <c r="M370" s="2620"/>
      <c r="N370" s="2620"/>
      <c r="O370" s="160" t="s">
        <v>616</v>
      </c>
      <c r="P370" s="3926"/>
      <c r="Q370" s="2296"/>
    </row>
    <row r="371" spans="1:32" ht="10.5" customHeight="1">
      <c r="B371" s="140" t="s">
        <v>3750</v>
      </c>
      <c r="D371" s="140"/>
      <c r="E371" s="140"/>
      <c r="F371" s="140"/>
      <c r="G371" s="140"/>
      <c r="H371" s="39"/>
      <c r="I371" s="2300"/>
      <c r="J371" s="2300"/>
      <c r="K371" s="2300"/>
      <c r="L371" s="2286"/>
      <c r="M371" s="2286"/>
      <c r="N371" s="2286"/>
      <c r="O371" s="2286"/>
      <c r="P371" s="2286"/>
      <c r="Q371" s="896"/>
    </row>
    <row r="372" spans="1:32" ht="31.5" customHeight="1">
      <c r="A372" s="3885" t="s">
        <v>5249</v>
      </c>
      <c r="B372" s="3886"/>
      <c r="C372" s="3886"/>
      <c r="D372" s="3886"/>
      <c r="E372" s="3886"/>
      <c r="F372" s="3886"/>
      <c r="G372" s="3886"/>
      <c r="H372" s="3886"/>
      <c r="I372" s="3886"/>
      <c r="J372" s="3886"/>
      <c r="K372" s="3886"/>
      <c r="L372" s="3886"/>
      <c r="M372" s="3886"/>
      <c r="N372" s="3886"/>
      <c r="O372" s="3886"/>
      <c r="P372" s="3886"/>
      <c r="Q372" s="3887"/>
      <c r="U372" s="135"/>
      <c r="V372" s="135"/>
      <c r="W372" s="135"/>
      <c r="X372" s="135"/>
      <c r="Y372" s="135"/>
      <c r="Z372" s="135"/>
      <c r="AA372" s="135"/>
      <c r="AB372" s="135"/>
      <c r="AC372" s="135"/>
      <c r="AD372" s="135"/>
      <c r="AE372" s="465"/>
    </row>
    <row r="373" spans="1:32" ht="10.5" customHeight="1">
      <c r="B373" s="136" t="s">
        <v>1867</v>
      </c>
      <c r="C373" s="137"/>
      <c r="D373" s="2297"/>
      <c r="E373" s="2297"/>
      <c r="F373" s="2297"/>
      <c r="G373" s="2297"/>
      <c r="H373" s="2297"/>
      <c r="I373" s="2297"/>
      <c r="J373" s="2297"/>
      <c r="K373" s="2297"/>
      <c r="L373" s="2297"/>
      <c r="M373" s="2297"/>
      <c r="N373" s="2297"/>
      <c r="O373" s="2297"/>
      <c r="P373" s="2297"/>
      <c r="Q373" s="2297"/>
    </row>
    <row r="374" spans="1:32" ht="23.25" customHeight="1">
      <c r="A374" s="2621"/>
      <c r="B374" s="2622"/>
      <c r="C374" s="2622"/>
      <c r="D374" s="2622"/>
      <c r="E374" s="2622"/>
      <c r="F374" s="2622"/>
      <c r="G374" s="2622"/>
      <c r="H374" s="2622"/>
      <c r="I374" s="2622"/>
      <c r="J374" s="2622"/>
      <c r="K374" s="2622"/>
      <c r="L374" s="2622"/>
      <c r="M374" s="2622"/>
      <c r="N374" s="2622"/>
      <c r="O374" s="2622"/>
      <c r="P374" s="2622"/>
      <c r="Q374" s="2623"/>
    </row>
    <row r="375" spans="1:32" ht="3" customHeight="1">
      <c r="A375" s="2286"/>
      <c r="B375" s="2300"/>
      <c r="C375" s="2297"/>
      <c r="D375" s="2297"/>
      <c r="E375" s="2297"/>
      <c r="F375" s="2297"/>
      <c r="G375" s="2297"/>
      <c r="H375" s="2297"/>
      <c r="I375" s="2297"/>
      <c r="J375" s="2297"/>
      <c r="K375" s="2297"/>
      <c r="L375" s="2297"/>
      <c r="M375" s="2297"/>
      <c r="Q375" s="896"/>
    </row>
    <row r="376" spans="1:32" ht="13.9" customHeight="1">
      <c r="A376" s="2283" t="s">
        <v>4104</v>
      </c>
      <c r="B376" s="3" t="s">
        <v>3910</v>
      </c>
      <c r="C376" s="3"/>
      <c r="D376" s="3"/>
      <c r="E376" s="3"/>
      <c r="F376" s="3"/>
      <c r="G376" s="3"/>
      <c r="H376" s="2297"/>
      <c r="I376" s="2297"/>
      <c r="J376" s="2297"/>
      <c r="O376" s="131" t="s">
        <v>1868</v>
      </c>
      <c r="P376" s="2624"/>
      <c r="Q376" s="2625"/>
    </row>
    <row r="377" spans="1:32" s="41" customFormat="1" ht="10.5" customHeight="1">
      <c r="A377" s="46" t="s">
        <v>1984</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755" t="s">
        <v>4917</v>
      </c>
      <c r="D378" s="2755"/>
      <c r="E378" s="2755"/>
      <c r="F378" s="2755"/>
      <c r="G378" s="49"/>
      <c r="H378" s="35" t="s">
        <v>617</v>
      </c>
      <c r="J378" s="3984"/>
      <c r="K378" s="3985"/>
      <c r="L378" s="3985"/>
      <c r="M378" s="3986"/>
      <c r="N378" s="2629" t="s">
        <v>3911</v>
      </c>
      <c r="O378" s="2630"/>
      <c r="P378" s="3987"/>
      <c r="Q378" s="3988"/>
      <c r="AE378" s="49"/>
      <c r="AF378" s="49"/>
    </row>
    <row r="379" spans="1:32" s="41" customFormat="1" ht="11.25" customHeight="1">
      <c r="A379" s="46"/>
      <c r="B379" s="39"/>
      <c r="C379" s="2294"/>
      <c r="D379" s="2294"/>
      <c r="E379" s="2294"/>
      <c r="F379" s="2294"/>
      <c r="G379" s="2294"/>
      <c r="H379" s="39" t="s">
        <v>4910</v>
      </c>
      <c r="I379" s="2294"/>
      <c r="J379" s="3894"/>
      <c r="K379" s="3895"/>
      <c r="L379" s="3895"/>
      <c r="M379" s="3895"/>
      <c r="N379" s="3895"/>
      <c r="O379" s="3895"/>
      <c r="P379" s="3895"/>
      <c r="Q379" s="3896"/>
      <c r="AE379" s="49"/>
      <c r="AF379" s="49"/>
    </row>
    <row r="380" spans="1:32" s="41" customFormat="1" ht="11.25" customHeight="1">
      <c r="B380" s="39" t="s">
        <v>1738</v>
      </c>
      <c r="C380" s="51" t="s">
        <v>3913</v>
      </c>
      <c r="J380" s="3989"/>
      <c r="K380" s="3990"/>
      <c r="O380" s="463"/>
      <c r="AE380" s="49"/>
      <c r="AF380" s="49"/>
    </row>
    <row r="381" spans="1:32" s="41" customFormat="1" ht="11.25" customHeight="1">
      <c r="A381" s="46"/>
      <c r="B381" s="39" t="s">
        <v>1739</v>
      </c>
      <c r="C381" s="51" t="s">
        <v>3914</v>
      </c>
      <c r="D381" s="45"/>
      <c r="E381" s="133"/>
      <c r="I381" s="133"/>
      <c r="J381" s="2635" t="str">
        <f>'Part I-Project Information'!K40</f>
        <v>Rural</v>
      </c>
      <c r="K381" s="2636"/>
      <c r="L381" s="2303" t="s">
        <v>3915</v>
      </c>
      <c r="M381" s="133"/>
      <c r="N381" s="133"/>
      <c r="O381" s="463" t="s">
        <v>1739</v>
      </c>
      <c r="P381" s="3897"/>
      <c r="Q381" s="533"/>
      <c r="AE381" s="49"/>
      <c r="AF381" s="49"/>
    </row>
    <row r="382" spans="1:32" s="41" customFormat="1" ht="11.25" customHeight="1">
      <c r="A382" s="46"/>
      <c r="B382" s="39" t="s">
        <v>2366</v>
      </c>
      <c r="C382" s="51" t="s">
        <v>4906</v>
      </c>
      <c r="E382" s="133"/>
      <c r="F382" s="133"/>
      <c r="G382" s="133"/>
      <c r="H382" s="51" t="s">
        <v>4907</v>
      </c>
      <c r="I382" s="133"/>
      <c r="J382" s="3991"/>
      <c r="K382" s="3992"/>
      <c r="L382" s="2639"/>
      <c r="M382" s="2640"/>
      <c r="O382" s="463"/>
      <c r="AE382" s="49"/>
      <c r="AF382" s="49"/>
    </row>
    <row r="383" spans="1:32" s="41" customFormat="1" ht="11.25" customHeight="1">
      <c r="A383" s="46"/>
      <c r="B383" s="39"/>
      <c r="C383" s="51"/>
      <c r="E383" s="133"/>
      <c r="F383" s="133"/>
      <c r="G383" s="133"/>
      <c r="H383" s="51" t="s">
        <v>4908</v>
      </c>
      <c r="I383" s="133"/>
      <c r="J383" s="3929"/>
      <c r="K383" s="3931"/>
      <c r="L383" s="2633"/>
      <c r="M383" s="2634"/>
      <c r="N383" s="51"/>
      <c r="O383" s="463"/>
      <c r="AE383" s="49"/>
      <c r="AF383" s="49"/>
    </row>
    <row r="384" spans="1:32" s="41" customFormat="1" ht="11.25" customHeight="1">
      <c r="A384" s="46"/>
      <c r="B384" s="39" t="s">
        <v>1549</v>
      </c>
      <c r="C384" s="51" t="s">
        <v>3917</v>
      </c>
      <c r="E384" s="51"/>
      <c r="F384" s="2631">
        <f>'Part IV-A-Uses of Funds'!J173</f>
        <v>883000</v>
      </c>
      <c r="G384" s="2632"/>
      <c r="H384" s="51" t="s">
        <v>3918</v>
      </c>
      <c r="I384" s="51"/>
      <c r="J384" s="2128" t="str">
        <f>IF(F384&gt;'DCA Underwriting Assumptions'!$Q$131, "Request exceeds DCA per project maximum for set aside!!!","")</f>
        <v>Request exceeds DCA per project maximum for set aside!!!</v>
      </c>
      <c r="K384" s="897"/>
      <c r="L384" s="51"/>
      <c r="O384" s="463" t="s">
        <v>1549</v>
      </c>
      <c r="P384" s="3897"/>
      <c r="Q384" s="533"/>
      <c r="AE384" s="49"/>
      <c r="AF384" s="49"/>
    </row>
    <row r="385" spans="1:32" s="41" customFormat="1" ht="11.25" customHeight="1">
      <c r="A385" s="46"/>
      <c r="B385" s="39" t="s">
        <v>1550</v>
      </c>
      <c r="C385" s="51" t="s">
        <v>3920</v>
      </c>
      <c r="E385" s="51"/>
      <c r="F385" s="51"/>
      <c r="G385" s="51"/>
      <c r="H385" s="51" t="s">
        <v>4909</v>
      </c>
      <c r="I385" s="51"/>
      <c r="J385" s="3993"/>
      <c r="K385" s="3994"/>
      <c r="L385" s="2637"/>
      <c r="M385" s="2638"/>
      <c r="AE385" s="49"/>
      <c r="AF385" s="49"/>
    </row>
    <row r="386" spans="1:32" s="41" customFormat="1" ht="11.25" customHeight="1">
      <c r="B386" s="39" t="s">
        <v>98</v>
      </c>
      <c r="C386" s="51" t="s">
        <v>3922</v>
      </c>
      <c r="E386" s="133"/>
      <c r="F386" s="133"/>
      <c r="G386" s="133"/>
      <c r="H386" s="133"/>
      <c r="I386" s="133"/>
      <c r="J386" s="133"/>
      <c r="K386" s="133"/>
      <c r="L386" s="133"/>
      <c r="O386" s="463" t="s">
        <v>98</v>
      </c>
      <c r="P386" s="3897"/>
      <c r="Q386" s="533"/>
      <c r="AE386" s="49"/>
      <c r="AF386" s="49"/>
    </row>
    <row r="387" spans="1:32" s="41" customFormat="1" ht="11.25" customHeight="1">
      <c r="A387" s="46" t="s">
        <v>1986</v>
      </c>
      <c r="B387" s="615" t="s">
        <v>3923</v>
      </c>
      <c r="D387" s="133"/>
      <c r="E387" s="133"/>
      <c r="F387" s="133"/>
      <c r="G387" s="133"/>
      <c r="H387" s="133"/>
      <c r="P387" s="133"/>
      <c r="Q387" s="133"/>
      <c r="R387" s="133"/>
      <c r="AE387" s="49"/>
      <c r="AF387" s="49"/>
    </row>
    <row r="388" spans="1:32" s="41" customFormat="1" ht="11.25" customHeight="1">
      <c r="B388" s="39" t="s">
        <v>1737</v>
      </c>
      <c r="C388" s="897" t="s">
        <v>4963</v>
      </c>
      <c r="E388" s="2303"/>
      <c r="F388" s="2303"/>
      <c r="G388" s="2303"/>
      <c r="H388" s="2303"/>
      <c r="P388" s="3897"/>
      <c r="Q388" s="533"/>
      <c r="AE388" s="49"/>
      <c r="AF388" s="49"/>
    </row>
    <row r="389" spans="1:32" s="41" customFormat="1" ht="11.25" customHeight="1">
      <c r="B389" s="39"/>
      <c r="C389" s="897"/>
      <c r="E389" s="2303"/>
      <c r="F389" s="2303"/>
      <c r="G389" s="2303"/>
      <c r="H389" s="2303"/>
      <c r="J389" s="2754" t="s">
        <v>3928</v>
      </c>
      <c r="K389" s="2754"/>
      <c r="L389" s="2754"/>
      <c r="M389" s="2754"/>
      <c r="N389" s="2626" t="s">
        <v>3925</v>
      </c>
      <c r="O389" s="2626"/>
      <c r="AE389" s="49"/>
      <c r="AF389" s="49"/>
    </row>
    <row r="390" spans="1:32" s="41" customFormat="1" ht="11.25" customHeight="1">
      <c r="A390" s="2146"/>
      <c r="B390" s="39" t="s">
        <v>1738</v>
      </c>
      <c r="C390" s="897" t="s">
        <v>3924</v>
      </c>
      <c r="E390" s="133"/>
      <c r="F390" s="133"/>
      <c r="G390" s="133"/>
      <c r="H390" s="133"/>
      <c r="I390" s="463" t="s">
        <v>1738</v>
      </c>
      <c r="J390" s="3995"/>
      <c r="K390" s="3996"/>
      <c r="L390" s="2750"/>
      <c r="M390" s="2751"/>
      <c r="N390" s="1105" t="str">
        <f>IF(J390="","",(J390-J382)/J390)</f>
        <v/>
      </c>
      <c r="O390" s="1106" t="str">
        <f>IF(L390="","",(L390-L382)/L390)</f>
        <v/>
      </c>
      <c r="P390" s="3997"/>
      <c r="Q390" s="2314"/>
      <c r="AE390" s="49"/>
      <c r="AF390" s="49"/>
    </row>
    <row r="391" spans="1:32" s="41" customFormat="1" ht="11.25" customHeight="1">
      <c r="A391" s="2146"/>
      <c r="B391" s="39" t="s">
        <v>1739</v>
      </c>
      <c r="C391" s="51" t="s">
        <v>3927</v>
      </c>
      <c r="E391" s="133"/>
      <c r="F391" s="133"/>
      <c r="G391" s="133"/>
      <c r="H391" s="133"/>
      <c r="N391" s="133"/>
      <c r="O391" s="463" t="s">
        <v>1739</v>
      </c>
      <c r="P391" s="3998"/>
      <c r="Q391" s="1310"/>
      <c r="AE391" s="49"/>
      <c r="AF391" s="49"/>
    </row>
    <row r="392" spans="1:32" s="41" customFormat="1" ht="11.25" customHeight="1">
      <c r="B392" s="39" t="s">
        <v>2366</v>
      </c>
      <c r="C392" s="51" t="s">
        <v>3929</v>
      </c>
      <c r="E392" s="133"/>
      <c r="F392" s="133"/>
      <c r="G392" s="133"/>
      <c r="H392" s="133"/>
      <c r="M392" s="133"/>
      <c r="N392" s="133"/>
      <c r="O392" s="463" t="s">
        <v>2366</v>
      </c>
      <c r="P392" s="3893"/>
      <c r="Q392" s="536"/>
      <c r="AE392" s="49"/>
      <c r="AF392" s="49"/>
    </row>
    <row r="393" spans="1:32" ht="10.5" customHeight="1">
      <c r="B393" s="140" t="s">
        <v>3750</v>
      </c>
      <c r="D393" s="140"/>
      <c r="E393" s="140"/>
      <c r="F393" s="140"/>
      <c r="G393" s="140"/>
      <c r="H393" s="39"/>
      <c r="I393" s="2300"/>
      <c r="J393" s="2300"/>
      <c r="K393" s="2300"/>
      <c r="L393" s="2286"/>
      <c r="M393" s="2286"/>
      <c r="N393" s="2286"/>
      <c r="O393" s="2286"/>
      <c r="P393" s="2286"/>
      <c r="Q393" s="896"/>
    </row>
    <row r="394" spans="1:32" ht="31.5" customHeight="1">
      <c r="A394" s="3885" t="s">
        <v>5250</v>
      </c>
      <c r="B394" s="3886"/>
      <c r="C394" s="3886"/>
      <c r="D394" s="3886"/>
      <c r="E394" s="3886"/>
      <c r="F394" s="3886"/>
      <c r="G394" s="3886"/>
      <c r="H394" s="3886"/>
      <c r="I394" s="3886"/>
      <c r="J394" s="3886"/>
      <c r="K394" s="3886"/>
      <c r="L394" s="3886"/>
      <c r="M394" s="3886"/>
      <c r="N394" s="3886"/>
      <c r="O394" s="3886"/>
      <c r="P394" s="3886"/>
      <c r="Q394" s="3887"/>
      <c r="U394" s="135"/>
      <c r="V394" s="135"/>
      <c r="W394" s="135"/>
      <c r="X394" s="135"/>
      <c r="Y394" s="135"/>
      <c r="Z394" s="135"/>
      <c r="AA394" s="135"/>
      <c r="AB394" s="135"/>
      <c r="AC394" s="135"/>
      <c r="AD394" s="135"/>
      <c r="AE394" s="465"/>
    </row>
    <row r="395" spans="1:32" ht="11.25" customHeight="1">
      <c r="B395" s="136" t="s">
        <v>1867</v>
      </c>
      <c r="C395" s="137"/>
      <c r="D395" s="2297"/>
      <c r="E395" s="2297"/>
      <c r="F395" s="2297"/>
      <c r="G395" s="2297"/>
      <c r="H395" s="2297"/>
      <c r="I395" s="2297"/>
      <c r="J395" s="2297"/>
      <c r="K395" s="2297"/>
      <c r="L395" s="2297"/>
      <c r="M395" s="2297"/>
      <c r="N395" s="2297"/>
      <c r="O395" s="2297"/>
      <c r="P395" s="2297"/>
      <c r="Q395" s="2297"/>
    </row>
    <row r="396" spans="1:32" ht="23.25" customHeight="1">
      <c r="A396" s="2621"/>
      <c r="B396" s="2622"/>
      <c r="C396" s="2622"/>
      <c r="D396" s="2622"/>
      <c r="E396" s="2622"/>
      <c r="F396" s="2622"/>
      <c r="G396" s="2622"/>
      <c r="H396" s="2622"/>
      <c r="I396" s="2622"/>
      <c r="J396" s="2622"/>
      <c r="K396" s="2622"/>
      <c r="L396" s="2622"/>
      <c r="M396" s="2622"/>
      <c r="N396" s="2622"/>
      <c r="O396" s="2622"/>
      <c r="P396" s="2622"/>
      <c r="Q396" s="2623"/>
    </row>
    <row r="397" spans="1:32" ht="3.4" customHeight="1">
      <c r="A397" s="2286"/>
      <c r="B397" s="2300"/>
      <c r="C397" s="2297"/>
      <c r="D397" s="2297"/>
      <c r="E397" s="2297"/>
      <c r="F397" s="2297"/>
      <c r="G397" s="2297"/>
      <c r="H397" s="2297"/>
      <c r="I397" s="2297"/>
      <c r="J397" s="2297"/>
      <c r="K397" s="2297"/>
      <c r="L397" s="2297"/>
      <c r="M397" s="2297"/>
      <c r="Q397" s="896"/>
    </row>
    <row r="398" spans="1:32" ht="3" customHeight="1">
      <c r="A398" s="2286"/>
      <c r="B398" s="2300"/>
      <c r="C398" s="2297"/>
      <c r="D398" s="2297"/>
      <c r="E398" s="2297"/>
      <c r="F398" s="2297"/>
      <c r="G398" s="2297"/>
      <c r="H398" s="2297"/>
      <c r="I398" s="2297"/>
      <c r="J398" s="2297"/>
      <c r="K398" s="2297"/>
      <c r="L398" s="2297"/>
      <c r="M398" s="2297"/>
      <c r="Q398" s="896"/>
    </row>
    <row r="399" spans="1:32" ht="13.9" customHeight="1">
      <c r="A399" s="2283" t="s">
        <v>4105</v>
      </c>
      <c r="B399" s="3" t="s">
        <v>2685</v>
      </c>
      <c r="C399" s="3"/>
      <c r="D399" s="3"/>
      <c r="E399" s="3"/>
      <c r="F399" s="3"/>
      <c r="G399" s="3"/>
      <c r="H399" s="2297"/>
      <c r="I399" s="2297"/>
      <c r="J399" s="2297"/>
      <c r="O399" s="131" t="s">
        <v>1868</v>
      </c>
      <c r="P399" s="2624"/>
      <c r="Q399" s="2625"/>
    </row>
    <row r="400" spans="1:32" ht="11.65" customHeight="1">
      <c r="A400" s="46" t="s">
        <v>1984</v>
      </c>
      <c r="B400" s="117" t="s">
        <v>1034</v>
      </c>
      <c r="E400" s="3999"/>
      <c r="F400" s="4000"/>
      <c r="G400" s="4000"/>
      <c r="H400" s="4000"/>
      <c r="I400" s="4001"/>
      <c r="J400" s="2747" t="s">
        <v>2672</v>
      </c>
      <c r="K400" s="2748"/>
      <c r="L400" s="2630"/>
      <c r="M400" s="3999"/>
      <c r="N400" s="4000"/>
      <c r="O400" s="4000"/>
      <c r="P400" s="4000"/>
      <c r="Q400" s="4001"/>
    </row>
    <row r="401" spans="1:31" ht="11.65" customHeight="1">
      <c r="A401" s="46" t="s">
        <v>1986</v>
      </c>
      <c r="B401" s="51" t="s">
        <v>3464</v>
      </c>
      <c r="D401" s="51"/>
      <c r="E401" s="51"/>
      <c r="F401" s="51"/>
      <c r="G401" s="51"/>
      <c r="H401" s="51"/>
      <c r="I401" s="51"/>
      <c r="J401" s="51"/>
      <c r="K401" s="51"/>
      <c r="L401" s="897"/>
      <c r="M401" s="897"/>
      <c r="O401" s="463" t="s">
        <v>1986</v>
      </c>
      <c r="P401" s="3891"/>
      <c r="Q401" s="534"/>
    </row>
    <row r="402" spans="1:31" ht="22.5" customHeight="1">
      <c r="A402" s="141" t="s">
        <v>749</v>
      </c>
      <c r="B402" s="2620" t="s">
        <v>3474</v>
      </c>
      <c r="C402" s="2620"/>
      <c r="D402" s="2620"/>
      <c r="E402" s="2620"/>
      <c r="F402" s="2620"/>
      <c r="G402" s="2620"/>
      <c r="H402" s="2620"/>
      <c r="I402" s="2620"/>
      <c r="J402" s="2620"/>
      <c r="K402" s="2620"/>
      <c r="L402" s="2620"/>
      <c r="M402" s="2620"/>
      <c r="N402" s="2620"/>
      <c r="O402" s="160" t="s">
        <v>749</v>
      </c>
      <c r="P402" s="3915"/>
      <c r="Q402" s="2292"/>
    </row>
    <row r="403" spans="1:31">
      <c r="A403" s="46" t="s">
        <v>2116</v>
      </c>
      <c r="B403" s="54" t="s">
        <v>3695</v>
      </c>
      <c r="G403" s="2303"/>
      <c r="H403" s="2303"/>
      <c r="I403" s="2303"/>
      <c r="J403" s="897" t="s">
        <v>3696</v>
      </c>
      <c r="L403" s="2303"/>
      <c r="M403" s="2642">
        <f>'Part III-Sources of Funds'!H5</f>
        <v>0</v>
      </c>
      <c r="N403" s="2643"/>
      <c r="O403" s="463" t="s">
        <v>2116</v>
      </c>
      <c r="P403" s="3893"/>
      <c r="Q403" s="536"/>
    </row>
    <row r="404" spans="1:31" ht="11.25" customHeight="1">
      <c r="B404" s="140" t="s">
        <v>3750</v>
      </c>
      <c r="D404" s="140"/>
      <c r="E404" s="140"/>
      <c r="F404" s="140"/>
      <c r="G404" s="140"/>
      <c r="H404" s="39"/>
      <c r="I404" s="2300"/>
      <c r="J404" s="2300"/>
      <c r="K404" s="2300"/>
      <c r="L404" s="2286"/>
      <c r="M404" s="2286"/>
      <c r="N404" s="2286"/>
      <c r="O404" s="2286"/>
      <c r="P404" s="2286"/>
      <c r="Q404" s="896"/>
    </row>
    <row r="405" spans="1:31" ht="11.65" customHeight="1">
      <c r="A405" s="3885" t="s">
        <v>5251</v>
      </c>
      <c r="B405" s="3886"/>
      <c r="C405" s="3886"/>
      <c r="D405" s="3886"/>
      <c r="E405" s="3886"/>
      <c r="F405" s="3886"/>
      <c r="G405" s="3886"/>
      <c r="H405" s="3886"/>
      <c r="I405" s="3886"/>
      <c r="J405" s="3886"/>
      <c r="K405" s="3886"/>
      <c r="L405" s="3886"/>
      <c r="M405" s="3886"/>
      <c r="N405" s="3886"/>
      <c r="O405" s="3886"/>
      <c r="P405" s="3886"/>
      <c r="Q405" s="3887"/>
      <c r="U405" s="135"/>
      <c r="V405" s="135"/>
      <c r="W405" s="135"/>
      <c r="X405" s="135"/>
      <c r="Y405" s="135"/>
      <c r="Z405" s="135"/>
      <c r="AA405" s="135"/>
      <c r="AB405" s="135"/>
      <c r="AC405" s="135"/>
      <c r="AD405" s="135"/>
      <c r="AE405" s="465"/>
    </row>
    <row r="406" spans="1:31" ht="11.25" customHeight="1">
      <c r="B406" s="136" t="s">
        <v>1867</v>
      </c>
      <c r="C406" s="137"/>
      <c r="D406" s="2297"/>
      <c r="E406" s="2297"/>
      <c r="F406" s="2297"/>
      <c r="G406" s="2297"/>
      <c r="H406" s="2297"/>
      <c r="I406" s="2297"/>
      <c r="J406" s="2297"/>
      <c r="K406" s="2297"/>
      <c r="L406" s="2297"/>
      <c r="M406" s="2297"/>
      <c r="N406" s="2297"/>
      <c r="O406" s="2297"/>
      <c r="P406" s="2297"/>
      <c r="Q406" s="2297"/>
    </row>
    <row r="407" spans="1:31" ht="11.65" customHeight="1">
      <c r="A407" s="2621"/>
      <c r="B407" s="2622"/>
      <c r="C407" s="2622"/>
      <c r="D407" s="2622"/>
      <c r="E407" s="2622"/>
      <c r="F407" s="2622"/>
      <c r="G407" s="2622"/>
      <c r="H407" s="2622"/>
      <c r="I407" s="2622"/>
      <c r="J407" s="2622"/>
      <c r="K407" s="2622"/>
      <c r="L407" s="2622"/>
      <c r="M407" s="2622"/>
      <c r="N407" s="2622"/>
      <c r="O407" s="2622"/>
      <c r="P407" s="2622"/>
      <c r="Q407" s="2623"/>
    </row>
    <row r="408" spans="1:31" ht="3.4" customHeight="1">
      <c r="A408" s="2286"/>
      <c r="B408" s="2300"/>
      <c r="C408" s="2297"/>
      <c r="D408" s="2297"/>
      <c r="E408" s="2297"/>
      <c r="F408" s="2297"/>
      <c r="G408" s="2297"/>
      <c r="H408" s="2297"/>
      <c r="I408" s="2297"/>
      <c r="J408" s="2297"/>
      <c r="K408" s="2297"/>
      <c r="L408" s="2297"/>
      <c r="M408" s="2297"/>
      <c r="Q408" s="896"/>
    </row>
    <row r="409" spans="1:31" ht="13.9" customHeight="1">
      <c r="A409" s="2283" t="s">
        <v>4106</v>
      </c>
      <c r="B409" s="3" t="s">
        <v>2669</v>
      </c>
      <c r="C409" s="3"/>
      <c r="D409" s="3"/>
      <c r="E409" s="2297"/>
      <c r="G409" s="139" t="s">
        <v>701</v>
      </c>
      <c r="H409" s="2297"/>
      <c r="I409" s="2297"/>
      <c r="J409" s="2297"/>
      <c r="K409" s="2297"/>
      <c r="L409" s="2297"/>
      <c r="M409" s="2297"/>
      <c r="O409" s="131" t="s">
        <v>1868</v>
      </c>
      <c r="P409" s="2624"/>
      <c r="Q409" s="2641"/>
    </row>
    <row r="410" spans="1:31" ht="12" customHeight="1">
      <c r="A410" s="46" t="s">
        <v>1984</v>
      </c>
      <c r="B410" s="51" t="s">
        <v>2674</v>
      </c>
      <c r="D410" s="898"/>
      <c r="E410" s="898"/>
      <c r="H410" s="139"/>
      <c r="O410" s="463" t="s">
        <v>1984</v>
      </c>
      <c r="P410" s="3927" t="s">
        <v>2993</v>
      </c>
      <c r="Q410" s="534"/>
    </row>
    <row r="411" spans="1:31" ht="12" customHeight="1">
      <c r="A411" s="46" t="s">
        <v>1986</v>
      </c>
      <c r="B411" s="51" t="s">
        <v>3582</v>
      </c>
      <c r="D411" s="898"/>
      <c r="E411" s="898"/>
      <c r="O411" s="463" t="s">
        <v>1986</v>
      </c>
      <c r="P411" s="3892" t="s">
        <v>2993</v>
      </c>
      <c r="Q411" s="535"/>
    </row>
    <row r="412" spans="1:31" ht="12" customHeight="1">
      <c r="A412" s="46" t="s">
        <v>749</v>
      </c>
      <c r="B412" s="51" t="s">
        <v>4075</v>
      </c>
      <c r="D412" s="898"/>
      <c r="E412" s="898"/>
      <c r="O412" s="463" t="s">
        <v>749</v>
      </c>
      <c r="P412" s="3892" t="s">
        <v>2993</v>
      </c>
      <c r="Q412" s="535"/>
    </row>
    <row r="413" spans="1:31" ht="12" customHeight="1">
      <c r="A413" s="46" t="s">
        <v>2116</v>
      </c>
      <c r="B413" s="51" t="s">
        <v>3583</v>
      </c>
      <c r="E413" s="139"/>
      <c r="O413" s="463" t="s">
        <v>2116</v>
      </c>
      <c r="P413" s="3892" t="s">
        <v>2993</v>
      </c>
      <c r="Q413" s="535"/>
    </row>
    <row r="414" spans="1:31" ht="12" customHeight="1">
      <c r="A414" s="46" t="s">
        <v>1735</v>
      </c>
      <c r="B414" s="51" t="s">
        <v>2080</v>
      </c>
      <c r="E414" s="139"/>
      <c r="G414" s="463" t="s">
        <v>1735</v>
      </c>
      <c r="H414" s="4002"/>
      <c r="I414" s="4003"/>
      <c r="J414" s="4003"/>
      <c r="K414" s="4003"/>
      <c r="L414" s="4003"/>
      <c r="M414" s="4003"/>
      <c r="N414" s="4003"/>
      <c r="O414" s="4004"/>
      <c r="P414" s="3893"/>
      <c r="Q414" s="536"/>
    </row>
    <row r="415" spans="1:31" ht="11.25" customHeight="1">
      <c r="B415" s="140" t="s">
        <v>3750</v>
      </c>
      <c r="D415" s="140"/>
      <c r="E415" s="140"/>
      <c r="F415" s="140"/>
      <c r="G415" s="140"/>
      <c r="H415" s="39"/>
      <c r="I415" s="2300"/>
      <c r="J415" s="2300"/>
      <c r="K415" s="2300"/>
      <c r="L415" s="2286"/>
      <c r="M415" s="2286"/>
      <c r="N415" s="2286"/>
      <c r="O415" s="2286"/>
      <c r="P415" s="2286"/>
      <c r="Q415" s="896"/>
    </row>
    <row r="416" spans="1:31" ht="11.65" customHeight="1">
      <c r="A416" s="3885" t="s">
        <v>5252</v>
      </c>
      <c r="B416" s="3886"/>
      <c r="C416" s="3886"/>
      <c r="D416" s="3886"/>
      <c r="E416" s="3886"/>
      <c r="F416" s="3886"/>
      <c r="G416" s="3886"/>
      <c r="H416" s="3886"/>
      <c r="I416" s="3886"/>
      <c r="J416" s="3886"/>
      <c r="K416" s="3886"/>
      <c r="L416" s="3886"/>
      <c r="M416" s="3886"/>
      <c r="N416" s="3886"/>
      <c r="O416" s="3886"/>
      <c r="P416" s="3886"/>
      <c r="Q416" s="3887"/>
      <c r="U416" s="135"/>
      <c r="V416" s="135"/>
      <c r="W416" s="135"/>
      <c r="X416" s="135"/>
      <c r="Y416" s="135"/>
      <c r="Z416" s="135"/>
      <c r="AA416" s="135"/>
      <c r="AB416" s="135"/>
      <c r="AC416" s="135"/>
      <c r="AD416" s="135"/>
      <c r="AE416" s="465"/>
    </row>
    <row r="417" spans="1:32" ht="11.25" customHeight="1">
      <c r="B417" s="136" t="s">
        <v>1867</v>
      </c>
      <c r="C417" s="137"/>
      <c r="D417" s="2297"/>
      <c r="E417" s="2297"/>
      <c r="F417" s="2297"/>
      <c r="G417" s="2297"/>
      <c r="H417" s="2297"/>
      <c r="I417" s="2297"/>
      <c r="J417" s="2297"/>
      <c r="K417" s="2297"/>
      <c r="L417" s="2297"/>
      <c r="M417" s="2297"/>
      <c r="N417" s="2297"/>
      <c r="O417" s="2297"/>
      <c r="P417" s="2297"/>
      <c r="Q417" s="2297"/>
    </row>
    <row r="418" spans="1:32" ht="11.65" customHeight="1">
      <c r="A418" s="2621"/>
      <c r="B418" s="2622"/>
      <c r="C418" s="2622"/>
      <c r="D418" s="2622"/>
      <c r="E418" s="2622"/>
      <c r="F418" s="2622"/>
      <c r="G418" s="2622"/>
      <c r="H418" s="2622"/>
      <c r="I418" s="2622"/>
      <c r="J418" s="2622"/>
      <c r="K418" s="2622"/>
      <c r="L418" s="2622"/>
      <c r="M418" s="2622"/>
      <c r="N418" s="2622"/>
      <c r="O418" s="2622"/>
      <c r="P418" s="2622"/>
      <c r="Q418" s="2623"/>
    </row>
    <row r="419" spans="1:32" ht="3" customHeight="1">
      <c r="A419" s="2286"/>
      <c r="B419" s="2300"/>
      <c r="C419" s="2297"/>
      <c r="D419" s="2297"/>
      <c r="E419" s="2297"/>
      <c r="F419" s="2297"/>
      <c r="G419" s="2297"/>
      <c r="H419" s="2297"/>
      <c r="I419" s="2297"/>
      <c r="J419" s="2297"/>
      <c r="K419" s="2297"/>
      <c r="L419" s="2297"/>
      <c r="M419" s="2297"/>
      <c r="N419" s="2297"/>
      <c r="O419" s="2297"/>
      <c r="P419" s="2297"/>
      <c r="Q419" s="2286"/>
    </row>
    <row r="420" spans="1:32" ht="13.9" customHeight="1">
      <c r="A420" s="2283" t="s">
        <v>4107</v>
      </c>
      <c r="B420" s="3" t="s">
        <v>2670</v>
      </c>
      <c r="C420" s="3"/>
      <c r="D420" s="3"/>
      <c r="E420" s="3"/>
      <c r="F420" s="3"/>
      <c r="G420" s="3"/>
      <c r="H420" s="2297"/>
      <c r="I420" s="2297"/>
      <c r="J420" s="2297"/>
      <c r="K420" s="2297"/>
      <c r="L420" s="2297"/>
      <c r="M420" s="2297"/>
      <c r="O420" s="131" t="s">
        <v>1868</v>
      </c>
      <c r="P420" s="2624"/>
      <c r="Q420" s="2641"/>
    </row>
    <row r="421" spans="1:32" ht="12" customHeight="1">
      <c r="A421" s="46" t="s">
        <v>1984</v>
      </c>
      <c r="B421" s="38" t="s">
        <v>752</v>
      </c>
      <c r="D421" s="41"/>
      <c r="E421" s="41"/>
      <c r="F421" s="41"/>
      <c r="G421" s="41"/>
      <c r="H421" s="41"/>
      <c r="I421" s="41"/>
      <c r="J421" s="41"/>
      <c r="K421" s="41"/>
      <c r="L421" s="41"/>
      <c r="M421" s="41"/>
      <c r="N421" s="41"/>
      <c r="O421" s="463" t="s">
        <v>1984</v>
      </c>
      <c r="P421" s="3891" t="s">
        <v>2993</v>
      </c>
      <c r="Q421" s="534"/>
    </row>
    <row r="422" spans="1:32" ht="12" customHeight="1">
      <c r="A422" s="46" t="s">
        <v>1986</v>
      </c>
      <c r="B422" s="35" t="s">
        <v>3476</v>
      </c>
      <c r="D422" s="41"/>
      <c r="E422" s="41"/>
      <c r="F422" s="41"/>
      <c r="G422" s="41"/>
      <c r="H422" s="41"/>
      <c r="I422" s="41"/>
      <c r="J422" s="41"/>
      <c r="K422" s="41"/>
      <c r="L422" s="41"/>
      <c r="M422" s="41"/>
      <c r="N422" s="41"/>
      <c r="O422" s="463" t="s">
        <v>1446</v>
      </c>
      <c r="P422" s="3893"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3891"/>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3892"/>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3892"/>
      <c r="Q426" s="535"/>
    </row>
    <row r="427" spans="1:32" ht="12" customHeight="1">
      <c r="A427" s="46" t="s">
        <v>2116</v>
      </c>
      <c r="B427" s="2620" t="s">
        <v>2816</v>
      </c>
      <c r="C427" s="2620"/>
      <c r="D427" s="2620"/>
      <c r="E427" s="2620"/>
      <c r="F427" s="897"/>
      <c r="G427" s="134" t="s">
        <v>2203</v>
      </c>
      <c r="J427" s="4005"/>
      <c r="K427" s="540"/>
      <c r="M427" s="134" t="s">
        <v>2206</v>
      </c>
      <c r="P427" s="4006"/>
      <c r="Q427" s="541"/>
    </row>
    <row r="428" spans="1:32" ht="12" customHeight="1">
      <c r="A428" s="46"/>
      <c r="B428" s="2620"/>
      <c r="C428" s="2620"/>
      <c r="D428" s="2620"/>
      <c r="E428" s="2620"/>
      <c r="F428" s="897"/>
      <c r="G428" s="134" t="s">
        <v>2204</v>
      </c>
      <c r="J428" s="4006"/>
      <c r="K428" s="541"/>
      <c r="M428" s="134" t="s">
        <v>2207</v>
      </c>
      <c r="P428" s="4007"/>
      <c r="Q428" s="542"/>
    </row>
    <row r="429" spans="1:32" ht="12" customHeight="1">
      <c r="A429" s="46"/>
      <c r="B429" s="2620"/>
      <c r="C429" s="2620"/>
      <c r="D429" s="2620"/>
      <c r="E429" s="2620"/>
      <c r="F429" s="897"/>
      <c r="G429" s="134" t="s">
        <v>2205</v>
      </c>
      <c r="J429" s="4007"/>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3891"/>
      <c r="K431" s="534"/>
      <c r="L431" s="897"/>
      <c r="M431" s="431" t="s">
        <v>4772</v>
      </c>
    </row>
    <row r="432" spans="1:32" ht="12" customHeight="1">
      <c r="A432" s="41"/>
      <c r="G432" s="431" t="s">
        <v>4770</v>
      </c>
      <c r="H432" s="897"/>
      <c r="I432" s="897"/>
      <c r="J432" s="3892"/>
      <c r="K432" s="535"/>
      <c r="M432" s="4008"/>
      <c r="N432" s="4009"/>
      <c r="O432" s="4009"/>
      <c r="P432" s="4009"/>
      <c r="Q432" s="4010"/>
    </row>
    <row r="433" spans="1:32" ht="12" customHeight="1">
      <c r="A433" s="41"/>
      <c r="G433" s="431" t="s">
        <v>4771</v>
      </c>
      <c r="H433" s="897"/>
      <c r="J433" s="3893"/>
      <c r="K433" s="536"/>
      <c r="M433" s="4011"/>
      <c r="N433" s="4012"/>
      <c r="O433" s="4012"/>
      <c r="P433" s="4012"/>
      <c r="Q433" s="4013"/>
    </row>
    <row r="434" spans="1:32" ht="12" customHeight="1">
      <c r="A434" s="46"/>
      <c r="B434" s="431" t="s">
        <v>1738</v>
      </c>
      <c r="C434" s="897" t="s">
        <v>4773</v>
      </c>
      <c r="D434" s="147"/>
      <c r="E434" s="897"/>
      <c r="F434" s="897"/>
      <c r="L434" s="897"/>
      <c r="M434" s="897"/>
      <c r="O434" s="463" t="s">
        <v>1738</v>
      </c>
      <c r="P434" s="3897" t="s">
        <v>1771</v>
      </c>
      <c r="Q434" s="533" t="s">
        <v>1771</v>
      </c>
    </row>
    <row r="435" spans="1:32" ht="12" customHeight="1">
      <c r="A435" s="41"/>
      <c r="B435" s="147"/>
      <c r="C435" s="431" t="s">
        <v>2436</v>
      </c>
      <c r="D435" s="431" t="s">
        <v>4781</v>
      </c>
      <c r="E435" s="897"/>
      <c r="F435" s="897"/>
      <c r="G435" s="4014"/>
      <c r="H435" s="4015"/>
      <c r="I435" s="4015"/>
      <c r="J435" s="4015"/>
      <c r="K435" s="4016"/>
      <c r="L435" s="2094"/>
    </row>
    <row r="436" spans="1:32" ht="12" customHeight="1">
      <c r="A436" s="41"/>
      <c r="B436" s="147"/>
      <c r="C436" s="431" t="s">
        <v>2437</v>
      </c>
      <c r="D436" s="431" t="s">
        <v>4782</v>
      </c>
      <c r="E436" s="897"/>
      <c r="F436" s="2094"/>
      <c r="G436" s="4017" t="s">
        <v>3698</v>
      </c>
      <c r="H436" s="4018"/>
      <c r="I436" s="4019"/>
      <c r="J436" s="431" t="s">
        <v>4783</v>
      </c>
      <c r="K436" s="147"/>
      <c r="M436" s="4014"/>
      <c r="N436" s="4015"/>
      <c r="O436" s="4015"/>
      <c r="P436" s="4015"/>
      <c r="Q436" s="4016"/>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4020"/>
      <c r="C438" s="4021"/>
      <c r="D438" s="4021"/>
      <c r="E438" s="4021"/>
      <c r="F438" s="4021"/>
      <c r="G438" s="4021"/>
      <c r="H438" s="4021"/>
      <c r="I438" s="4021"/>
      <c r="J438" s="4021"/>
      <c r="K438" s="4021"/>
      <c r="L438" s="4021"/>
      <c r="M438" s="4021"/>
      <c r="N438" s="4021"/>
      <c r="O438" s="4021"/>
      <c r="P438" s="4021"/>
      <c r="Q438" s="4022"/>
      <c r="R438" s="445" t="s">
        <v>4775</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0"/>
      <c r="J439" s="2300"/>
      <c r="K439" s="2300"/>
    </row>
    <row r="440" spans="1:32" ht="12" customHeight="1">
      <c r="A440" s="3885" t="s">
        <v>5261</v>
      </c>
      <c r="B440" s="3886"/>
      <c r="C440" s="3886"/>
      <c r="D440" s="3886"/>
      <c r="E440" s="3886"/>
      <c r="F440" s="3886"/>
      <c r="G440" s="3886"/>
      <c r="H440" s="3886"/>
      <c r="I440" s="3886"/>
      <c r="J440" s="3886"/>
      <c r="K440" s="3886"/>
      <c r="L440" s="3886"/>
      <c r="M440" s="3886"/>
      <c r="N440" s="3886"/>
      <c r="O440" s="3886"/>
      <c r="P440" s="3886"/>
      <c r="Q440" s="3887"/>
      <c r="U440" s="135"/>
      <c r="V440" s="135"/>
      <c r="W440" s="135"/>
      <c r="X440" s="135"/>
      <c r="Y440" s="135"/>
      <c r="Z440" s="135"/>
      <c r="AA440" s="135"/>
      <c r="AB440" s="135"/>
      <c r="AC440" s="135"/>
      <c r="AD440" s="135"/>
      <c r="AE440" s="465"/>
    </row>
    <row r="441" spans="1:32" ht="12" customHeight="1">
      <c r="B441" s="136" t="s">
        <v>1867</v>
      </c>
      <c r="C441" s="137"/>
      <c r="D441" s="2297"/>
      <c r="E441" s="2297"/>
      <c r="F441" s="2297"/>
      <c r="G441" s="2297"/>
      <c r="H441" s="2297"/>
      <c r="I441" s="2297"/>
      <c r="J441" s="2297"/>
      <c r="K441" s="2297"/>
      <c r="L441" s="2297"/>
      <c r="M441" s="2297"/>
      <c r="N441" s="2297"/>
      <c r="O441" s="2297"/>
      <c r="P441" s="2297"/>
      <c r="Q441" s="2297"/>
    </row>
    <row r="442" spans="1:32" ht="12" customHeight="1">
      <c r="A442" s="2621"/>
      <c r="B442" s="2622"/>
      <c r="C442" s="2622"/>
      <c r="D442" s="2622"/>
      <c r="E442" s="2622"/>
      <c r="F442" s="2622"/>
      <c r="G442" s="2622"/>
      <c r="H442" s="2622"/>
      <c r="I442" s="2622"/>
      <c r="J442" s="2622"/>
      <c r="K442" s="2622"/>
      <c r="L442" s="2622"/>
      <c r="M442" s="2622"/>
      <c r="N442" s="2622"/>
      <c r="O442" s="2622"/>
      <c r="P442" s="2622"/>
      <c r="Q442" s="2623"/>
    </row>
    <row r="443" spans="1:32" ht="3" customHeight="1">
      <c r="A443" s="2286"/>
      <c r="B443" s="2300"/>
      <c r="C443" s="2297"/>
      <c r="D443" s="2297"/>
      <c r="E443" s="2297"/>
      <c r="F443" s="2297"/>
      <c r="G443" s="2297"/>
      <c r="H443" s="2297"/>
      <c r="I443" s="2297"/>
      <c r="J443" s="2297"/>
      <c r="K443" s="2297"/>
      <c r="L443" s="2297"/>
      <c r="M443" s="2297"/>
      <c r="Q443" s="896"/>
    </row>
    <row r="444" spans="1:32" ht="13.9" customHeight="1">
      <c r="A444" s="2283" t="s">
        <v>4108</v>
      </c>
      <c r="B444" s="3" t="s">
        <v>2817</v>
      </c>
      <c r="C444" s="3"/>
      <c r="D444" s="86"/>
      <c r="E444" s="2297"/>
      <c r="F444" s="2297"/>
      <c r="G444" s="2297"/>
      <c r="H444" s="2297"/>
      <c r="O444" s="131" t="s">
        <v>1868</v>
      </c>
      <c r="P444" s="2624"/>
      <c r="Q444" s="2625"/>
    </row>
    <row r="445" spans="1:32" ht="13.9" customHeight="1">
      <c r="B445" s="86" t="s">
        <v>5043</v>
      </c>
      <c r="C445" s="3"/>
      <c r="D445" s="86"/>
      <c r="E445" s="2297"/>
      <c r="F445" s="2297"/>
      <c r="G445" s="2297"/>
      <c r="H445" s="2297"/>
    </row>
    <row r="446" spans="1:32" s="132" customFormat="1" ht="21.75" customHeight="1">
      <c r="A446" s="141" t="s">
        <v>1984</v>
      </c>
      <c r="B446" s="2647" t="s">
        <v>3933</v>
      </c>
      <c r="C446" s="2647"/>
      <c r="D446" s="2647"/>
      <c r="E446" s="2647"/>
      <c r="F446" s="2647"/>
      <c r="G446" s="2647"/>
      <c r="H446" s="2647"/>
      <c r="I446" s="2647"/>
      <c r="J446" s="2647"/>
      <c r="K446" s="2647"/>
      <c r="L446" s="2647"/>
      <c r="M446" s="2647"/>
      <c r="N446" s="2647"/>
      <c r="O446" s="160" t="s">
        <v>1984</v>
      </c>
      <c r="P446" s="3959" t="s">
        <v>5183</v>
      </c>
      <c r="Q446" s="1149"/>
      <c r="AE446" s="466"/>
      <c r="AF446" s="466"/>
    </row>
    <row r="447" spans="1:32" s="132" customFormat="1" ht="22.5" customHeight="1">
      <c r="A447" s="141" t="s">
        <v>1986</v>
      </c>
      <c r="B447" s="2647" t="s">
        <v>3931</v>
      </c>
      <c r="C447" s="2647"/>
      <c r="D447" s="2647"/>
      <c r="E447" s="2647"/>
      <c r="F447" s="2647"/>
      <c r="G447" s="2647"/>
      <c r="H447" s="2647"/>
      <c r="I447" s="2647"/>
      <c r="J447" s="2647"/>
      <c r="K447" s="2647"/>
      <c r="L447" s="2647"/>
      <c r="M447" s="2647"/>
      <c r="N447" s="2647"/>
      <c r="O447" s="160" t="s">
        <v>1986</v>
      </c>
      <c r="P447" s="3915" t="s">
        <v>5183</v>
      </c>
      <c r="Q447" s="2292"/>
      <c r="AE447" s="466"/>
      <c r="AF447" s="466"/>
    </row>
    <row r="448" spans="1:32" s="132" customFormat="1" ht="22.5" customHeight="1">
      <c r="B448" s="2161" t="s">
        <v>1737</v>
      </c>
      <c r="C448" s="2647" t="s">
        <v>4987</v>
      </c>
      <c r="D448" s="2647"/>
      <c r="E448" s="2647"/>
      <c r="F448" s="2647"/>
      <c r="G448" s="2647"/>
      <c r="H448" s="2647"/>
      <c r="I448" s="2647"/>
      <c r="J448" s="2647"/>
      <c r="K448" s="2647"/>
      <c r="L448" s="2647"/>
      <c r="M448" s="2647"/>
      <c r="N448" s="2647"/>
      <c r="O448" s="160" t="s">
        <v>1737</v>
      </c>
      <c r="P448" s="3915" t="s">
        <v>5183</v>
      </c>
      <c r="Q448" s="2292"/>
      <c r="AE448" s="466"/>
      <c r="AF448" s="466"/>
    </row>
    <row r="449" spans="1:32" s="41" customFormat="1" ht="12" customHeight="1">
      <c r="B449" s="2161" t="s">
        <v>1738</v>
      </c>
      <c r="C449" s="35" t="s">
        <v>4988</v>
      </c>
      <c r="D449" s="1115"/>
      <c r="E449" s="1115"/>
      <c r="F449" s="1115"/>
      <c r="G449" s="1115"/>
      <c r="H449" s="1115"/>
      <c r="I449" s="1115"/>
      <c r="J449" s="1115"/>
      <c r="K449" s="1115"/>
      <c r="L449" s="1115"/>
      <c r="M449" s="1115"/>
      <c r="N449" s="1115"/>
      <c r="O449" s="463" t="s">
        <v>1738</v>
      </c>
      <c r="P449" s="3892" t="s">
        <v>5183</v>
      </c>
      <c r="Q449" s="535"/>
      <c r="AE449" s="49"/>
      <c r="AF449" s="49"/>
    </row>
    <row r="450" spans="1:32" s="132" customFormat="1" ht="33" customHeight="1">
      <c r="B450" s="477" t="s">
        <v>1739</v>
      </c>
      <c r="C450" s="2647" t="s">
        <v>4989</v>
      </c>
      <c r="D450" s="2647"/>
      <c r="E450" s="2647"/>
      <c r="F450" s="2647"/>
      <c r="G450" s="2647"/>
      <c r="H450" s="2647"/>
      <c r="I450" s="2647"/>
      <c r="J450" s="2647"/>
      <c r="K450" s="2647"/>
      <c r="L450" s="2647"/>
      <c r="M450" s="2647"/>
      <c r="N450" s="2647"/>
      <c r="O450" s="160" t="s">
        <v>1739</v>
      </c>
      <c r="P450" s="3915" t="s">
        <v>5183</v>
      </c>
      <c r="Q450" s="2292"/>
      <c r="AE450" s="466"/>
      <c r="AF450" s="466"/>
    </row>
    <row r="451" spans="1:32" s="132" customFormat="1" ht="22.5" customHeight="1">
      <c r="B451" s="477" t="s">
        <v>2366</v>
      </c>
      <c r="C451" s="2647" t="s">
        <v>4990</v>
      </c>
      <c r="D451" s="2647"/>
      <c r="E451" s="2647"/>
      <c r="F451" s="2647"/>
      <c r="G451" s="2647"/>
      <c r="H451" s="2647"/>
      <c r="I451" s="2647"/>
      <c r="J451" s="2647"/>
      <c r="K451" s="2647"/>
      <c r="L451" s="2647"/>
      <c r="M451" s="2647"/>
      <c r="N451" s="2647"/>
      <c r="O451" s="160" t="s">
        <v>2366</v>
      </c>
      <c r="P451" s="3915" t="s">
        <v>5183</v>
      </c>
      <c r="Q451" s="2292"/>
      <c r="AE451" s="466"/>
      <c r="AF451" s="466"/>
    </row>
    <row r="452" spans="1:32" s="132" customFormat="1" ht="22.5" customHeight="1">
      <c r="A452" s="141" t="s">
        <v>749</v>
      </c>
      <c r="B452" s="2647" t="s">
        <v>3937</v>
      </c>
      <c r="C452" s="2647"/>
      <c r="D452" s="2647"/>
      <c r="E452" s="2647"/>
      <c r="F452" s="2647"/>
      <c r="G452" s="2647"/>
      <c r="H452" s="2647"/>
      <c r="I452" s="2647"/>
      <c r="J452" s="2647"/>
      <c r="K452" s="2647"/>
      <c r="L452" s="2647"/>
      <c r="M452" s="2647"/>
      <c r="N452" s="2647"/>
      <c r="O452" s="160" t="s">
        <v>749</v>
      </c>
      <c r="P452" s="3915" t="s">
        <v>5183</v>
      </c>
      <c r="Q452" s="2292"/>
      <c r="AE452" s="466"/>
      <c r="AF452" s="466"/>
    </row>
    <row r="453" spans="1:32" s="132" customFormat="1" ht="22.5" customHeight="1">
      <c r="A453" s="141" t="s">
        <v>2116</v>
      </c>
      <c r="B453" s="2647" t="s">
        <v>3938</v>
      </c>
      <c r="C453" s="2647"/>
      <c r="D453" s="2647"/>
      <c r="E453" s="2647"/>
      <c r="F453" s="2647"/>
      <c r="G453" s="2647"/>
      <c r="H453" s="2647"/>
      <c r="I453" s="2647"/>
      <c r="J453" s="2647"/>
      <c r="K453" s="2647"/>
      <c r="L453" s="2647"/>
      <c r="M453" s="2647"/>
      <c r="N453" s="2647"/>
      <c r="O453" s="160" t="s">
        <v>2116</v>
      </c>
      <c r="P453" s="3915" t="s">
        <v>5183</v>
      </c>
      <c r="Q453" s="2292"/>
      <c r="AE453" s="466"/>
      <c r="AF453" s="466"/>
    </row>
    <row r="454" spans="1:32" s="132" customFormat="1" ht="21.75" customHeight="1">
      <c r="A454" s="141" t="s">
        <v>1735</v>
      </c>
      <c r="B454" s="2647" t="s">
        <v>3939</v>
      </c>
      <c r="C454" s="2647"/>
      <c r="D454" s="2647"/>
      <c r="E454" s="2647"/>
      <c r="F454" s="2647"/>
      <c r="G454" s="2647"/>
      <c r="H454" s="2647"/>
      <c r="I454" s="2647"/>
      <c r="J454" s="2647"/>
      <c r="K454" s="2647"/>
      <c r="L454" s="2647"/>
      <c r="M454" s="2647"/>
      <c r="N454" s="2647"/>
      <c r="O454" s="160" t="s">
        <v>1735</v>
      </c>
      <c r="P454" s="3915" t="s">
        <v>5183</v>
      </c>
      <c r="Q454" s="2292"/>
      <c r="AE454" s="466"/>
      <c r="AF454" s="466"/>
    </row>
    <row r="455" spans="1:32" s="414" customFormat="1" ht="21.75" customHeight="1">
      <c r="A455" s="141" t="s">
        <v>1736</v>
      </c>
      <c r="B455" s="2647" t="s">
        <v>3477</v>
      </c>
      <c r="C455" s="2647"/>
      <c r="D455" s="2647"/>
      <c r="E455" s="2647"/>
      <c r="F455" s="2647"/>
      <c r="G455" s="2647"/>
      <c r="H455" s="2647"/>
      <c r="I455" s="2647"/>
      <c r="J455" s="2647"/>
      <c r="K455" s="2647"/>
      <c r="L455" s="2647"/>
      <c r="M455" s="2647"/>
      <c r="N455" s="2647"/>
      <c r="O455" s="160" t="s">
        <v>1736</v>
      </c>
      <c r="P455" s="3926" t="s">
        <v>5183</v>
      </c>
      <c r="Q455" s="2296"/>
      <c r="AE455" s="468"/>
      <c r="AF455" s="468"/>
    </row>
    <row r="456" spans="1:32" ht="11.25" customHeight="1">
      <c r="B456" s="140" t="s">
        <v>3750</v>
      </c>
      <c r="D456" s="140"/>
      <c r="E456" s="140"/>
      <c r="F456" s="140"/>
      <c r="G456" s="140"/>
      <c r="H456" s="39"/>
      <c r="I456" s="2300"/>
      <c r="J456" s="2300"/>
      <c r="K456" s="2300"/>
      <c r="L456" s="2286"/>
      <c r="M456" s="2286"/>
      <c r="N456" s="2286"/>
      <c r="O456" s="2286"/>
      <c r="P456" s="2286"/>
      <c r="Q456" s="896"/>
    </row>
    <row r="457" spans="1:32" ht="22.5" customHeight="1">
      <c r="A457" s="3885" t="s">
        <v>5253</v>
      </c>
      <c r="B457" s="3886"/>
      <c r="C457" s="3886"/>
      <c r="D457" s="3886"/>
      <c r="E457" s="3886"/>
      <c r="F457" s="3886"/>
      <c r="G457" s="3886"/>
      <c r="H457" s="3886"/>
      <c r="I457" s="3886"/>
      <c r="J457" s="3886"/>
      <c r="K457" s="3886"/>
      <c r="L457" s="3886"/>
      <c r="M457" s="3886"/>
      <c r="N457" s="3886"/>
      <c r="O457" s="3886"/>
      <c r="P457" s="3886"/>
      <c r="Q457" s="3887"/>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7"/>
      <c r="E458" s="2297"/>
      <c r="F458" s="2297"/>
      <c r="G458" s="2297"/>
      <c r="H458" s="2297"/>
      <c r="I458" s="2297"/>
      <c r="J458" s="2297"/>
      <c r="K458" s="2297"/>
      <c r="L458" s="2297"/>
      <c r="M458" s="2297"/>
      <c r="N458" s="2297"/>
      <c r="O458" s="2297"/>
      <c r="P458" s="2297"/>
      <c r="Q458" s="2297"/>
    </row>
    <row r="459" spans="1:32" ht="22.5" customHeight="1">
      <c r="A459" s="2621"/>
      <c r="B459" s="2622"/>
      <c r="C459" s="2622"/>
      <c r="D459" s="2622"/>
      <c r="E459" s="2622"/>
      <c r="F459" s="2622"/>
      <c r="G459" s="2622"/>
      <c r="H459" s="2622"/>
      <c r="I459" s="2622"/>
      <c r="J459" s="2622"/>
      <c r="K459" s="2622"/>
      <c r="L459" s="2622"/>
      <c r="M459" s="2622"/>
      <c r="N459" s="2622"/>
      <c r="O459" s="2622"/>
      <c r="P459" s="2622"/>
      <c r="Q459" s="2623"/>
    </row>
    <row r="460" spans="1:32" ht="3" customHeight="1">
      <c r="A460" s="2286"/>
      <c r="B460" s="2300"/>
      <c r="C460" s="2297"/>
      <c r="D460" s="2297"/>
      <c r="E460" s="2297"/>
      <c r="F460" s="2297"/>
      <c r="G460" s="2297"/>
      <c r="H460" s="2297"/>
      <c r="I460" s="2297"/>
      <c r="J460" s="2297"/>
      <c r="K460" s="2297"/>
      <c r="L460" s="2297"/>
      <c r="M460" s="2297"/>
      <c r="Q460" s="896"/>
    </row>
    <row r="461" spans="1:32" s="42" customFormat="1" ht="12.75" customHeight="1">
      <c r="A461" s="2283" t="s">
        <v>4784</v>
      </c>
      <c r="C461" s="9" t="s">
        <v>2720</v>
      </c>
      <c r="D461" s="57"/>
      <c r="E461" s="51"/>
      <c r="J461" s="60"/>
      <c r="M461" s="2285"/>
      <c r="N461" s="5"/>
      <c r="O461" s="131" t="s">
        <v>1868</v>
      </c>
      <c r="P461" s="2624"/>
      <c r="Q461" s="2625"/>
    </row>
    <row r="462" spans="1:32" s="147" customFormat="1" ht="12" customHeight="1">
      <c r="A462" s="620"/>
      <c r="B462" s="620" t="s">
        <v>4792</v>
      </c>
      <c r="C462" s="620"/>
      <c r="D462" s="620"/>
      <c r="E462" s="620"/>
      <c r="F462" s="620"/>
      <c r="G462" s="620"/>
      <c r="H462" s="620"/>
      <c r="I462" s="620"/>
      <c r="J462" s="620"/>
      <c r="K462" s="620"/>
      <c r="L462" s="620"/>
      <c r="M462" s="620"/>
      <c r="N462" s="620"/>
      <c r="O462" s="620"/>
      <c r="P462" s="3891" t="s">
        <v>2993</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3893" t="s">
        <v>5254</v>
      </c>
      <c r="Q463" s="536"/>
      <c r="AE463" s="467"/>
      <c r="AF463" s="467"/>
    </row>
    <row r="464" spans="1:32" s="42" customFormat="1" ht="12" customHeight="1" thickBot="1">
      <c r="A464" s="46" t="s">
        <v>1984</v>
      </c>
      <c r="B464" s="86" t="s">
        <v>4785</v>
      </c>
      <c r="D464" s="32"/>
      <c r="E464" s="32"/>
      <c r="F464" s="32"/>
      <c r="O464" s="463" t="s">
        <v>1984</v>
      </c>
    </row>
    <row r="465" spans="1:31" s="412" customFormat="1" ht="15" customHeight="1" thickBot="1">
      <c r="A465" s="141"/>
      <c r="B465" s="440" t="s">
        <v>1987</v>
      </c>
      <c r="C465" s="2647" t="s">
        <v>4911</v>
      </c>
      <c r="D465" s="2647"/>
      <c r="E465" s="2647"/>
      <c r="F465" s="2647"/>
      <c r="G465" s="2647"/>
      <c r="H465" s="2647"/>
      <c r="I465" s="2647"/>
      <c r="J465" s="2647"/>
      <c r="K465" s="2626" t="s">
        <v>5038</v>
      </c>
      <c r="L465" s="2198" t="s">
        <v>4787</v>
      </c>
      <c r="M465" s="2204"/>
      <c r="N465" s="2199">
        <f>ROUNDUP('Part VI-Revenues &amp; Expenses'!$O$63*0.1,0)</f>
        <v>9</v>
      </c>
      <c r="O465" s="390" t="s">
        <v>1987</v>
      </c>
      <c r="P465" s="4023" t="s">
        <v>5183</v>
      </c>
      <c r="Q465" s="2753"/>
      <c r="R465" s="2196"/>
      <c r="S465" s="2196"/>
    </row>
    <row r="466" spans="1:31" s="412" customFormat="1" ht="15" customHeight="1">
      <c r="A466" s="141"/>
      <c r="B466" s="440"/>
      <c r="C466" s="2647"/>
      <c r="D466" s="2647"/>
      <c r="E466" s="2647"/>
      <c r="F466" s="2647"/>
      <c r="G466" s="2647"/>
      <c r="H466" s="2647"/>
      <c r="I466" s="2647"/>
      <c r="J466" s="2647"/>
      <c r="K466" s="2627"/>
      <c r="L466" s="2193" t="s">
        <v>5039</v>
      </c>
      <c r="M466" s="2205"/>
      <c r="N466" s="2197">
        <f>'Part VI-Revenues &amp; Expenses'!$O$63</f>
        <v>84</v>
      </c>
      <c r="P466" s="3965"/>
      <c r="Q466" s="2648"/>
      <c r="R466" s="2196"/>
      <c r="S466" s="2196"/>
    </row>
    <row r="467" spans="1:31" s="412" customFormat="1" ht="15" customHeight="1">
      <c r="A467" s="141"/>
      <c r="B467" s="440"/>
      <c r="C467" s="2647"/>
      <c r="D467" s="2647"/>
      <c r="E467" s="2647"/>
      <c r="F467" s="2647"/>
      <c r="G467" s="2647"/>
      <c r="H467" s="2647"/>
      <c r="I467" s="2647"/>
      <c r="J467" s="2647"/>
      <c r="K467" s="2195">
        <f>'Part VI-Revenues &amp; Expenses'!$O$88</f>
        <v>0</v>
      </c>
      <c r="L467" s="1208" t="s">
        <v>4789</v>
      </c>
      <c r="M467" s="2206"/>
      <c r="N467" s="2129">
        <f>'Part VI-Revenues &amp; Expenses'!$O$67</f>
        <v>84</v>
      </c>
      <c r="P467" s="3965"/>
      <c r="Q467" s="2648"/>
    </row>
    <row r="468" spans="1:31" s="436" customFormat="1" ht="22.5" customHeight="1">
      <c r="A468" s="525"/>
      <c r="B468" s="440" t="s">
        <v>1989</v>
      </c>
      <c r="C468" s="2647" t="s">
        <v>4912</v>
      </c>
      <c r="D468" s="2647"/>
      <c r="E468" s="2647"/>
      <c r="F468" s="2647"/>
      <c r="G468" s="2647"/>
      <c r="H468" s="2647"/>
      <c r="I468" s="2647"/>
      <c r="J468" s="2647"/>
      <c r="K468" s="587"/>
      <c r="L468" s="587"/>
      <c r="M468" s="587"/>
      <c r="O468" s="390" t="s">
        <v>1989</v>
      </c>
      <c r="P468" s="3915" t="s">
        <v>2990</v>
      </c>
      <c r="Q468" s="2292"/>
    </row>
    <row r="469" spans="1:31" s="436" customFormat="1" ht="12" customHeight="1" thickBot="1">
      <c r="A469" s="525"/>
      <c r="B469" s="440" t="s">
        <v>2535</v>
      </c>
      <c r="C469" s="2647" t="s">
        <v>4913</v>
      </c>
      <c r="D469" s="2647"/>
      <c r="E469" s="2647"/>
      <c r="F469" s="2647"/>
      <c r="G469" s="2647"/>
      <c r="H469" s="2647"/>
      <c r="I469" s="587"/>
      <c r="J469" s="1115" t="s">
        <v>4790</v>
      </c>
      <c r="K469" s="2130">
        <f>'Part VI-Revenues &amp; Expenses'!$O$103</f>
        <v>84</v>
      </c>
      <c r="L469" s="1207" t="s">
        <v>4788</v>
      </c>
      <c r="M469" s="2201"/>
      <c r="N469" s="2194">
        <f>ROUNDUP(N467*0.1,0)</f>
        <v>9</v>
      </c>
      <c r="O469" s="390" t="s">
        <v>2535</v>
      </c>
      <c r="P469" s="3965" t="s">
        <v>2990</v>
      </c>
      <c r="Q469" s="2648"/>
      <c r="R469" s="2196"/>
      <c r="S469" s="2196"/>
    </row>
    <row r="470" spans="1:31" s="436" customFormat="1" ht="12" customHeight="1" thickBot="1">
      <c r="A470" s="525"/>
      <c r="B470" s="440"/>
      <c r="C470" s="2647"/>
      <c r="D470" s="2647"/>
      <c r="E470" s="2647"/>
      <c r="F470" s="2647"/>
      <c r="G470" s="2647"/>
      <c r="H470" s="2647"/>
      <c r="I470" s="587"/>
      <c r="J470" s="1115" t="s">
        <v>4791</v>
      </c>
      <c r="K470" s="2131">
        <f>IF(N467=0,"",K469/N467)</f>
        <v>1</v>
      </c>
      <c r="L470" s="2202" t="s">
        <v>5037</v>
      </c>
      <c r="M470" s="2203"/>
      <c r="N470" s="2200">
        <f>'Part VI-Revenues &amp; Expenses'!$K$67/'Part VI-Revenues &amp; Expenses'!$O$67</f>
        <v>0.14285714285714285</v>
      </c>
      <c r="O470" s="390" t="str">
        <f>IF(AND(N470&lt;0.1,P469="Yes"), "Check!","")</f>
        <v/>
      </c>
      <c r="P470" s="4024"/>
      <c r="Q470" s="2749"/>
      <c r="R470" s="2196"/>
      <c r="S470" s="2196"/>
    </row>
    <row r="471" spans="1:31" s="42" customFormat="1" ht="12" customHeight="1">
      <c r="A471" s="46" t="s">
        <v>1986</v>
      </c>
      <c r="B471" s="86" t="s">
        <v>4914</v>
      </c>
      <c r="D471" s="39"/>
      <c r="G471" s="35"/>
      <c r="M471" s="5"/>
      <c r="R471" s="376"/>
    </row>
    <row r="472" spans="1:31" s="412" customFormat="1" ht="21.75" customHeight="1">
      <c r="A472" s="141"/>
      <c r="B472" s="2647" t="s">
        <v>4915</v>
      </c>
      <c r="C472" s="2647"/>
      <c r="D472" s="2647"/>
      <c r="E472" s="2647"/>
      <c r="F472" s="2647"/>
      <c r="G472" s="2647"/>
      <c r="H472" s="2647"/>
      <c r="I472" s="2647"/>
      <c r="J472" s="2647"/>
      <c r="K472" s="2647"/>
      <c r="L472" s="2647"/>
      <c r="M472" s="2647"/>
      <c r="N472" s="2647"/>
      <c r="O472" s="160" t="s">
        <v>1986</v>
      </c>
      <c r="P472" s="3966" t="s">
        <v>5255</v>
      </c>
      <c r="Q472" s="1150"/>
      <c r="R472" s="511"/>
    </row>
    <row r="473" spans="1:31" s="42" customFormat="1" ht="11.25" customHeight="1">
      <c r="A473" s="41"/>
      <c r="B473" s="95" t="s">
        <v>3750</v>
      </c>
      <c r="C473" s="41"/>
      <c r="D473" s="47"/>
      <c r="E473" s="47"/>
      <c r="F473" s="47"/>
      <c r="G473" s="47"/>
      <c r="H473" s="35"/>
      <c r="I473" s="35"/>
      <c r="J473" s="35"/>
      <c r="K473" s="35"/>
      <c r="M473" s="45"/>
      <c r="N473" s="61"/>
      <c r="O473" s="2"/>
      <c r="P473" s="2288"/>
    </row>
    <row r="474" spans="1:31" s="42" customFormat="1" ht="25.9" customHeight="1">
      <c r="A474" s="3885" t="s">
        <v>5262</v>
      </c>
      <c r="B474" s="3886"/>
      <c r="C474" s="3886"/>
      <c r="D474" s="3886"/>
      <c r="E474" s="3886"/>
      <c r="F474" s="3886"/>
      <c r="G474" s="3886"/>
      <c r="H474" s="3886"/>
      <c r="I474" s="3886"/>
      <c r="J474" s="3886"/>
      <c r="K474" s="3886"/>
      <c r="L474" s="3886"/>
      <c r="M474" s="3886"/>
      <c r="N474" s="3886"/>
      <c r="O474" s="3886"/>
      <c r="P474" s="3886"/>
      <c r="Q474" s="3887"/>
      <c r="R474" s="1074" t="s">
        <v>1254</v>
      </c>
    </row>
    <row r="475" spans="1:31" s="42" customFormat="1" ht="10.5" customHeight="1">
      <c r="B475" s="85" t="s">
        <v>1867</v>
      </c>
      <c r="C475" s="98"/>
      <c r="D475" s="85"/>
      <c r="E475" s="99"/>
      <c r="F475" s="2297"/>
      <c r="G475" s="2297"/>
      <c r="H475" s="2297"/>
      <c r="I475" s="2297"/>
      <c r="J475" s="2297"/>
      <c r="K475" s="2297"/>
      <c r="L475" s="2297"/>
      <c r="M475" s="2297"/>
      <c r="N475" s="74"/>
      <c r="O475" s="70"/>
      <c r="P475" s="2285"/>
      <c r="Q475" s="426"/>
    </row>
    <row r="476" spans="1:31" s="42" customFormat="1" ht="11.25" customHeight="1">
      <c r="A476" s="2621"/>
      <c r="B476" s="2622"/>
      <c r="C476" s="2622"/>
      <c r="D476" s="2622"/>
      <c r="E476" s="2622"/>
      <c r="F476" s="2622"/>
      <c r="G476" s="2622"/>
      <c r="H476" s="2622"/>
      <c r="I476" s="2622"/>
      <c r="J476" s="2622"/>
      <c r="K476" s="2622"/>
      <c r="L476" s="2622"/>
      <c r="M476" s="2622"/>
      <c r="N476" s="2622"/>
      <c r="O476" s="2622"/>
      <c r="P476" s="2622"/>
      <c r="Q476" s="2623"/>
    </row>
    <row r="477" spans="1:31" ht="3" customHeight="1">
      <c r="A477" s="2286"/>
      <c r="B477" s="2300"/>
      <c r="C477" s="2297"/>
      <c r="D477" s="2297"/>
      <c r="E477" s="2297"/>
      <c r="F477" s="2297"/>
      <c r="G477" s="2297"/>
      <c r="H477" s="2297"/>
      <c r="I477" s="2297"/>
      <c r="J477" s="2297"/>
      <c r="K477" s="2297"/>
      <c r="L477" s="2297"/>
      <c r="M477" s="2297"/>
      <c r="N477" s="2297"/>
      <c r="O477" s="2297"/>
      <c r="P477" s="2297"/>
      <c r="Q477" s="2286"/>
    </row>
    <row r="478" spans="1:31" ht="13.9" customHeight="1">
      <c r="A478" s="2283" t="s">
        <v>4786</v>
      </c>
      <c r="B478" s="3"/>
      <c r="C478" s="3" t="s">
        <v>2671</v>
      </c>
      <c r="D478" s="86"/>
      <c r="E478" s="2297"/>
      <c r="F478" s="2297"/>
      <c r="G478" s="2297"/>
      <c r="H478" s="2297"/>
      <c r="I478" s="2297"/>
      <c r="J478" s="2297"/>
      <c r="K478" s="2297"/>
      <c r="L478" s="2297"/>
      <c r="M478" s="2297"/>
      <c r="O478" s="131" t="s">
        <v>1868</v>
      </c>
      <c r="P478" s="2624"/>
      <c r="Q478" s="2625"/>
    </row>
    <row r="479" spans="1:31" ht="11.25" customHeight="1">
      <c r="A479" s="2283"/>
      <c r="B479" s="140" t="s">
        <v>3750</v>
      </c>
      <c r="D479" s="140"/>
      <c r="E479" s="140"/>
      <c r="F479" s="140"/>
      <c r="G479" s="140"/>
      <c r="H479" s="39"/>
      <c r="I479" s="2300"/>
      <c r="J479" s="2300"/>
      <c r="K479" s="2300"/>
      <c r="L479" s="2286"/>
      <c r="M479" s="2286"/>
      <c r="N479" s="2286"/>
      <c r="O479" s="2286"/>
      <c r="P479" s="2286"/>
      <c r="Q479" s="896"/>
    </row>
    <row r="480" spans="1:31" ht="22.5" customHeight="1">
      <c r="A480" s="3885" t="s">
        <v>5290</v>
      </c>
      <c r="B480" s="3886"/>
      <c r="C480" s="3886"/>
      <c r="D480" s="3886"/>
      <c r="E480" s="3886"/>
      <c r="F480" s="3886"/>
      <c r="G480" s="3886"/>
      <c r="H480" s="3886"/>
      <c r="I480" s="3886"/>
      <c r="J480" s="3886"/>
      <c r="K480" s="3886"/>
      <c r="L480" s="3886"/>
      <c r="M480" s="3886"/>
      <c r="N480" s="3886"/>
      <c r="O480" s="3886"/>
      <c r="P480" s="3886"/>
      <c r="Q480" s="3887"/>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7"/>
      <c r="E481" s="2297"/>
      <c r="F481" s="2297"/>
      <c r="G481" s="2297"/>
      <c r="H481" s="2297"/>
      <c r="I481" s="2297"/>
      <c r="J481" s="2297"/>
      <c r="K481" s="2297"/>
      <c r="L481" s="2297"/>
      <c r="M481" s="2297"/>
      <c r="N481" s="2297"/>
      <c r="O481" s="2297"/>
      <c r="P481" s="2297"/>
      <c r="Q481" s="2297"/>
    </row>
    <row r="482" spans="1:32" ht="22.5" customHeight="1">
      <c r="A482" s="2621"/>
      <c r="B482" s="2622"/>
      <c r="C482" s="2622"/>
      <c r="D482" s="2622"/>
      <c r="E482" s="2622"/>
      <c r="F482" s="2622"/>
      <c r="G482" s="2622"/>
      <c r="H482" s="2622"/>
      <c r="I482" s="2622"/>
      <c r="J482" s="2622"/>
      <c r="K482" s="2622"/>
      <c r="L482" s="2622"/>
      <c r="M482" s="2622"/>
      <c r="N482" s="2622"/>
      <c r="O482" s="2622"/>
      <c r="P482" s="2622"/>
      <c r="Q482" s="2623"/>
    </row>
    <row r="483" spans="1:32" ht="3" customHeight="1">
      <c r="A483" s="2286"/>
      <c r="B483" s="2300"/>
      <c r="C483" s="2297"/>
      <c r="D483" s="2297"/>
      <c r="E483" s="2297"/>
      <c r="F483" s="2297"/>
      <c r="G483" s="2297"/>
      <c r="H483" s="2297"/>
      <c r="I483" s="2297"/>
      <c r="J483" s="2297"/>
      <c r="K483" s="2297"/>
      <c r="L483" s="2297"/>
      <c r="M483" s="2297"/>
      <c r="N483" s="2297"/>
      <c r="O483" s="2297"/>
      <c r="P483" s="2297"/>
      <c r="Q483" s="2286"/>
    </row>
    <row r="484" spans="1:32" ht="3" customHeight="1">
      <c r="A484" s="2286"/>
      <c r="B484" s="2300"/>
      <c r="C484" s="2297"/>
      <c r="D484" s="2297"/>
      <c r="E484" s="2297"/>
      <c r="F484" s="2297"/>
      <c r="G484" s="2297"/>
      <c r="H484" s="2297"/>
      <c r="I484" s="2297"/>
      <c r="J484" s="2297"/>
      <c r="K484" s="2297"/>
      <c r="L484" s="2297"/>
      <c r="M484" s="2297"/>
      <c r="N484" s="2297"/>
      <c r="O484" s="2297"/>
      <c r="P484" s="2297"/>
      <c r="Q484" s="2286"/>
    </row>
    <row r="485" spans="1:32" ht="13.9" customHeight="1">
      <c r="A485" s="2283" t="s">
        <v>4794</v>
      </c>
      <c r="B485" s="3"/>
      <c r="C485" s="3" t="s">
        <v>4964</v>
      </c>
      <c r="D485" s="86"/>
      <c r="E485" s="2297"/>
      <c r="F485" s="2297"/>
      <c r="G485" s="2297"/>
      <c r="H485" s="2297"/>
      <c r="I485" s="2297"/>
      <c r="J485" s="2297"/>
      <c r="K485" s="2297"/>
      <c r="L485" s="2297"/>
      <c r="M485" s="2297"/>
      <c r="O485" s="131" t="s">
        <v>1868</v>
      </c>
      <c r="P485" s="2624"/>
      <c r="Q485" s="2625"/>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4916</v>
      </c>
      <c r="D487" s="60"/>
      <c r="E487" s="60"/>
      <c r="F487" s="43"/>
      <c r="G487" s="26"/>
      <c r="K487" s="463"/>
      <c r="M487" s="6"/>
      <c r="N487" s="463"/>
      <c r="P487" s="3897" t="s">
        <v>2990</v>
      </c>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1.25">
      <c r="B502" s="1043"/>
      <c r="C502" s="1043" t="s">
        <v>2090</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1.25">
      <c r="B503" s="1043"/>
      <c r="C503" s="1042" t="s">
        <v>2545</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1.25">
      <c r="B504" s="1043"/>
      <c r="C504" s="1042" t="s">
        <v>2091</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1.25">
      <c r="B505" s="1043"/>
      <c r="C505" s="1042" t="s">
        <v>2092</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1.25">
      <c r="B506" s="1043"/>
      <c r="C506" s="1050" t="s">
        <v>2093</v>
      </c>
      <c r="D506" s="1042"/>
      <c r="E506" s="1042"/>
      <c r="F506" s="1042"/>
      <c r="G506" s="1042"/>
      <c r="H506" s="1042"/>
      <c r="I506" s="1042"/>
      <c r="J506" s="2133" t="s">
        <v>2105</v>
      </c>
      <c r="K506" s="1042"/>
      <c r="L506" s="1043"/>
      <c r="M506" s="1043"/>
      <c r="N506" s="1044"/>
      <c r="O506" s="1043" t="s">
        <v>3863</v>
      </c>
      <c r="P506" s="1045"/>
      <c r="AE506" s="438"/>
      <c r="AF506" s="438"/>
    </row>
    <row r="507" spans="1:32" s="431" customFormat="1" ht="11.25">
      <c r="B507" s="1043"/>
      <c r="C507" s="1050" t="s">
        <v>2094</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1.25">
      <c r="B510" s="1043"/>
      <c r="C510" s="1046" t="s">
        <v>1390</v>
      </c>
      <c r="D510" s="1042"/>
      <c r="E510" s="1042"/>
      <c r="F510" s="1042"/>
      <c r="G510" s="1042"/>
      <c r="H510" s="1042"/>
      <c r="I510" s="1042"/>
      <c r="J510" s="2132" t="s">
        <v>2106</v>
      </c>
      <c r="K510" s="1042"/>
      <c r="L510" s="1043"/>
      <c r="M510" s="1043"/>
      <c r="N510" s="1044"/>
      <c r="O510" s="1043" t="s">
        <v>3837</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1.25">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1.25">
      <c r="B525" s="1042"/>
      <c r="C525" s="1042" t="s">
        <v>2090</v>
      </c>
      <c r="D525" s="1042"/>
      <c r="E525" s="1043"/>
      <c r="F525" s="1043"/>
      <c r="G525" s="1043"/>
      <c r="H525" s="1043"/>
      <c r="I525" s="1043"/>
      <c r="J525" s="1043" t="s">
        <v>3767</v>
      </c>
      <c r="K525" s="1043"/>
      <c r="L525" s="1043"/>
      <c r="M525" s="1043"/>
      <c r="N525" s="1042"/>
      <c r="O525" s="1042"/>
      <c r="P525" s="1042"/>
      <c r="AE525" s="415"/>
      <c r="AF525" s="415"/>
    </row>
    <row r="526" spans="2:32" s="54" customFormat="1" ht="11.25">
      <c r="B526" s="1042"/>
      <c r="C526" s="1042" t="s">
        <v>2545</v>
      </c>
      <c r="D526" s="1043"/>
      <c r="E526" s="1043"/>
      <c r="F526" s="1043"/>
      <c r="G526" s="1043"/>
      <c r="H526" s="1042"/>
      <c r="I526" s="1043"/>
      <c r="J526" s="1043" t="s">
        <v>3768</v>
      </c>
      <c r="K526" s="1043"/>
      <c r="L526" s="1043"/>
      <c r="M526" s="1043"/>
      <c r="N526" s="1042"/>
      <c r="O526" s="1042"/>
      <c r="P526" s="1042"/>
      <c r="AE526" s="415"/>
      <c r="AF526" s="415"/>
    </row>
    <row r="527" spans="2:32" s="54" customFormat="1" ht="11.25">
      <c r="B527" s="1042"/>
      <c r="C527" s="1042" t="s">
        <v>2091</v>
      </c>
      <c r="D527" s="1043"/>
      <c r="E527" s="1043"/>
      <c r="F527" s="1043"/>
      <c r="G527" s="1043"/>
      <c r="H527" s="1043"/>
      <c r="I527" s="1043"/>
      <c r="J527" s="1043" t="s">
        <v>4766</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1.25">
      <c r="B529" s="1042"/>
      <c r="C529" s="1050" t="s">
        <v>2012</v>
      </c>
      <c r="D529" s="1043"/>
      <c r="E529" s="1043"/>
      <c r="F529" s="1043"/>
      <c r="G529" s="1043"/>
      <c r="H529" s="1042"/>
      <c r="I529" s="1043"/>
      <c r="J529" s="1043" t="s">
        <v>4767</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2678</v>
      </c>
      <c r="D564" s="1042"/>
      <c r="E564" s="1042"/>
      <c r="F564" s="1042"/>
      <c r="G564" s="1042"/>
      <c r="H564" s="1042"/>
      <c r="I564" s="1042"/>
      <c r="J564" s="1042"/>
      <c r="K564" s="1042" t="s">
        <v>3762</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4918</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1.25">
      <c r="B571" s="1042"/>
      <c r="C571" s="1042" t="s">
        <v>2119</v>
      </c>
      <c r="D571" s="1042"/>
      <c r="E571" s="1042"/>
      <c r="F571" s="1042"/>
      <c r="G571" s="1042"/>
      <c r="H571" s="1042"/>
      <c r="I571" s="1042"/>
      <c r="J571" s="1042"/>
      <c r="K571" s="1042" t="s">
        <v>4919</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4971</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2090</v>
      </c>
      <c r="D582" s="1042"/>
      <c r="E582" s="1042"/>
      <c r="F582" s="1042"/>
      <c r="G582" s="1042"/>
      <c r="H582" s="1042"/>
      <c r="I582" s="1042"/>
      <c r="J582" s="1042"/>
      <c r="K582" s="1042"/>
      <c r="L582" s="1042"/>
      <c r="M582" s="1042" t="s">
        <v>4968</v>
      </c>
      <c r="N582" s="1042"/>
      <c r="O582" s="1042"/>
      <c r="P582" s="1042"/>
      <c r="AE582" s="415"/>
      <c r="AF582" s="415"/>
    </row>
    <row r="583" spans="2:32" s="54" customFormat="1" ht="11.25">
      <c r="B583" s="1042"/>
      <c r="C583" s="1042" t="s">
        <v>2545</v>
      </c>
      <c r="D583" s="1042"/>
      <c r="E583" s="1042"/>
      <c r="F583" s="1042"/>
      <c r="G583" s="1042"/>
      <c r="H583" s="1042"/>
      <c r="I583" s="1042"/>
      <c r="J583" s="1042"/>
      <c r="K583" s="1042"/>
      <c r="L583" s="1042"/>
      <c r="M583" s="1042" t="s">
        <v>5005</v>
      </c>
      <c r="N583" s="1042"/>
      <c r="O583" s="1042"/>
      <c r="P583" s="1042"/>
      <c r="AE583" s="415"/>
      <c r="AF583" s="415"/>
    </row>
    <row r="584" spans="2:32" s="54" customFormat="1" ht="11.25">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1950</v>
      </c>
      <c r="D585" s="1042"/>
      <c r="E585" s="1042"/>
      <c r="F585" s="1042"/>
      <c r="G585" s="1042"/>
      <c r="H585" s="1042"/>
      <c r="I585" s="1042"/>
      <c r="J585" s="1042"/>
      <c r="K585" s="1042"/>
      <c r="L585" s="1042"/>
      <c r="M585" s="1042" t="s">
        <v>4969</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5067</v>
      </c>
      <c r="N586" s="1042"/>
      <c r="O586" s="1042"/>
      <c r="P586" s="1042"/>
      <c r="AE586" s="415"/>
      <c r="AF586" s="415"/>
    </row>
    <row r="587" spans="2:32" s="54" customFormat="1" ht="11.25">
      <c r="B587" s="1042"/>
      <c r="C587" s="1042" t="s">
        <v>2196</v>
      </c>
      <c r="D587" s="1042"/>
      <c r="E587" s="1042"/>
      <c r="F587" s="1042"/>
      <c r="G587" s="1042"/>
      <c r="H587" s="1042"/>
      <c r="I587" s="1042"/>
      <c r="J587" s="1042"/>
      <c r="K587" s="1042"/>
      <c r="L587" s="1042"/>
      <c r="M587" s="2135" t="s">
        <v>5068</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4970</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3CfMntH17WTUFGJBizGrIeYt7LMxdUYgMjqzDY9ByVccuYzt26LXrCO6ykqkzbQa/jqXQ14OeFQIHlvtTrjzxA==" saltValue="dznaZinKS6kRdbp1Xm/e3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3" priority="5" stopIfTrue="1" operator="greaterThan">
      <formula>0</formula>
    </cfRule>
  </conditionalFormatting>
  <conditionalFormatting sqref="R40:R42">
    <cfRule type="cellIs" dxfId="182" priority="4" stopIfTrue="1" operator="greaterThan">
      <formula>0</formula>
    </cfRule>
  </conditionalFormatting>
  <conditionalFormatting sqref="R472">
    <cfRule type="cellIs" dxfId="181" priority="2" stopIfTrue="1" operator="equal">
      <formula>"* * Check Score! * *"</formula>
    </cfRule>
  </conditionalFormatting>
  <conditionalFormatting sqref="L486:R486">
    <cfRule type="cellIs" dxfId="180"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05" zoomScale="159" zoomScaleNormal="159" zoomScalePageLayoutView="159" workbookViewId="0">
      <selection activeCell="A205" sqref="A1:XFD1048576"/>
    </sheetView>
  </sheetViews>
  <sheetFormatPr defaultColWidth="9.140625" defaultRowHeight="12.75"/>
  <cols>
    <col min="1" max="1" width="4.140625" style="26" customWidth="1"/>
    <col min="2" max="2" width="3.42578125" style="26" customWidth="1"/>
    <col min="3" max="3" width="10.42578125" style="26" customWidth="1"/>
    <col min="4" max="4" width="10.140625" style="26" customWidth="1"/>
    <col min="5" max="5" width="6.140625" style="26" customWidth="1"/>
    <col min="6" max="6" width="9.140625" style="26" customWidth="1"/>
    <col min="7" max="9" width="11.42578125" style="26" customWidth="1"/>
    <col min="10" max="10" width="9.140625" style="26" customWidth="1"/>
    <col min="11" max="11" width="11.7109375" style="26" customWidth="1"/>
    <col min="12" max="12" width="14.7109375" style="26" customWidth="1"/>
    <col min="13" max="13" width="6.7109375" style="26" customWidth="1"/>
    <col min="14" max="14" width="2.7109375" style="75" customWidth="1"/>
    <col min="15" max="16" width="5.7109375" style="2281" customWidth="1"/>
    <col min="17" max="17" width="6" style="26" customWidth="1"/>
    <col min="18" max="21" width="9.140625" style="26" customWidth="1"/>
    <col min="22" max="22" width="8.7109375" style="26" customWidth="1"/>
    <col min="23" max="16384" width="9.140625" style="26"/>
  </cols>
  <sheetData>
    <row r="1" spans="1:22" s="34" customFormat="1" ht="13.9" customHeight="1">
      <c r="A1" s="2446" t="str">
        <f>CONCATENATE("PART NINE - SCORING CRITERIA","  -  ",'Part I-Project Information'!$O$6," ",'Part I-Project Information'!$F$34,", ",'Part I-Project Information'!F38,", ",'Part I-Project Information'!J39," County")</f>
        <v>PART NINE - SCORING CRITERIA  -  2019-078 Abbington Sound, Kingsland, Camden County</v>
      </c>
      <c r="B1" s="2447"/>
      <c r="C1" s="2447"/>
      <c r="D1" s="2447"/>
      <c r="E1" s="2447"/>
      <c r="F1" s="2447"/>
      <c r="G1" s="2447"/>
      <c r="H1" s="2447"/>
      <c r="I1" s="2447"/>
      <c r="J1" s="2447"/>
      <c r="K1" s="2447"/>
      <c r="L1" s="2447"/>
      <c r="M1" s="2447"/>
      <c r="N1" s="2447"/>
      <c r="O1" s="2447"/>
      <c r="P1" s="2448"/>
      <c r="Q1" s="2158"/>
      <c r="R1" s="2158"/>
      <c r="S1" s="2158"/>
    </row>
    <row r="2" spans="1:22" s="34" customFormat="1" ht="4.1500000000000004" customHeight="1">
      <c r="A2" s="35"/>
      <c r="B2" s="35"/>
      <c r="C2" s="36"/>
      <c r="D2" s="35"/>
      <c r="E2" s="35"/>
      <c r="F2" s="35"/>
      <c r="G2" s="35"/>
      <c r="H2" s="35"/>
      <c r="I2" s="35"/>
      <c r="J2" s="35"/>
      <c r="K2" s="35"/>
      <c r="L2" s="35"/>
      <c r="M2" s="37"/>
      <c r="N2" s="72"/>
      <c r="O2" s="2285"/>
      <c r="P2" s="2285"/>
      <c r="Q2" s="2158"/>
      <c r="R2" s="2158"/>
      <c r="S2" s="2158"/>
    </row>
    <row r="3" spans="1:22" s="41" customFormat="1" ht="12" customHeight="1">
      <c r="A3" s="2878" t="s">
        <v>4938</v>
      </c>
      <c r="B3" s="2878"/>
      <c r="C3" s="2878"/>
      <c r="D3" s="2878"/>
      <c r="E3" s="2878"/>
      <c r="F3" s="2878"/>
      <c r="G3" s="2878"/>
      <c r="H3" s="2878"/>
      <c r="I3" s="2878"/>
      <c r="J3" s="2878"/>
      <c r="K3" s="2878"/>
      <c r="L3" s="2878"/>
      <c r="M3" s="1157" t="s">
        <v>2220</v>
      </c>
      <c r="N3" s="73"/>
      <c r="O3" s="83" t="s">
        <v>2219</v>
      </c>
      <c r="P3" s="1158" t="s">
        <v>256</v>
      </c>
      <c r="Q3" s="2158"/>
      <c r="R3" s="2158"/>
      <c r="S3" s="2158"/>
    </row>
    <row r="4" spans="1:22" s="43" customFormat="1" ht="12" customHeight="1">
      <c r="A4" s="2878"/>
      <c r="B4" s="2878"/>
      <c r="C4" s="2878"/>
      <c r="D4" s="2878"/>
      <c r="E4" s="2878"/>
      <c r="F4" s="2878"/>
      <c r="G4" s="2878"/>
      <c r="H4" s="2878"/>
      <c r="I4" s="2878"/>
      <c r="J4" s="2878"/>
      <c r="K4" s="2878"/>
      <c r="L4" s="2878"/>
      <c r="M4" s="1159" t="s">
        <v>93</v>
      </c>
      <c r="N4" s="84"/>
      <c r="O4" s="173" t="s">
        <v>2220</v>
      </c>
      <c r="P4" s="173" t="s">
        <v>2220</v>
      </c>
      <c r="Q4" s="2158"/>
      <c r="R4" s="2158"/>
      <c r="S4" s="2158"/>
      <c r="T4" s="41"/>
      <c r="U4" s="41"/>
      <c r="V4" s="41"/>
    </row>
    <row r="5" spans="1:22" s="43" customFormat="1" ht="3" customHeight="1" thickBot="1">
      <c r="A5" s="41"/>
      <c r="B5" s="41"/>
      <c r="C5" s="41"/>
      <c r="D5" s="41"/>
      <c r="E5" s="41"/>
      <c r="F5" s="41"/>
      <c r="G5" s="41"/>
      <c r="H5" s="41"/>
      <c r="I5" s="41"/>
      <c r="J5" s="41"/>
      <c r="K5" s="41"/>
      <c r="M5" s="91"/>
      <c r="N5" s="9"/>
      <c r="O5" s="887"/>
      <c r="P5" s="29"/>
      <c r="Q5" s="2158"/>
      <c r="R5" s="2158"/>
      <c r="S5" s="2158"/>
    </row>
    <row r="6" spans="1:22" s="43" customFormat="1" ht="12.75" customHeight="1" thickTop="1" thickBot="1">
      <c r="A6" s="41"/>
      <c r="B6" s="2873" t="str">
        <f>'Part I-Project Information'!$B$6</f>
        <v>April 2019 Final</v>
      </c>
      <c r="C6" s="2873"/>
      <c r="D6" s="2873"/>
      <c r="E6" s="2873"/>
      <c r="F6" s="2873"/>
      <c r="G6" s="469"/>
      <c r="H6" s="41"/>
      <c r="I6" s="41"/>
      <c r="J6" s="41"/>
      <c r="L6" s="69" t="s">
        <v>1226</v>
      </c>
      <c r="M6" s="268">
        <f>M448</f>
        <v>92</v>
      </c>
      <c r="N6" s="8"/>
      <c r="O6" s="1142">
        <f>O448</f>
        <v>53</v>
      </c>
      <c r="P6" s="1142">
        <f>P448</f>
        <v>20</v>
      </c>
      <c r="Q6" s="2158"/>
      <c r="R6" s="2158"/>
      <c r="S6" s="2158"/>
    </row>
    <row r="7" spans="1:22" s="42" customFormat="1" ht="3.4"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4901</v>
      </c>
      <c r="I8" s="66"/>
      <c r="J8" s="66"/>
      <c r="K8" s="66"/>
      <c r="L8" s="66"/>
      <c r="M8" s="2081" t="s">
        <v>4900</v>
      </c>
      <c r="N8" s="66"/>
      <c r="O8" s="4025"/>
      <c r="P8" s="2079">
        <f>IF(P10&lt;2,0,IF(AND(P10&gt;1,P10&lt;5),1,IF(P10&gt;4,P10-3)))</f>
        <v>0</v>
      </c>
      <c r="Q8" s="35" t="s">
        <v>4902</v>
      </c>
      <c r="R8" s="447"/>
      <c r="S8" s="157"/>
    </row>
    <row r="9" spans="1:22" s="42" customFormat="1" ht="3.4"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2903" t="s">
        <v>4169</v>
      </c>
      <c r="G10" s="2903"/>
      <c r="H10" s="2903"/>
      <c r="I10" s="2903"/>
      <c r="J10" s="2903"/>
      <c r="K10" s="2903"/>
      <c r="L10" s="2903"/>
      <c r="M10" s="2903"/>
      <c r="N10" s="2903"/>
      <c r="O10" s="2123" t="s">
        <v>4802</v>
      </c>
      <c r="P10" s="2124">
        <f>SUM(P11:P20)</f>
        <v>0</v>
      </c>
      <c r="Q10" s="2929" t="s">
        <v>5015</v>
      </c>
      <c r="R10" s="2929"/>
      <c r="S10" s="2929"/>
      <c r="T10" s="2929"/>
      <c r="U10" s="2929"/>
      <c r="V10" s="2929"/>
    </row>
    <row r="11" spans="1:22" s="41" customFormat="1" ht="11.25" customHeight="1">
      <c r="A11" s="1175" t="s">
        <v>742</v>
      </c>
      <c r="B11" s="1176" t="s">
        <v>4144</v>
      </c>
      <c r="C11" s="1177"/>
      <c r="D11" s="1178"/>
      <c r="E11" s="2113">
        <f>$O$61</f>
        <v>10</v>
      </c>
      <c r="F11" s="2904" t="str">
        <f>$A$67</f>
        <v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v>
      </c>
      <c r="G11" s="2905"/>
      <c r="H11" s="2905"/>
      <c r="I11" s="2905"/>
      <c r="J11" s="2905"/>
      <c r="K11" s="2905"/>
      <c r="L11" s="2905"/>
      <c r="M11" s="2905"/>
      <c r="N11" s="2905"/>
      <c r="O11" s="2905"/>
      <c r="P11" s="2142"/>
      <c r="Q11" s="2929"/>
      <c r="R11" s="2929"/>
      <c r="S11" s="2929"/>
      <c r="T11" s="2929"/>
      <c r="U11" s="2929"/>
      <c r="V11" s="2929"/>
    </row>
    <row r="12" spans="1:22" s="41" customFormat="1" ht="11.25" customHeight="1">
      <c r="A12" s="1179" t="s">
        <v>530</v>
      </c>
      <c r="B12" s="965" t="s">
        <v>4146</v>
      </c>
      <c r="C12" s="1085"/>
      <c r="D12" s="1180"/>
      <c r="E12" s="2114">
        <f>$O$153</f>
        <v>5</v>
      </c>
      <c r="F12" s="2870" t="str">
        <f>$A$185</f>
        <v>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v>
      </c>
      <c r="G12" s="2871"/>
      <c r="H12" s="2871"/>
      <c r="I12" s="2871"/>
      <c r="J12" s="2871"/>
      <c r="K12" s="2871"/>
      <c r="L12" s="2871"/>
      <c r="M12" s="2871"/>
      <c r="N12" s="2871"/>
      <c r="O12" s="2872"/>
      <c r="P12" s="2143"/>
      <c r="Q12" s="2931" t="str">
        <f>IF(OR($A$67="",$A$302="",$A$185="",$A$224="",$A$273="",$A$325="",$A$365="",$A$380="",$A$416="",$A$436=""),"Some Applicant Scoring Justification boxes are empty! Check to see if points claimed.","")</f>
        <v/>
      </c>
      <c r="R12" s="2932"/>
      <c r="S12" s="2932"/>
    </row>
    <row r="13" spans="1:22" s="41" customFormat="1" ht="11.25" customHeight="1">
      <c r="A13" s="1179" t="s">
        <v>772</v>
      </c>
      <c r="B13" s="965" t="s">
        <v>4147</v>
      </c>
      <c r="C13" s="1085"/>
      <c r="D13" s="1180"/>
      <c r="E13" s="2115">
        <f>$O$189</f>
        <v>0</v>
      </c>
      <c r="F13" s="2870" t="str">
        <f>$A$224</f>
        <v>This development is not pursuing points under Revitalization/Redevelopment Plans.</v>
      </c>
      <c r="G13" s="2871"/>
      <c r="H13" s="2871"/>
      <c r="I13" s="2871"/>
      <c r="J13" s="2871"/>
      <c r="K13" s="2871"/>
      <c r="L13" s="2871"/>
      <c r="M13" s="2871"/>
      <c r="N13" s="2871"/>
      <c r="O13" s="2872"/>
      <c r="P13" s="2143"/>
      <c r="Q13" s="2931"/>
      <c r="R13" s="2932"/>
      <c r="S13" s="2932"/>
    </row>
    <row r="14" spans="1:22" s="41" customFormat="1" ht="11.25" customHeight="1">
      <c r="A14" s="1185" t="s">
        <v>292</v>
      </c>
      <c r="B14" s="1186" t="s">
        <v>4148</v>
      </c>
      <c r="C14" s="1187"/>
      <c r="D14" s="1188"/>
      <c r="E14" s="2116" t="s">
        <v>1733</v>
      </c>
      <c r="F14" s="2906" t="str">
        <f>$A$273</f>
        <v>This development is not pursuing points under Community Transformation.</v>
      </c>
      <c r="G14" s="2907"/>
      <c r="H14" s="2907"/>
      <c r="I14" s="2907"/>
      <c r="J14" s="2907"/>
      <c r="K14" s="2907"/>
      <c r="L14" s="2907"/>
      <c r="M14" s="2907"/>
      <c r="N14" s="2907"/>
      <c r="O14" s="2908"/>
      <c r="P14" s="2143"/>
      <c r="Q14" s="2931"/>
      <c r="R14" s="2932"/>
      <c r="S14" s="2932"/>
    </row>
    <row r="15" spans="1:22" s="41" customFormat="1" ht="11.25" customHeight="1">
      <c r="A15" s="1179" t="s">
        <v>362</v>
      </c>
      <c r="B15" s="965" t="s">
        <v>3786</v>
      </c>
      <c r="C15" s="1085"/>
      <c r="D15" s="1180"/>
      <c r="E15" s="2114">
        <f>$O$298</f>
        <v>0</v>
      </c>
      <c r="F15" s="2870" t="str">
        <f>$A$302</f>
        <v>The development site is not located within a HUD Choise Neighborhood or Purpose Built Community.</v>
      </c>
      <c r="G15" s="2871"/>
      <c r="H15" s="2871"/>
      <c r="I15" s="2871"/>
      <c r="J15" s="2871"/>
      <c r="K15" s="2871"/>
      <c r="L15" s="2871"/>
      <c r="M15" s="2871"/>
      <c r="N15" s="2871"/>
      <c r="O15" s="2872"/>
      <c r="P15" s="2143"/>
      <c r="Q15" s="2931"/>
      <c r="R15" s="2932"/>
      <c r="S15" s="2932"/>
    </row>
    <row r="16" spans="1:22" s="41" customFormat="1" ht="11.25" customHeight="1">
      <c r="A16" s="1179" t="s">
        <v>4894</v>
      </c>
      <c r="B16" s="965" t="s">
        <v>4454</v>
      </c>
      <c r="C16" s="1085"/>
      <c r="D16" s="1180"/>
      <c r="E16" s="2116">
        <f>$O$306</f>
        <v>0</v>
      </c>
      <c r="F16" s="2870" t="str">
        <f>$A$325</f>
        <v>The development site is located within the boundary of the City of Kingsland, which last received a 9% Georgia Housing Credit award in 2016.  Therefore, it is not eligible for any points in this category.</v>
      </c>
      <c r="G16" s="2871"/>
      <c r="H16" s="2871"/>
      <c r="I16" s="2871"/>
      <c r="J16" s="2871"/>
      <c r="K16" s="2871"/>
      <c r="L16" s="2871"/>
      <c r="M16" s="2871"/>
      <c r="N16" s="2871"/>
      <c r="O16" s="2872"/>
      <c r="P16" s="2143"/>
      <c r="Q16" s="2931"/>
      <c r="R16" s="2932"/>
      <c r="S16" s="2932"/>
    </row>
    <row r="17" spans="1:19" s="41" customFormat="1" ht="11.25" customHeight="1">
      <c r="A17" s="1179" t="s">
        <v>2783</v>
      </c>
      <c r="B17" s="965" t="s">
        <v>4149</v>
      </c>
      <c r="C17" s="1085"/>
      <c r="D17" s="1180"/>
      <c r="E17" s="2116">
        <f>$O$359</f>
        <v>0</v>
      </c>
      <c r="F17" s="2867" t="str">
        <f>$A$365</f>
        <v xml:space="preserve">Applicant has elected to NOT assign its Bonus Point to the Abbington Sound application.       </v>
      </c>
      <c r="G17" s="2868"/>
      <c r="H17" s="2868"/>
      <c r="I17" s="2868"/>
      <c r="J17" s="2868"/>
      <c r="K17" s="2868"/>
      <c r="L17" s="2868"/>
      <c r="M17" s="2868"/>
      <c r="N17" s="2868"/>
      <c r="O17" s="2869"/>
      <c r="P17" s="2143"/>
      <c r="Q17" s="2931"/>
      <c r="R17" s="2932"/>
      <c r="S17" s="2932"/>
    </row>
    <row r="18" spans="1:19" s="41" customFormat="1" ht="11.25" customHeight="1">
      <c r="A18" s="1185" t="s">
        <v>2252</v>
      </c>
      <c r="B18" s="1186" t="s">
        <v>4150</v>
      </c>
      <c r="C18" s="1187"/>
      <c r="D18" s="1188"/>
      <c r="E18" s="2117">
        <f>O369</f>
        <v>0</v>
      </c>
      <c r="F18" s="2870" t="str">
        <f>$A$380</f>
        <v>Development site is located within a GICH alumni community (Camden County), but this community has not maintained the requirements necessary to be a current team.</v>
      </c>
      <c r="G18" s="2871"/>
      <c r="H18" s="2871"/>
      <c r="I18" s="2871"/>
      <c r="J18" s="2871"/>
      <c r="K18" s="2871"/>
      <c r="L18" s="2871"/>
      <c r="M18" s="2871"/>
      <c r="N18" s="2871"/>
      <c r="O18" s="2872"/>
      <c r="P18" s="2143"/>
      <c r="Q18" s="2931"/>
      <c r="R18" s="2932"/>
      <c r="S18" s="2932"/>
    </row>
    <row r="19" spans="1:19" s="41" customFormat="1" ht="11.25" customHeight="1">
      <c r="A19" s="1179" t="s">
        <v>4097</v>
      </c>
      <c r="B19" s="965" t="s">
        <v>4151</v>
      </c>
      <c r="C19" s="1085"/>
      <c r="D19" s="1180"/>
      <c r="E19" s="2114">
        <f>$O$384</f>
        <v>2</v>
      </c>
      <c r="F19" s="2870" t="str">
        <f>$A$416</f>
        <v>The development team has agreed to defer $805,706 of developer fee, which is a qualifying source of favorable financing under the scoring criteria of the CDBG-DR NOFA.  This deferred fee amount represents 5.0661% of the total development cost.</v>
      </c>
      <c r="G19" s="2871"/>
      <c r="H19" s="2871"/>
      <c r="I19" s="2871"/>
      <c r="J19" s="2871"/>
      <c r="K19" s="2871"/>
      <c r="L19" s="2871"/>
      <c r="M19" s="2871"/>
      <c r="N19" s="2871"/>
      <c r="O19" s="2872"/>
      <c r="P19" s="2143"/>
      <c r="Q19" s="2931"/>
      <c r="R19" s="2932"/>
      <c r="S19" s="2932"/>
    </row>
    <row r="20" spans="1:19" s="41" customFormat="1" ht="11.25" customHeight="1">
      <c r="A20" s="1181" t="s">
        <v>4098</v>
      </c>
      <c r="B20" s="1182" t="s">
        <v>4153</v>
      </c>
      <c r="C20" s="1183"/>
      <c r="D20" s="1184"/>
      <c r="E20" s="2118">
        <f>$O$420</f>
        <v>0</v>
      </c>
      <c r="F20" s="2900" t="str">
        <f>$A$436</f>
        <v>This development is new construction and does not preserve a historic structure.</v>
      </c>
      <c r="G20" s="2901"/>
      <c r="H20" s="2901"/>
      <c r="I20" s="2901"/>
      <c r="J20" s="2901"/>
      <c r="K20" s="2901"/>
      <c r="L20" s="2901"/>
      <c r="M20" s="2901"/>
      <c r="N20" s="2901"/>
      <c r="O20" s="2902"/>
      <c r="P20" s="2144"/>
      <c r="Q20" s="2931"/>
      <c r="R20" s="2932"/>
      <c r="S20" s="2932"/>
    </row>
    <row r="21" spans="1:19" s="42" customFormat="1" ht="3.4" customHeight="1" thickBot="1">
      <c r="A21" s="41"/>
      <c r="B21" s="63"/>
      <c r="C21" s="35"/>
      <c r="D21" s="47"/>
      <c r="E21" s="47"/>
      <c r="F21" s="52"/>
      <c r="G21" s="47"/>
      <c r="H21" s="47"/>
      <c r="I21" s="47"/>
      <c r="J21" s="47"/>
      <c r="K21" s="47"/>
      <c r="L21" s="41"/>
      <c r="M21" s="45"/>
      <c r="N21" s="61"/>
      <c r="O21" s="2"/>
      <c r="P21" s="887"/>
      <c r="R21" s="41"/>
      <c r="S21" s="41"/>
    </row>
    <row r="22" spans="1:19" s="41" customFormat="1" ht="12.4" customHeight="1" thickBot="1">
      <c r="A22" s="152" t="s">
        <v>616</v>
      </c>
      <c r="B22" s="106" t="s">
        <v>2785</v>
      </c>
      <c r="C22" s="3"/>
      <c r="D22" s="3"/>
      <c r="E22" s="3"/>
      <c r="F22" s="2293"/>
      <c r="H22" s="172" t="s">
        <v>4899</v>
      </c>
      <c r="M22" s="2285">
        <v>10</v>
      </c>
      <c r="N22" s="107"/>
      <c r="O22" s="1090">
        <f>MIN($M22, $M22-O25-O26-O27-O30)</f>
        <v>10</v>
      </c>
      <c r="P22" s="1090">
        <f>MIN($M22, $M22-P25-P30-P26)</f>
        <v>10</v>
      </c>
      <c r="Q22" s="109" t="s">
        <v>441</v>
      </c>
    </row>
    <row r="23" spans="1:19" s="42" customFormat="1" ht="3.4"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4797</v>
      </c>
      <c r="D24" s="47"/>
      <c r="E24" s="47"/>
      <c r="F24" s="2293"/>
      <c r="M24" s="5"/>
      <c r="N24" s="64" t="s">
        <v>1984</v>
      </c>
    </row>
    <row r="25" spans="1:19" s="42" customFormat="1" ht="11.25" customHeight="1">
      <c r="A25" s="178"/>
      <c r="B25" s="2084" t="s">
        <v>1987</v>
      </c>
      <c r="C25" s="110" t="s">
        <v>4800</v>
      </c>
      <c r="D25" s="47"/>
      <c r="E25" s="47"/>
      <c r="F25" s="2293"/>
      <c r="H25" s="172" t="s">
        <v>3646</v>
      </c>
      <c r="J25" s="48"/>
      <c r="M25" s="5"/>
      <c r="N25" s="390" t="s">
        <v>1987</v>
      </c>
      <c r="O25" s="4026"/>
      <c r="P25" s="1143">
        <f>F33</f>
        <v>0</v>
      </c>
    </row>
    <row r="26" spans="1:19" s="42" customFormat="1" ht="11.25" customHeight="1">
      <c r="A26" s="178"/>
      <c r="B26" s="2084" t="s">
        <v>1989</v>
      </c>
      <c r="C26" s="110" t="s">
        <v>5079</v>
      </c>
      <c r="D26" s="47"/>
      <c r="E26" s="47"/>
      <c r="F26" s="2293"/>
      <c r="H26" s="172" t="s">
        <v>4798</v>
      </c>
      <c r="J26" s="48"/>
      <c r="M26" s="5"/>
      <c r="N26" s="390" t="s">
        <v>1989</v>
      </c>
      <c r="O26" s="4027"/>
      <c r="P26" s="2077">
        <f>J33</f>
        <v>0</v>
      </c>
    </row>
    <row r="27" spans="1:19" s="42" customFormat="1" ht="11.25" customHeight="1">
      <c r="A27" s="178"/>
      <c r="B27" s="2084" t="s">
        <v>2535</v>
      </c>
      <c r="C27" s="110" t="s">
        <v>4799</v>
      </c>
      <c r="D27" s="47"/>
      <c r="E27" s="47"/>
      <c r="F27" s="2293"/>
      <c r="H27" s="172" t="s">
        <v>4803</v>
      </c>
      <c r="J27" s="48"/>
      <c r="M27" s="5"/>
      <c r="N27" s="390" t="s">
        <v>2535</v>
      </c>
      <c r="O27" s="4028"/>
      <c r="P27" s="4029"/>
    </row>
    <row r="28" spans="1:19" s="42" customFormat="1" ht="11.25" customHeight="1">
      <c r="C28" s="2874" t="s">
        <v>5041</v>
      </c>
      <c r="D28" s="2875"/>
      <c r="E28" s="2875"/>
      <c r="F28" s="2875"/>
      <c r="G28" s="2875"/>
      <c r="H28" s="2875"/>
      <c r="I28" s="2875"/>
      <c r="J28" s="2875"/>
      <c r="K28" s="2875"/>
      <c r="L28" s="2875"/>
      <c r="M28" s="2875"/>
      <c r="N28" s="2875"/>
      <c r="O28" s="2875"/>
      <c r="P28" s="287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293"/>
      <c r="H30" s="172" t="s">
        <v>2730</v>
      </c>
      <c r="J30" s="48"/>
      <c r="M30" s="5"/>
      <c r="N30" s="64" t="s">
        <v>1986</v>
      </c>
      <c r="O30" s="4030"/>
      <c r="P30" s="2080">
        <f>O33</f>
        <v>0</v>
      </c>
    </row>
    <row r="31" spans="1:19" s="426" customFormat="1" ht="3" customHeight="1">
      <c r="A31" s="584"/>
      <c r="B31" s="578"/>
      <c r="C31" s="579"/>
      <c r="D31" s="139"/>
      <c r="K31" s="904"/>
      <c r="L31" s="904"/>
      <c r="M31" s="1038"/>
      <c r="N31" s="390"/>
      <c r="O31" s="909"/>
      <c r="P31" s="909"/>
    </row>
    <row r="32" spans="1:19" s="41" customFormat="1" ht="10.9" customHeight="1">
      <c r="A32" s="2888" t="s">
        <v>5010</v>
      </c>
      <c r="B32" s="2888"/>
      <c r="C32" s="2888"/>
      <c r="D32" s="2888"/>
      <c r="E32" s="2888"/>
      <c r="F32" s="2074" t="s">
        <v>4141</v>
      </c>
      <c r="G32" s="2892" t="s">
        <v>5011</v>
      </c>
      <c r="H32" s="2892"/>
      <c r="I32" s="2892"/>
      <c r="J32" s="2074" t="s">
        <v>4141</v>
      </c>
      <c r="K32" s="2896" t="s">
        <v>4796</v>
      </c>
      <c r="L32" s="2896"/>
      <c r="M32" s="2896"/>
      <c r="N32" s="2896"/>
      <c r="O32" s="2890" t="s">
        <v>4141</v>
      </c>
      <c r="P32" s="2891"/>
      <c r="R32" s="447"/>
      <c r="S32" s="157"/>
    </row>
    <row r="33" spans="1:20" s="41" customFormat="1" ht="11.25" customHeight="1">
      <c r="A33" s="2889"/>
      <c r="B33" s="2889"/>
      <c r="C33" s="2889"/>
      <c r="D33" s="2889"/>
      <c r="E33" s="2889"/>
      <c r="F33" s="76">
        <f>SUM(F34:F45)</f>
        <v>0</v>
      </c>
      <c r="G33" s="2893"/>
      <c r="H33" s="2894"/>
      <c r="I33" s="2895"/>
      <c r="J33" s="76">
        <f>SUM(J34:J45)</f>
        <v>0</v>
      </c>
      <c r="K33" s="2897"/>
      <c r="L33" s="2898"/>
      <c r="M33" s="2898"/>
      <c r="N33" s="2899"/>
      <c r="O33" s="2879">
        <f>SUM(O34:O45)</f>
        <v>0</v>
      </c>
      <c r="P33" s="2880"/>
      <c r="Q33" s="447"/>
      <c r="R33" s="157"/>
    </row>
    <row r="34" spans="1:20" s="41" customFormat="1" ht="24.75" customHeight="1">
      <c r="A34" s="2881">
        <v>1</v>
      </c>
      <c r="B34" s="2882"/>
      <c r="C34" s="2882"/>
      <c r="D34" s="2882"/>
      <c r="E34" s="2883"/>
      <c r="F34" s="881"/>
      <c r="G34" s="2881">
        <v>1</v>
      </c>
      <c r="H34" s="2882"/>
      <c r="I34" s="2883"/>
      <c r="J34" s="885" t="s">
        <v>1733</v>
      </c>
      <c r="K34" s="2884">
        <v>1</v>
      </c>
      <c r="L34" s="2885"/>
      <c r="M34" s="2885"/>
      <c r="N34" s="2885"/>
      <c r="O34" s="2886" t="s">
        <v>1733</v>
      </c>
      <c r="P34" s="2887"/>
      <c r="Q34" s="445" t="s">
        <v>1254</v>
      </c>
      <c r="R34" s="157"/>
    </row>
    <row r="35" spans="1:20" s="41" customFormat="1" ht="24.75" customHeight="1">
      <c r="A35" s="2779">
        <v>2</v>
      </c>
      <c r="B35" s="2780"/>
      <c r="C35" s="2780"/>
      <c r="D35" s="2780"/>
      <c r="E35" s="2781"/>
      <c r="F35" s="882"/>
      <c r="G35" s="2779">
        <v>2</v>
      </c>
      <c r="H35" s="2780"/>
      <c r="I35" s="2781"/>
      <c r="J35" s="882"/>
      <c r="K35" s="2782">
        <v>2</v>
      </c>
      <c r="L35" s="2783"/>
      <c r="M35" s="2783"/>
      <c r="N35" s="2783"/>
      <c r="O35" s="2784"/>
      <c r="P35" s="2785"/>
      <c r="Q35" s="446"/>
      <c r="R35" s="157"/>
    </row>
    <row r="36" spans="1:20" s="41" customFormat="1" ht="24.75" customHeight="1">
      <c r="A36" s="2779">
        <v>3</v>
      </c>
      <c r="B36" s="2780"/>
      <c r="C36" s="2780"/>
      <c r="D36" s="2780"/>
      <c r="E36" s="2781"/>
      <c r="F36" s="882"/>
      <c r="G36" s="2779">
        <v>3</v>
      </c>
      <c r="H36" s="2780"/>
      <c r="I36" s="2781"/>
      <c r="J36" s="1189" t="s">
        <v>2905</v>
      </c>
      <c r="K36" s="2782">
        <v>3</v>
      </c>
      <c r="L36" s="2783"/>
      <c r="M36" s="2783"/>
      <c r="N36" s="2783"/>
      <c r="O36" s="2786" t="s">
        <v>2905</v>
      </c>
      <c r="P36" s="2787"/>
      <c r="Q36" s="2761" t="s">
        <v>4801</v>
      </c>
      <c r="R36" s="2762"/>
      <c r="S36" s="2078"/>
      <c r="T36" s="2078"/>
    </row>
    <row r="37" spans="1:20" s="41" customFormat="1" ht="24.75" customHeight="1">
      <c r="A37" s="2779">
        <v>4</v>
      </c>
      <c r="B37" s="2780"/>
      <c r="C37" s="2780"/>
      <c r="D37" s="2780"/>
      <c r="E37" s="2781"/>
      <c r="F37" s="882"/>
      <c r="G37" s="2779">
        <v>4</v>
      </c>
      <c r="H37" s="2780"/>
      <c r="I37" s="2781"/>
      <c r="J37" s="882"/>
      <c r="K37" s="2782">
        <v>4</v>
      </c>
      <c r="L37" s="2783"/>
      <c r="M37" s="2783"/>
      <c r="N37" s="2783"/>
      <c r="O37" s="2786" t="s">
        <v>2905</v>
      </c>
      <c r="P37" s="2787"/>
      <c r="Q37" s="2761"/>
      <c r="R37" s="2762"/>
      <c r="S37" s="2078"/>
      <c r="T37" s="2078"/>
    </row>
    <row r="38" spans="1:20" s="41" customFormat="1" ht="24.75" customHeight="1">
      <c r="A38" s="2779">
        <v>5</v>
      </c>
      <c r="B38" s="2780"/>
      <c r="C38" s="2780"/>
      <c r="D38" s="2780"/>
      <c r="E38" s="2781"/>
      <c r="F38" s="882"/>
      <c r="G38" s="2779">
        <v>5</v>
      </c>
      <c r="H38" s="2780"/>
      <c r="I38" s="2781"/>
      <c r="J38" s="1189" t="s">
        <v>3585</v>
      </c>
      <c r="K38" s="2782">
        <v>5</v>
      </c>
      <c r="L38" s="2783"/>
      <c r="M38" s="2783"/>
      <c r="N38" s="2783"/>
      <c r="O38" s="2784"/>
      <c r="P38" s="2785"/>
      <c r="Q38" s="2761"/>
      <c r="R38" s="2762"/>
      <c r="S38" s="2078"/>
      <c r="T38" s="2078"/>
    </row>
    <row r="39" spans="1:20" s="41" customFormat="1" ht="24" customHeight="1">
      <c r="A39" s="2779">
        <v>6</v>
      </c>
      <c r="B39" s="2780"/>
      <c r="C39" s="2780"/>
      <c r="D39" s="2780"/>
      <c r="E39" s="2781"/>
      <c r="F39" s="882"/>
      <c r="G39" s="2779">
        <v>6</v>
      </c>
      <c r="H39" s="2780"/>
      <c r="I39" s="2781"/>
      <c r="J39" s="882"/>
      <c r="K39" s="2782">
        <v>6</v>
      </c>
      <c r="L39" s="2783"/>
      <c r="M39" s="2783"/>
      <c r="N39" s="2783"/>
      <c r="O39" s="2784"/>
      <c r="P39" s="2785"/>
      <c r="Q39" s="2761"/>
      <c r="R39" s="2762"/>
    </row>
    <row r="40" spans="1:20" s="41" customFormat="1" ht="10.5" customHeight="1">
      <c r="A40" s="2779">
        <v>7</v>
      </c>
      <c r="B40" s="2780"/>
      <c r="C40" s="2780"/>
      <c r="D40" s="2780"/>
      <c r="E40" s="2781"/>
      <c r="F40" s="882"/>
      <c r="G40" s="2779">
        <v>7</v>
      </c>
      <c r="H40" s="2780"/>
      <c r="I40" s="2781"/>
      <c r="J40" s="1189" t="s">
        <v>3586</v>
      </c>
      <c r="K40" s="2782">
        <v>7</v>
      </c>
      <c r="L40" s="2783"/>
      <c r="M40" s="2783"/>
      <c r="N40" s="2783"/>
      <c r="O40" s="2784"/>
      <c r="P40" s="2785"/>
      <c r="Q40" s="157"/>
      <c r="R40" s="157"/>
    </row>
    <row r="41" spans="1:20" s="41" customFormat="1" ht="10.5" customHeight="1">
      <c r="A41" s="2779">
        <v>8</v>
      </c>
      <c r="B41" s="2780"/>
      <c r="C41" s="2780"/>
      <c r="D41" s="2780"/>
      <c r="E41" s="2781"/>
      <c r="F41" s="882"/>
      <c r="G41" s="2779">
        <v>8</v>
      </c>
      <c r="H41" s="2780"/>
      <c r="I41" s="2781"/>
      <c r="J41" s="882"/>
      <c r="K41" s="2782">
        <v>8</v>
      </c>
      <c r="L41" s="2783"/>
      <c r="M41" s="2783"/>
      <c r="N41" s="2783"/>
      <c r="O41" s="2784"/>
      <c r="P41" s="2785"/>
      <c r="Q41" s="157"/>
      <c r="R41" s="157"/>
    </row>
    <row r="42" spans="1:20" s="41" customFormat="1" ht="11.25" customHeight="1">
      <c r="A42" s="2779">
        <v>9</v>
      </c>
      <c r="B42" s="2780"/>
      <c r="C42" s="2780"/>
      <c r="D42" s="2780"/>
      <c r="E42" s="2781"/>
      <c r="F42" s="882"/>
      <c r="G42" s="2779">
        <v>9</v>
      </c>
      <c r="H42" s="2780"/>
      <c r="I42" s="2781"/>
      <c r="J42" s="1189" t="s">
        <v>3587</v>
      </c>
      <c r="K42" s="2782">
        <v>9</v>
      </c>
      <c r="L42" s="2783"/>
      <c r="M42" s="2783"/>
      <c r="N42" s="2783"/>
      <c r="O42" s="2784"/>
      <c r="P42" s="2785"/>
      <c r="Q42" s="157"/>
      <c r="R42" s="157"/>
    </row>
    <row r="43" spans="1:20" s="41" customFormat="1" ht="11.25" customHeight="1">
      <c r="A43" s="2779">
        <v>10</v>
      </c>
      <c r="B43" s="2780"/>
      <c r="C43" s="2780"/>
      <c r="D43" s="2780"/>
      <c r="E43" s="2781"/>
      <c r="F43" s="882"/>
      <c r="G43" s="2779">
        <v>10</v>
      </c>
      <c r="H43" s="2780"/>
      <c r="I43" s="2781"/>
      <c r="J43" s="882"/>
      <c r="K43" s="2782">
        <v>10</v>
      </c>
      <c r="L43" s="2783"/>
      <c r="M43" s="2783"/>
      <c r="N43" s="2783"/>
      <c r="O43" s="2784"/>
      <c r="P43" s="2785"/>
      <c r="Q43" s="157"/>
    </row>
    <row r="44" spans="1:20" s="41" customFormat="1" ht="11.25" customHeight="1">
      <c r="A44" s="2779">
        <v>11</v>
      </c>
      <c r="B44" s="2780"/>
      <c r="C44" s="2780"/>
      <c r="D44" s="2780"/>
      <c r="E44" s="2781"/>
      <c r="F44" s="882"/>
      <c r="G44" s="2779">
        <v>11</v>
      </c>
      <c r="H44" s="2780"/>
      <c r="I44" s="2781"/>
      <c r="J44" s="1189" t="s">
        <v>3588</v>
      </c>
      <c r="K44" s="2779">
        <v>11</v>
      </c>
      <c r="L44" s="2780"/>
      <c r="M44" s="2780"/>
      <c r="N44" s="2781"/>
      <c r="O44" s="2784"/>
      <c r="P44" s="2785"/>
      <c r="Q44" s="157"/>
      <c r="R44" s="157"/>
    </row>
    <row r="45" spans="1:20" s="41" customFormat="1" ht="11.25" customHeight="1">
      <c r="A45" s="2910">
        <v>12</v>
      </c>
      <c r="B45" s="2911"/>
      <c r="C45" s="2911"/>
      <c r="D45" s="2911"/>
      <c r="E45" s="2912"/>
      <c r="F45" s="883"/>
      <c r="G45" s="2910">
        <v>12</v>
      </c>
      <c r="H45" s="2911"/>
      <c r="I45" s="2912"/>
      <c r="J45" s="883"/>
      <c r="K45" s="2910">
        <v>12</v>
      </c>
      <c r="L45" s="2911"/>
      <c r="M45" s="2911"/>
      <c r="N45" s="2912"/>
      <c r="O45" s="2913"/>
      <c r="P45" s="2914"/>
    </row>
    <row r="46" spans="1:20" s="42" customFormat="1" ht="3" customHeight="1" thickBot="1">
      <c r="D46" s="38"/>
      <c r="E46" s="35"/>
      <c r="F46" s="887"/>
      <c r="G46" s="887"/>
      <c r="H46" s="887"/>
      <c r="I46" s="887"/>
      <c r="J46" s="897"/>
      <c r="K46" s="897"/>
      <c r="L46" s="897"/>
      <c r="M46" s="59"/>
      <c r="N46" s="887"/>
      <c r="O46" s="2288"/>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1984</v>
      </c>
      <c r="B49" s="905" t="s">
        <v>2626</v>
      </c>
      <c r="E49" s="56"/>
      <c r="G49" s="87"/>
      <c r="H49" s="54" t="s">
        <v>5012</v>
      </c>
      <c r="J49" s="2180"/>
      <c r="K49" s="2180" t="str">
        <f>'Part I-Project Information'!$K$94</f>
        <v>40% of Units at 60% of AMI</v>
      </c>
      <c r="M49" s="887"/>
      <c r="N49" s="6"/>
      <c r="Q49" s="6"/>
      <c r="R49" s="376"/>
    </row>
    <row r="50" spans="1:18" s="102" customFormat="1" ht="9" customHeight="1">
      <c r="A50" s="138"/>
      <c r="B50" s="2763" t="s">
        <v>4805</v>
      </c>
      <c r="C50" s="2763"/>
      <c r="D50" s="2763"/>
      <c r="E50" s="2763"/>
      <c r="F50" s="2763"/>
      <c r="G50" s="2763"/>
      <c r="H50" s="2763"/>
      <c r="I50" s="2763"/>
      <c r="J50" s="2763"/>
      <c r="K50" s="2763"/>
      <c r="L50" s="2763"/>
      <c r="M50" s="887"/>
      <c r="N50" s="6"/>
      <c r="Q50" s="6"/>
      <c r="R50" s="376"/>
    </row>
    <row r="51" spans="1:18" s="102" customFormat="1" ht="13.5" customHeight="1">
      <c r="B51" s="2763"/>
      <c r="C51" s="2763"/>
      <c r="D51" s="2763"/>
      <c r="E51" s="2763"/>
      <c r="F51" s="2763"/>
      <c r="G51" s="2763"/>
      <c r="H51" s="2763"/>
      <c r="I51" s="2763"/>
      <c r="J51" s="2763"/>
      <c r="K51" s="2763"/>
      <c r="L51" s="2763"/>
      <c r="M51" s="896">
        <v>2</v>
      </c>
      <c r="N51" s="390" t="s">
        <v>1984</v>
      </c>
      <c r="O51" s="910">
        <f>MIN($M51, O52+O53)</f>
        <v>2</v>
      </c>
      <c r="P51" s="910">
        <f>MIN($M51, P52+P53)</f>
        <v>0</v>
      </c>
    </row>
    <row r="52" spans="1:18" s="102" customFormat="1" ht="13.5" customHeight="1">
      <c r="A52" s="138"/>
      <c r="B52" s="1226" t="s">
        <v>1987</v>
      </c>
      <c r="C52" s="2085" t="s">
        <v>4806</v>
      </c>
      <c r="D52" s="51"/>
      <c r="H52" s="51" t="s">
        <v>4807</v>
      </c>
      <c r="I52" s="2082"/>
      <c r="K52" s="2182">
        <f>'Part VI-Revenues &amp; Expenses'!B49</f>
        <v>57.5</v>
      </c>
      <c r="L52" s="2909" t="str">
        <f>IF(AND(O52&gt;0,O53&gt;0), "CHOOSE EITHER A OR B, NOT BOTH!", "")</f>
        <v/>
      </c>
      <c r="M52" s="1038">
        <v>2</v>
      </c>
      <c r="N52" s="174" t="s">
        <v>1987</v>
      </c>
      <c r="O52" s="4031">
        <v>2</v>
      </c>
      <c r="P52" s="529"/>
      <c r="Q52" s="2147" t="str">
        <f>IF(OR($O52=$M52,$O52=0,$O52=""),"","*CHECK!*")</f>
        <v/>
      </c>
      <c r="R52" s="984" t="s">
        <v>2707</v>
      </c>
    </row>
    <row r="53" spans="1:18" s="102" customFormat="1" ht="13.5" customHeight="1">
      <c r="A53" s="2083" t="s">
        <v>3344</v>
      </c>
      <c r="B53" s="1226" t="s">
        <v>1989</v>
      </c>
      <c r="C53" s="2085" t="s">
        <v>4808</v>
      </c>
      <c r="D53" s="51"/>
      <c r="I53" s="2082"/>
      <c r="K53" s="51"/>
      <c r="L53" s="2909"/>
      <c r="M53" s="1038">
        <v>2</v>
      </c>
      <c r="N53" s="174" t="s">
        <v>1989</v>
      </c>
      <c r="O53" s="4032"/>
      <c r="P53" s="530"/>
      <c r="Q53" s="2147"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3648</v>
      </c>
      <c r="E55" s="427"/>
      <c r="H55" s="2915" t="s">
        <v>4809</v>
      </c>
      <c r="I55" s="2916"/>
      <c r="J55" s="2088" t="s">
        <v>4810</v>
      </c>
      <c r="M55" s="896">
        <v>3</v>
      </c>
      <c r="N55" s="160" t="s">
        <v>1986</v>
      </c>
      <c r="O55" s="910">
        <f>IF(AND(O56="Yes", O57="Yes"),$M$55,0)</f>
        <v>0</v>
      </c>
      <c r="P55" s="910">
        <f>IF(AND(P56="Yes", P57="Yes"),$M$55,0)</f>
        <v>0</v>
      </c>
    </row>
    <row r="56" spans="1:18" s="426" customFormat="1" ht="13.5" customHeight="1">
      <c r="A56" s="425"/>
      <c r="B56" s="1226" t="s">
        <v>1987</v>
      </c>
      <c r="C56" s="2086">
        <v>0.3</v>
      </c>
      <c r="D56" s="965" t="s">
        <v>3649</v>
      </c>
      <c r="E56" s="427"/>
      <c r="F56" s="884"/>
      <c r="H56" s="4033">
        <v>0</v>
      </c>
      <c r="I56" s="1213"/>
      <c r="J56" s="2087">
        <f>'Part VI-Revenues &amp; Expenses'!O65</f>
        <v>84</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3952</v>
      </c>
      <c r="E57" s="941"/>
      <c r="F57" s="884"/>
      <c r="I57" s="908"/>
      <c r="J57" s="908"/>
      <c r="K57" s="908"/>
      <c r="L57" s="908"/>
      <c r="M57" s="908"/>
      <c r="N57" s="390" t="s">
        <v>1989</v>
      </c>
      <c r="O57" s="3893" t="s">
        <v>2993</v>
      </c>
      <c r="P57" s="536"/>
    </row>
    <row r="58" spans="1:18" s="42" customFormat="1" ht="10.5" customHeight="1">
      <c r="A58" s="41"/>
      <c r="B58" s="97" t="s">
        <v>1867</v>
      </c>
      <c r="C58" s="426"/>
      <c r="D58" s="85"/>
      <c r="E58" s="2297"/>
      <c r="F58" s="2297"/>
      <c r="G58" s="2297"/>
      <c r="H58" s="2297"/>
      <c r="I58" s="2297"/>
      <c r="J58" s="2297"/>
      <c r="K58" s="2297"/>
      <c r="L58" s="2297"/>
      <c r="M58" s="2297"/>
      <c r="N58" s="74"/>
      <c r="O58" s="70"/>
      <c r="P58" s="2285"/>
      <c r="Q58" s="426"/>
    </row>
    <row r="59" spans="1:18" s="42" customFormat="1" ht="22.5" customHeight="1">
      <c r="A59" s="2621"/>
      <c r="B59" s="2622"/>
      <c r="C59" s="2622"/>
      <c r="D59" s="2622"/>
      <c r="E59" s="2622"/>
      <c r="F59" s="2622"/>
      <c r="G59" s="2622"/>
      <c r="H59" s="2622"/>
      <c r="I59" s="2622"/>
      <c r="J59" s="2622"/>
      <c r="K59" s="2622"/>
      <c r="L59" s="2622"/>
      <c r="M59" s="2622"/>
      <c r="N59" s="2622"/>
      <c r="O59" s="2622"/>
      <c r="P59" s="2623"/>
      <c r="Q59" s="445"/>
    </row>
    <row r="60" spans="1:18" ht="7.5" customHeight="1" thickBot="1"/>
    <row r="61" spans="1:18" s="42" customFormat="1" ht="12.4" customHeight="1" thickBot="1">
      <c r="A61" s="152" t="s">
        <v>742</v>
      </c>
      <c r="B61" s="105" t="s">
        <v>4092</v>
      </c>
      <c r="D61" s="40"/>
      <c r="I61" s="2928" t="s">
        <v>3766</v>
      </c>
      <c r="J61" s="2928"/>
      <c r="K61" s="2928"/>
      <c r="L61" s="1022"/>
      <c r="M61" s="2285">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88"/>
      <c r="P62" s="2"/>
    </row>
    <row r="63" spans="1:18" s="102" customFormat="1" ht="12" customHeight="1">
      <c r="A63" s="138"/>
      <c r="B63" s="35" t="s">
        <v>3851</v>
      </c>
      <c r="D63" s="32"/>
      <c r="N63" s="463"/>
      <c r="O63" s="3891"/>
      <c r="P63" s="534"/>
    </row>
    <row r="64" spans="1:18" s="102" customFormat="1" ht="12" customHeight="1">
      <c r="A64" s="138" t="s">
        <v>1984</v>
      </c>
      <c r="B64" s="165" t="s">
        <v>1875</v>
      </c>
      <c r="C64" s="3"/>
      <c r="D64" s="3"/>
      <c r="F64" s="296"/>
      <c r="H64" s="851" t="s">
        <v>2719</v>
      </c>
      <c r="I64" s="2878" t="s">
        <v>4172</v>
      </c>
      <c r="J64" s="2878"/>
      <c r="K64" s="2878"/>
      <c r="L64" s="2878"/>
      <c r="M64" s="72">
        <v>10</v>
      </c>
      <c r="N64" s="174" t="s">
        <v>1984</v>
      </c>
      <c r="O64" s="4031">
        <v>10</v>
      </c>
      <c r="P64" s="529"/>
      <c r="Q64" s="2147" t="str">
        <f>IF(OR($O64=$M64,$O64=0,$O64=""),"","*CHECK!*")</f>
        <v/>
      </c>
    </row>
    <row r="65" spans="1:21" s="102" customFormat="1" ht="12.4" customHeight="1">
      <c r="A65" s="138" t="s">
        <v>1986</v>
      </c>
      <c r="B65" s="165" t="s">
        <v>3840</v>
      </c>
      <c r="D65" s="1113"/>
      <c r="F65" s="2181"/>
      <c r="H65" s="851" t="s">
        <v>3981</v>
      </c>
      <c r="I65" s="2878"/>
      <c r="J65" s="2878"/>
      <c r="K65" s="2878"/>
      <c r="L65" s="2878"/>
      <c r="M65" s="2300" t="s">
        <v>1238</v>
      </c>
      <c r="N65" s="463" t="s">
        <v>1986</v>
      </c>
      <c r="O65" s="4032"/>
      <c r="P65" s="530"/>
    </row>
    <row r="66" spans="1:21" s="42" customFormat="1" ht="11.25" customHeight="1" thickBot="1">
      <c r="A66" s="41"/>
      <c r="B66" s="1206" t="s">
        <v>3751</v>
      </c>
      <c r="C66" s="41"/>
      <c r="D66" s="47"/>
      <c r="E66" s="47"/>
      <c r="F66" s="47"/>
      <c r="G66" s="47"/>
      <c r="H66" s="35"/>
      <c r="I66" s="2927"/>
      <c r="J66" s="2927"/>
      <c r="K66" s="2927"/>
      <c r="L66" s="2927"/>
      <c r="M66" s="45"/>
      <c r="N66" s="61"/>
      <c r="O66" s="2"/>
      <c r="P66" s="2288"/>
    </row>
    <row r="67" spans="1:21" s="42" customFormat="1" ht="72" customHeight="1" thickTop="1" thickBot="1">
      <c r="A67" s="4034" t="s">
        <v>5263</v>
      </c>
      <c r="B67" s="4035"/>
      <c r="C67" s="4035"/>
      <c r="D67" s="4035"/>
      <c r="E67" s="4035"/>
      <c r="F67" s="4035"/>
      <c r="G67" s="4035"/>
      <c r="H67" s="4035"/>
      <c r="I67" s="4035"/>
      <c r="J67" s="4035"/>
      <c r="K67" s="4035"/>
      <c r="L67" s="4035"/>
      <c r="M67" s="4035"/>
      <c r="N67" s="4035"/>
      <c r="O67" s="4035"/>
      <c r="P67" s="4036"/>
      <c r="Q67" s="1074" t="s">
        <v>1254</v>
      </c>
      <c r="R67" s="446"/>
    </row>
    <row r="68" spans="1:21" s="42" customFormat="1" ht="11.65" customHeight="1" thickTop="1">
      <c r="A68" s="41"/>
      <c r="B68" s="66" t="s">
        <v>1867</v>
      </c>
      <c r="C68" s="41"/>
      <c r="D68" s="136"/>
      <c r="E68" s="2297"/>
      <c r="F68" s="2297"/>
      <c r="G68" s="2297"/>
      <c r="H68" s="2297"/>
      <c r="I68" s="2297"/>
      <c r="J68" s="2297"/>
      <c r="K68" s="2297"/>
      <c r="L68" s="2297"/>
      <c r="M68" s="2297"/>
      <c r="N68" s="74"/>
      <c r="O68" s="70"/>
      <c r="P68" s="2285"/>
      <c r="Q68" s="426"/>
      <c r="R68" s="426"/>
    </row>
    <row r="69" spans="1:21" s="42" customFormat="1" ht="72" customHeight="1">
      <c r="A69" s="2621"/>
      <c r="B69" s="2622"/>
      <c r="C69" s="2622"/>
      <c r="D69" s="2622"/>
      <c r="E69" s="2622"/>
      <c r="F69" s="2622"/>
      <c r="G69" s="2622"/>
      <c r="H69" s="2622"/>
      <c r="I69" s="2622"/>
      <c r="J69" s="2622"/>
      <c r="K69" s="2622"/>
      <c r="L69" s="2622"/>
      <c r="M69" s="2622"/>
      <c r="N69" s="2622"/>
      <c r="O69" s="2622"/>
      <c r="P69" s="2623"/>
      <c r="Q69" s="445"/>
      <c r="R69" s="446"/>
    </row>
    <row r="70" spans="1:21" ht="7.5" customHeight="1" thickBot="1">
      <c r="M70" s="32"/>
      <c r="N70" s="114"/>
      <c r="O70" s="150"/>
      <c r="P70" s="150"/>
    </row>
    <row r="71" spans="1:21" s="42" customFormat="1" ht="12.4" customHeight="1" thickBot="1">
      <c r="A71" s="152" t="s">
        <v>1792</v>
      </c>
      <c r="B71" s="105" t="s">
        <v>2632</v>
      </c>
      <c r="D71" s="40"/>
      <c r="K71" s="1019" t="s">
        <v>1880</v>
      </c>
      <c r="M71" s="2285">
        <v>6</v>
      </c>
      <c r="N71" s="463"/>
      <c r="O71" s="1090">
        <f>IF($J$72="Flexible",MIN($M71,MAX(O86,O92)),IF(AND($J$72="Rural",O100&gt;0),MIN($M100,O100),0))</f>
        <v>2</v>
      </c>
      <c r="P71" s="1090">
        <f>IF($J$72="Flexible",MIN($M71,MAX(P86,P92)),IF(AND($J$72="Rural",P100&gt;0),MIN($M100,P100),0))</f>
        <v>0</v>
      </c>
      <c r="Q71" s="109" t="s">
        <v>441</v>
      </c>
      <c r="R71" s="2930" t="s">
        <v>5014</v>
      </c>
      <c r="S71" s="2930"/>
      <c r="T71" s="2930"/>
      <c r="U71" s="2930"/>
    </row>
    <row r="72" spans="1:21" s="42" customFormat="1" ht="17.25" customHeight="1">
      <c r="A72" s="152"/>
      <c r="B72" s="110" t="s">
        <v>3955</v>
      </c>
      <c r="D72" s="40"/>
      <c r="H72" s="165" t="s">
        <v>2795</v>
      </c>
      <c r="I72" s="515"/>
      <c r="J72" s="513" t="str">
        <f>'Part I-Project Information'!$H$105</f>
        <v>Rural</v>
      </c>
      <c r="K72" s="47"/>
      <c r="M72" s="2285"/>
      <c r="N72" s="463"/>
      <c r="O72" s="1015" t="s">
        <v>3595</v>
      </c>
      <c r="P72" s="1015" t="s">
        <v>3596</v>
      </c>
      <c r="Q72" s="109"/>
      <c r="R72" s="2930"/>
      <c r="S72" s="2930"/>
      <c r="T72" s="2930"/>
      <c r="U72" s="2930"/>
    </row>
    <row r="73" spans="1:21" s="42" customFormat="1" ht="11.25" customHeight="1">
      <c r="A73" s="152"/>
      <c r="B73" s="374" t="s">
        <v>1987</v>
      </c>
      <c r="C73" s="35" t="s">
        <v>4817</v>
      </c>
      <c r="D73" s="1113"/>
      <c r="E73" s="102"/>
      <c r="F73" s="102"/>
      <c r="G73" s="102"/>
      <c r="H73" s="44"/>
      <c r="I73" s="48"/>
      <c r="J73" s="47"/>
      <c r="K73" s="47"/>
      <c r="L73" s="102"/>
      <c r="M73" s="2285"/>
      <c r="N73" s="463"/>
      <c r="O73" s="3891" t="s">
        <v>2990</v>
      </c>
      <c r="P73" s="534"/>
      <c r="Q73" s="109"/>
      <c r="R73" s="2930"/>
      <c r="S73" s="2930"/>
      <c r="T73" s="2930"/>
      <c r="U73" s="2930"/>
    </row>
    <row r="74" spans="1:21" s="42" customFormat="1" ht="11.25" customHeight="1">
      <c r="A74" s="152"/>
      <c r="B74" s="374" t="s">
        <v>1989</v>
      </c>
      <c r="C74" s="35" t="s">
        <v>4818</v>
      </c>
      <c r="D74" s="1113"/>
      <c r="E74" s="102"/>
      <c r="F74" s="102"/>
      <c r="G74" s="102"/>
      <c r="H74" s="44"/>
      <c r="I74" s="48"/>
      <c r="J74" s="47"/>
      <c r="K74" s="47"/>
      <c r="L74" s="102"/>
      <c r="M74" s="102"/>
      <c r="N74" s="463"/>
      <c r="O74" s="3892" t="s">
        <v>2990</v>
      </c>
      <c r="P74" s="535"/>
      <c r="Q74" s="109"/>
      <c r="R74" s="2930"/>
      <c r="S74" s="2930"/>
      <c r="T74" s="2930"/>
      <c r="U74" s="2930"/>
    </row>
    <row r="75" spans="1:21" s="42" customFormat="1" ht="11.25" customHeight="1">
      <c r="A75" s="152"/>
      <c r="B75" s="374" t="s">
        <v>2535</v>
      </c>
      <c r="C75" s="35" t="s">
        <v>4819</v>
      </c>
      <c r="D75" s="1113"/>
      <c r="E75" s="102"/>
      <c r="F75" s="102"/>
      <c r="G75" s="102"/>
      <c r="H75" s="44"/>
      <c r="I75" s="48"/>
      <c r="J75" s="47"/>
      <c r="K75" s="47"/>
      <c r="L75" s="102"/>
      <c r="M75" s="102"/>
      <c r="N75" s="463"/>
      <c r="O75" s="3892"/>
      <c r="P75" s="535"/>
      <c r="Q75" s="109"/>
      <c r="R75" s="2930"/>
      <c r="S75" s="2930"/>
      <c r="T75" s="2930"/>
      <c r="U75" s="2930"/>
    </row>
    <row r="76" spans="1:21" s="42" customFormat="1" ht="11.25" customHeight="1">
      <c r="A76" s="152"/>
      <c r="B76" s="374" t="s">
        <v>1224</v>
      </c>
      <c r="C76" s="35" t="s">
        <v>4812</v>
      </c>
      <c r="D76" s="1113"/>
      <c r="E76" s="102"/>
      <c r="F76" s="102"/>
      <c r="G76" s="102"/>
      <c r="H76" s="44"/>
      <c r="I76" s="48"/>
      <c r="J76" s="47"/>
      <c r="K76" s="47"/>
      <c r="L76" s="102"/>
      <c r="M76" s="102"/>
      <c r="N76" s="463"/>
      <c r="O76" s="3893" t="s">
        <v>2990</v>
      </c>
      <c r="P76" s="536"/>
      <c r="Q76" s="109"/>
      <c r="R76" s="2930"/>
      <c r="S76" s="2930"/>
      <c r="T76" s="2930"/>
      <c r="U76" s="2930"/>
    </row>
    <row r="77" spans="1:21" s="42" customFormat="1" ht="3" customHeight="1">
      <c r="A77" s="152"/>
      <c r="B77" s="105"/>
      <c r="D77" s="40"/>
      <c r="H77" s="44"/>
      <c r="I77" s="48"/>
      <c r="J77" s="47"/>
      <c r="K77" s="47"/>
      <c r="M77" s="2285"/>
      <c r="N77" s="463"/>
      <c r="O77" s="2"/>
      <c r="P77" s="2"/>
      <c r="Q77" s="109"/>
      <c r="R77" s="2930"/>
      <c r="S77" s="2930"/>
      <c r="T77" s="2930"/>
      <c r="U77" s="2930"/>
    </row>
    <row r="78" spans="1:21" s="42" customFormat="1" ht="13.5" customHeight="1">
      <c r="A78" s="152"/>
      <c r="B78" s="110" t="s">
        <v>3961</v>
      </c>
      <c r="D78" s="40"/>
      <c r="F78" s="2788" t="s">
        <v>3714</v>
      </c>
      <c r="G78" s="2788"/>
      <c r="H78" s="2788"/>
      <c r="I78" s="2788"/>
      <c r="J78" s="2788" t="s">
        <v>3715</v>
      </c>
      <c r="K78" s="2788"/>
      <c r="L78" s="2788"/>
      <c r="M78" s="2788"/>
      <c r="N78" s="463"/>
      <c r="O78" s="2923" t="s">
        <v>5013</v>
      </c>
      <c r="P78" s="2924"/>
      <c r="Q78" s="109"/>
      <c r="R78" s="2930"/>
      <c r="S78" s="2930"/>
      <c r="T78" s="2930"/>
      <c r="U78" s="2930"/>
    </row>
    <row r="79" spans="1:21" s="42" customFormat="1" ht="12.75" customHeight="1">
      <c r="A79" s="152"/>
      <c r="C79" s="490" t="s">
        <v>3960</v>
      </c>
      <c r="D79" s="608"/>
      <c r="E79" s="269"/>
      <c r="F79" s="4037"/>
      <c r="G79" s="4038"/>
      <c r="H79" s="2925"/>
      <c r="I79" s="2926"/>
      <c r="J79" s="4037"/>
      <c r="K79" s="4038"/>
      <c r="L79" s="2925"/>
      <c r="M79" s="2926"/>
      <c r="N79" s="463"/>
      <c r="Q79" s="109"/>
      <c r="R79" s="2930"/>
      <c r="S79" s="2930"/>
      <c r="T79" s="2930"/>
      <c r="U79" s="2930"/>
    </row>
    <row r="80" spans="1:21" s="42" customFormat="1" ht="12.75" customHeight="1">
      <c r="A80" s="2877" t="s">
        <v>4138</v>
      </c>
      <c r="B80" s="2877"/>
      <c r="D80" s="1160" t="s">
        <v>3962</v>
      </c>
      <c r="E80" s="269"/>
      <c r="F80" s="4039"/>
      <c r="G80" s="4040"/>
      <c r="H80" s="2789"/>
      <c r="I80" s="2790"/>
      <c r="J80" s="4039"/>
      <c r="K80" s="4040"/>
      <c r="L80" s="2789"/>
      <c r="M80" s="2790"/>
      <c r="N80" s="463"/>
      <c r="O80" s="4041"/>
      <c r="P80" s="1167"/>
      <c r="Q80" s="109"/>
      <c r="R80" s="2930"/>
      <c r="S80" s="2930"/>
      <c r="T80" s="2930"/>
      <c r="U80" s="2930"/>
    </row>
    <row r="81" spans="1:21" s="42" customFormat="1" ht="12.75" customHeight="1">
      <c r="A81" s="2877"/>
      <c r="B81" s="2877"/>
      <c r="C81" s="490" t="s">
        <v>4090</v>
      </c>
      <c r="D81" s="608"/>
      <c r="E81" s="269"/>
      <c r="F81" s="4042"/>
      <c r="G81" s="4043"/>
      <c r="H81" s="2933"/>
      <c r="I81" s="2934"/>
      <c r="J81" s="4042"/>
      <c r="K81" s="4043"/>
      <c r="L81" s="2933"/>
      <c r="M81" s="2934"/>
      <c r="N81" s="463"/>
      <c r="O81" s="463"/>
      <c r="P81" s="463"/>
      <c r="Q81" s="109"/>
      <c r="R81" s="2930"/>
      <c r="S81" s="2930"/>
      <c r="T81" s="2930"/>
      <c r="U81" s="2930"/>
    </row>
    <row r="82" spans="1:21" s="42" customFormat="1" ht="12.75" customHeight="1">
      <c r="A82" s="2877"/>
      <c r="B82" s="2877"/>
      <c r="E82" s="2055" t="s">
        <v>4089</v>
      </c>
      <c r="F82" s="4044"/>
      <c r="G82" s="4045"/>
      <c r="H82" s="2917"/>
      <c r="I82" s="2918"/>
      <c r="J82" s="4044"/>
      <c r="K82" s="4045"/>
      <c r="L82" s="2917"/>
      <c r="M82" s="2918"/>
      <c r="N82" s="463"/>
      <c r="O82" s="4041"/>
      <c r="P82" s="1167"/>
      <c r="Q82" s="109"/>
      <c r="R82" s="2930"/>
      <c r="S82" s="2930"/>
      <c r="T82" s="2930"/>
      <c r="U82" s="2930"/>
    </row>
    <row r="83" spans="1:21" s="42" customFormat="1" ht="9" customHeight="1">
      <c r="A83" s="152"/>
      <c r="B83" s="105"/>
      <c r="D83" s="40"/>
      <c r="H83" s="44"/>
      <c r="I83" s="48"/>
      <c r="J83" s="47"/>
      <c r="K83" s="47"/>
      <c r="M83" s="2285"/>
      <c r="N83" s="463"/>
      <c r="O83" s="2"/>
      <c r="P83" s="2"/>
      <c r="Q83" s="109"/>
      <c r="R83" s="1112"/>
      <c r="S83" s="1112"/>
      <c r="T83" s="1112"/>
      <c r="U83" s="1112"/>
    </row>
    <row r="84" spans="1:21" s="42" customFormat="1" ht="12.4" customHeight="1">
      <c r="A84" s="514" t="s">
        <v>2786</v>
      </c>
      <c r="B84" s="105"/>
      <c r="D84" s="40"/>
      <c r="F84" s="60" t="s">
        <v>3752</v>
      </c>
      <c r="M84" s="2285"/>
      <c r="N84" s="2285"/>
      <c r="O84" s="2285"/>
      <c r="P84" s="2285"/>
      <c r="Q84" s="109"/>
      <c r="R84" s="1112"/>
      <c r="S84" s="1112"/>
      <c r="T84" s="1112"/>
      <c r="U84" s="1112"/>
    </row>
    <row r="85" spans="1:21" s="42" customFormat="1" ht="2.25" customHeight="1">
      <c r="A85" s="514"/>
      <c r="B85" s="105"/>
      <c r="D85" s="40"/>
      <c r="F85" s="60"/>
      <c r="M85" s="2285"/>
      <c r="N85" s="2285"/>
      <c r="O85" s="2285"/>
      <c r="P85" s="2285"/>
      <c r="Q85" s="109"/>
      <c r="R85" s="1112"/>
      <c r="S85" s="1112"/>
      <c r="T85" s="1112"/>
      <c r="U85" s="1112"/>
    </row>
    <row r="86" spans="1:21" s="42" customFormat="1" ht="12.4" customHeight="1">
      <c r="A86" s="143" t="s">
        <v>1984</v>
      </c>
      <c r="B86" s="165" t="s">
        <v>3744</v>
      </c>
      <c r="D86" s="40"/>
      <c r="F86" s="44" t="s">
        <v>3853</v>
      </c>
      <c r="M86" s="2285">
        <v>6</v>
      </c>
      <c r="N86" s="390" t="s">
        <v>1984</v>
      </c>
      <c r="O86" s="1018">
        <f>IF($J$72="Flexible",MIN($M86,O87+O88+O89),0)</f>
        <v>0</v>
      </c>
      <c r="P86" s="1018">
        <f>IF($J$72="Flexible",MIN($M86,P87+P88+P89),0)</f>
        <v>0</v>
      </c>
      <c r="Q86" s="109"/>
    </row>
    <row r="87" spans="1:21" s="412" customFormat="1" ht="23.25" customHeight="1">
      <c r="B87" s="440" t="s">
        <v>1987</v>
      </c>
      <c r="C87" s="2647" t="s">
        <v>4813</v>
      </c>
      <c r="D87" s="2647"/>
      <c r="E87" s="2647"/>
      <c r="F87" s="2647"/>
      <c r="G87" s="2647"/>
      <c r="H87" s="2647"/>
      <c r="I87" s="2791" t="s">
        <v>4087</v>
      </c>
      <c r="J87" s="2792"/>
      <c r="K87" s="2792"/>
      <c r="L87" s="2793"/>
      <c r="M87" s="510">
        <v>5</v>
      </c>
      <c r="N87" s="478" t="s">
        <v>1987</v>
      </c>
      <c r="O87" s="4046"/>
      <c r="P87" s="861"/>
      <c r="Q87" s="2147" t="str">
        <f>IF(OR($O87=$M87,$O87=0,$O87=""),"","*CHECK!*")</f>
        <v/>
      </c>
      <c r="R87" s="984" t="s">
        <v>2707</v>
      </c>
    </row>
    <row r="88" spans="1:21" s="412" customFormat="1" ht="12" customHeight="1">
      <c r="A88" s="584" t="s">
        <v>1353</v>
      </c>
      <c r="B88" s="440" t="s">
        <v>1989</v>
      </c>
      <c r="C88" s="391" t="s">
        <v>3956</v>
      </c>
      <c r="D88" s="391"/>
      <c r="E88" s="391"/>
      <c r="F88" s="391"/>
      <c r="G88" s="391"/>
      <c r="H88" s="2300" t="str">
        <f>IF(AND(O88&gt;0,O87&gt;0),"Pick A1 or A2!","")</f>
        <v/>
      </c>
      <c r="I88" s="2794"/>
      <c r="J88" s="2795"/>
      <c r="K88" s="2795"/>
      <c r="L88" s="2796"/>
      <c r="M88" s="72">
        <v>4</v>
      </c>
      <c r="N88" s="435" t="s">
        <v>1989</v>
      </c>
      <c r="O88" s="4031"/>
      <c r="P88" s="529"/>
      <c r="Q88" s="2147" t="str">
        <f>IF(OR($O88=$M88,$O88=0,$O88=""),"","*CHECK!*")</f>
        <v/>
      </c>
      <c r="R88" s="984" t="s">
        <v>2707</v>
      </c>
    </row>
    <row r="89" spans="1:21" s="412" customFormat="1" ht="12" customHeight="1">
      <c r="B89" s="440" t="s">
        <v>2535</v>
      </c>
      <c r="C89" s="391" t="s">
        <v>3745</v>
      </c>
      <c r="D89" s="391"/>
      <c r="E89" s="391"/>
      <c r="F89" s="391"/>
      <c r="I89" s="2794"/>
      <c r="J89" s="2795"/>
      <c r="K89" s="2795"/>
      <c r="L89" s="2796"/>
      <c r="M89" s="72">
        <v>1</v>
      </c>
      <c r="N89" s="435" t="s">
        <v>2535</v>
      </c>
      <c r="O89" s="4032"/>
      <c r="P89" s="530"/>
      <c r="Q89" s="2147" t="str">
        <f>IF(OR($O89=$M89,$O89=0,$O89=""),"","*CHECK!*")</f>
        <v/>
      </c>
      <c r="R89" s="984" t="s">
        <v>2707</v>
      </c>
    </row>
    <row r="90" spans="1:21" s="412" customFormat="1" ht="12" customHeight="1">
      <c r="B90" s="440"/>
      <c r="C90" s="851" t="s">
        <v>4088</v>
      </c>
      <c r="D90" s="391"/>
      <c r="E90" s="391"/>
      <c r="F90" s="2090" t="str">
        <f>'Part I-Project Information'!$H$82</f>
        <v>Family</v>
      </c>
      <c r="G90" s="851"/>
      <c r="H90" s="2090"/>
      <c r="I90" s="2794"/>
      <c r="J90" s="2795"/>
      <c r="K90" s="2795"/>
      <c r="L90" s="2796"/>
      <c r="M90" s="102"/>
      <c r="N90" s="102"/>
      <c r="O90" s="102"/>
      <c r="P90" s="102"/>
      <c r="Q90" s="1020"/>
      <c r="R90" s="1134"/>
    </row>
    <row r="91" spans="1:21" s="412" customFormat="1" ht="12" customHeight="1">
      <c r="B91" s="440"/>
      <c r="C91" s="851"/>
      <c r="D91" s="391"/>
      <c r="E91" s="391"/>
      <c r="F91" s="2090"/>
      <c r="G91" s="851"/>
      <c r="H91" s="2090"/>
      <c r="I91" s="2797"/>
      <c r="J91" s="2798"/>
      <c r="K91" s="2798"/>
      <c r="L91" s="2799"/>
      <c r="M91" s="102"/>
      <c r="N91" s="102"/>
      <c r="O91" s="102"/>
      <c r="P91" s="102"/>
      <c r="Q91" s="1020"/>
      <c r="R91" s="1134"/>
    </row>
    <row r="92" spans="1:21" s="412" customFormat="1" ht="12" customHeight="1">
      <c r="A92" s="143" t="s">
        <v>1986</v>
      </c>
      <c r="B92" s="1133" t="s">
        <v>3746</v>
      </c>
      <c r="C92" s="632"/>
      <c r="D92" s="632"/>
      <c r="E92" s="632"/>
      <c r="F92" s="1110" t="s">
        <v>3852</v>
      </c>
      <c r="I92" s="4047" t="s">
        <v>5226</v>
      </c>
      <c r="J92" s="4048"/>
      <c r="K92" s="4048"/>
      <c r="L92" s="4049" t="s">
        <v>3743</v>
      </c>
      <c r="M92" s="2285">
        <v>3</v>
      </c>
      <c r="N92" s="463" t="s">
        <v>1986</v>
      </c>
      <c r="O92" s="1018">
        <f>IF($J$72="Flexible",MIN($M92,O95+O96+O97),0)</f>
        <v>0</v>
      </c>
      <c r="P92" s="1018">
        <f>IF($J$72="Flexible",MIN($M92,P95+P96+P97),0)</f>
        <v>0</v>
      </c>
      <c r="Q92" s="511"/>
      <c r="R92" s="389"/>
    </row>
    <row r="93" spans="1:21" s="42" customFormat="1" ht="11.25" customHeight="1">
      <c r="A93" s="152"/>
      <c r="B93" s="387" t="s">
        <v>3777</v>
      </c>
      <c r="C93" s="172" t="s">
        <v>4815</v>
      </c>
      <c r="D93" s="1113"/>
      <c r="E93" s="102"/>
      <c r="F93" s="102"/>
      <c r="G93" s="102"/>
      <c r="H93" s="44"/>
      <c r="I93" s="4050"/>
      <c r="J93" s="4051"/>
      <c r="K93" s="4051"/>
      <c r="L93" s="4052"/>
      <c r="M93" s="102"/>
      <c r="N93" s="387" t="s">
        <v>3777</v>
      </c>
      <c r="O93" s="3914"/>
      <c r="P93" s="940"/>
      <c r="Q93" s="109"/>
      <c r="R93" s="389"/>
      <c r="S93" s="412"/>
      <c r="T93" s="412"/>
      <c r="U93" s="412"/>
    </row>
    <row r="94" spans="1:21" s="42" customFormat="1" ht="11.25" customHeight="1">
      <c r="A94" s="152"/>
      <c r="B94" s="387" t="s">
        <v>3778</v>
      </c>
      <c r="C94" s="172" t="s">
        <v>4814</v>
      </c>
      <c r="D94" s="1113"/>
      <c r="E94" s="102"/>
      <c r="F94" s="102"/>
      <c r="G94" s="102"/>
      <c r="H94" s="44"/>
      <c r="I94" s="4053" t="s">
        <v>4816</v>
      </c>
      <c r="J94" s="4054"/>
      <c r="K94" s="4054"/>
      <c r="L94" s="4055"/>
      <c r="M94" s="102"/>
      <c r="N94" s="387" t="s">
        <v>3778</v>
      </c>
      <c r="O94" s="3893"/>
      <c r="P94" s="536"/>
      <c r="Q94" s="109"/>
      <c r="R94" s="389"/>
      <c r="S94" s="412"/>
      <c r="T94" s="412"/>
      <c r="U94" s="412"/>
    </row>
    <row r="95" spans="1:21" s="412" customFormat="1" ht="12" customHeight="1">
      <c r="A95" s="138"/>
      <c r="B95" s="2183" t="s">
        <v>1987</v>
      </c>
      <c r="C95" s="2744" t="s">
        <v>3957</v>
      </c>
      <c r="D95" s="2744"/>
      <c r="E95" s="2744"/>
      <c r="F95" s="2744"/>
      <c r="G95" s="2744"/>
      <c r="H95" s="2920"/>
      <c r="I95" s="4056"/>
      <c r="J95" s="4057"/>
      <c r="K95" s="4057"/>
      <c r="L95" s="4058"/>
      <c r="M95" s="72">
        <v>3</v>
      </c>
      <c r="N95" s="435" t="s">
        <v>1987</v>
      </c>
      <c r="O95" s="4031"/>
      <c r="P95" s="528"/>
      <c r="Q95" s="1020" t="str">
        <f>IF(OR($O95=$M95,$O95=0,$O95=""),"","*CHECK!*")</f>
        <v/>
      </c>
      <c r="R95" s="1134" t="s">
        <v>2707</v>
      </c>
    </row>
    <row r="96" spans="1:21" s="42" customFormat="1" ht="12" customHeight="1">
      <c r="A96" s="584" t="s">
        <v>1353</v>
      </c>
      <c r="B96" s="2183" t="s">
        <v>1989</v>
      </c>
      <c r="C96" s="2744" t="s">
        <v>3958</v>
      </c>
      <c r="D96" s="2744"/>
      <c r="E96" s="2744"/>
      <c r="F96" s="2744"/>
      <c r="G96" s="2744"/>
      <c r="H96" s="2920"/>
      <c r="I96" s="4053" t="s">
        <v>5225</v>
      </c>
      <c r="J96" s="4054"/>
      <c r="K96" s="4054"/>
      <c r="L96" s="4055"/>
      <c r="M96" s="72">
        <v>2</v>
      </c>
      <c r="N96" s="435" t="s">
        <v>1989</v>
      </c>
      <c r="O96" s="4031"/>
      <c r="P96" s="529"/>
      <c r="Q96" s="1020" t="str">
        <f>IF(OR($O96=$M96,$O96=0,$O96=""),"","*CHECK!*")</f>
        <v/>
      </c>
      <c r="R96" s="1134" t="s">
        <v>2707</v>
      </c>
    </row>
    <row r="97" spans="1:18" s="42" customFormat="1" ht="14.25" customHeight="1">
      <c r="A97" s="584" t="s">
        <v>1353</v>
      </c>
      <c r="B97" s="2183" t="s">
        <v>2535</v>
      </c>
      <c r="C97" s="2744" t="s">
        <v>3959</v>
      </c>
      <c r="D97" s="2744"/>
      <c r="E97" s="2744"/>
      <c r="F97" s="2744"/>
      <c r="G97" s="2744"/>
      <c r="H97" s="2920"/>
      <c r="I97" s="4056"/>
      <c r="J97" s="4057"/>
      <c r="K97" s="4057"/>
      <c r="L97" s="4058"/>
      <c r="M97" s="72">
        <v>1</v>
      </c>
      <c r="N97" s="435" t="s">
        <v>2535</v>
      </c>
      <c r="O97" s="4032"/>
      <c r="P97" s="530"/>
      <c r="Q97" s="1020" t="str">
        <f>IF(OR($O97=$M97,$O97=0,$O97=""),"","*CHECK!*")</f>
        <v/>
      </c>
      <c r="R97" s="1134" t="s">
        <v>2707</v>
      </c>
    </row>
    <row r="98" spans="1:18" s="42" customFormat="1" ht="14.25" customHeight="1">
      <c r="A98" s="1111"/>
      <c r="B98" s="2075"/>
      <c r="C98" s="2290"/>
      <c r="D98" s="2290"/>
      <c r="E98" s="2290"/>
      <c r="F98" s="2736" t="str">
        <f>IF(OR(AND(O95&gt;0,O96&gt;0,O97&gt;0),AND(O95&gt;0,O96&gt;0),AND(O95&gt;0,O97&gt;0),AND(O96&gt;0,O97&gt;0)),"Choose only one option: B1 or B2 or B3!","")</f>
        <v/>
      </c>
      <c r="G98" s="2736"/>
      <c r="H98" s="2921"/>
      <c r="I98" s="4053" t="s">
        <v>5225</v>
      </c>
      <c r="J98" s="4054"/>
      <c r="K98" s="4054"/>
      <c r="L98" s="4055"/>
      <c r="M98" s="102"/>
      <c r="N98" s="102"/>
      <c r="O98" s="102"/>
      <c r="P98" s="102"/>
      <c r="Q98" s="1020"/>
      <c r="R98" s="1134"/>
    </row>
    <row r="99" spans="1:18" s="42" customFormat="1" ht="12.4" customHeight="1">
      <c r="A99" s="514" t="s">
        <v>2788</v>
      </c>
      <c r="B99" s="165"/>
      <c r="E99" s="40"/>
      <c r="I99" s="4059"/>
      <c r="J99" s="4060"/>
      <c r="K99" s="4060"/>
      <c r="L99" s="4061"/>
      <c r="M99" s="72"/>
      <c r="N99" s="72"/>
      <c r="O99" s="72"/>
      <c r="P99" s="72"/>
      <c r="Q99" s="376"/>
      <c r="R99" s="376"/>
    </row>
    <row r="100" spans="1:18" s="102" customFormat="1" ht="12" customHeight="1">
      <c r="A100" s="138"/>
      <c r="B100" s="440" t="s">
        <v>1224</v>
      </c>
      <c r="C100" s="2767" t="s">
        <v>4923</v>
      </c>
      <c r="D100" s="2767"/>
      <c r="E100" s="2767"/>
      <c r="F100" s="2767"/>
      <c r="G100" s="2767"/>
      <c r="H100" s="2767"/>
      <c r="I100" s="165"/>
      <c r="J100" s="165"/>
      <c r="K100" s="165"/>
      <c r="L100" s="165"/>
      <c r="M100" s="72">
        <v>2</v>
      </c>
      <c r="N100" s="435" t="s">
        <v>1224</v>
      </c>
      <c r="O100" s="4062">
        <v>2</v>
      </c>
      <c r="P100" s="859"/>
      <c r="Q100" s="1020" t="str">
        <f>IF(OR($O100=$M100,$O100=0,$O100=""),"","*CHECK!*")</f>
        <v/>
      </c>
      <c r="R100" s="1134" t="s">
        <v>2707</v>
      </c>
    </row>
    <row r="101" spans="1:18" s="102" customFormat="1" ht="12" customHeight="1">
      <c r="A101" s="138"/>
      <c r="B101" s="440"/>
      <c r="C101" s="2767"/>
      <c r="D101" s="2767"/>
      <c r="E101" s="2767"/>
      <c r="F101" s="2767"/>
      <c r="G101" s="2767"/>
      <c r="H101" s="2767"/>
      <c r="I101" s="165"/>
      <c r="J101" s="165"/>
      <c r="K101" s="165"/>
      <c r="L101" s="165"/>
      <c r="M101" s="165"/>
      <c r="N101" s="165"/>
      <c r="O101" s="165"/>
      <c r="P101" s="165"/>
      <c r="Q101" s="1020"/>
      <c r="R101" s="1134"/>
    </row>
    <row r="102" spans="1:18" s="42" customFormat="1" ht="12.4" customHeight="1">
      <c r="A102" s="35" t="s">
        <v>4091</v>
      </c>
      <c r="B102" s="165"/>
      <c r="E102" s="40"/>
      <c r="K102" s="47"/>
      <c r="M102" s="72"/>
      <c r="N102" s="72"/>
      <c r="O102" s="72"/>
      <c r="P102" s="72"/>
      <c r="Q102" s="376"/>
      <c r="R102" s="376"/>
    </row>
    <row r="103" spans="1:18" s="102" customFormat="1" ht="11.65" customHeight="1">
      <c r="A103" s="41"/>
      <c r="B103" s="97" t="s">
        <v>1867</v>
      </c>
      <c r="C103" s="41"/>
      <c r="D103" s="97"/>
      <c r="E103" s="2303"/>
      <c r="F103" s="2303"/>
      <c r="G103" s="2303"/>
      <c r="H103" s="2303"/>
      <c r="I103" s="2303"/>
      <c r="J103" s="2303"/>
      <c r="K103" s="2303"/>
      <c r="L103" s="2303"/>
      <c r="M103" s="2303"/>
      <c r="N103" s="93"/>
      <c r="O103" s="872"/>
      <c r="P103" s="2285"/>
      <c r="Q103" s="426"/>
    </row>
    <row r="104" spans="1:18" s="42" customFormat="1" ht="11.25" customHeight="1">
      <c r="A104" s="2621"/>
      <c r="B104" s="2622"/>
      <c r="C104" s="2622"/>
      <c r="D104" s="2622"/>
      <c r="E104" s="2622"/>
      <c r="F104" s="2622"/>
      <c r="G104" s="2622"/>
      <c r="H104" s="2622"/>
      <c r="I104" s="2622"/>
      <c r="J104" s="2622"/>
      <c r="K104" s="2622"/>
      <c r="L104" s="2622"/>
      <c r="M104" s="2622"/>
      <c r="N104" s="2622"/>
      <c r="O104" s="2622"/>
      <c r="P104" s="262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8"/>
      <c r="P106" s="2"/>
    </row>
    <row r="107" spans="1:18" s="42" customFormat="1" ht="12.75" customHeight="1" thickBot="1">
      <c r="A107" s="152" t="s">
        <v>1794</v>
      </c>
      <c r="B107" s="106" t="s">
        <v>3979</v>
      </c>
      <c r="D107" s="38"/>
      <c r="E107" s="35"/>
      <c r="F107" s="887"/>
      <c r="G107" s="887"/>
      <c r="H107" s="887"/>
      <c r="I107" s="60" t="s">
        <v>3752</v>
      </c>
      <c r="J107" s="897"/>
      <c r="K107" s="897"/>
      <c r="L107" s="897"/>
      <c r="M107" s="2285">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8"/>
      <c r="P108" s="2"/>
    </row>
    <row r="109" spans="1:18" s="102" customFormat="1" ht="12.75" customHeight="1" thickBot="1">
      <c r="A109" s="178" t="s">
        <v>1984</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1984</v>
      </c>
      <c r="O109" s="4063"/>
      <c r="P109" s="1123"/>
      <c r="Q109" s="2147" t="str">
        <f>IF(OR($O109=$M109,$O109=0,$O109=""),"","*CHECK!*")</f>
        <v/>
      </c>
      <c r="R109" s="984" t="s">
        <v>2707</v>
      </c>
    </row>
    <row r="110" spans="1:18" s="42" customFormat="1" ht="11.25" customHeight="1">
      <c r="A110" s="41"/>
      <c r="B110" s="54" t="s">
        <v>4612</v>
      </c>
      <c r="D110" s="38"/>
      <c r="E110" s="35"/>
      <c r="F110" s="887"/>
      <c r="G110" s="887"/>
      <c r="H110" s="887"/>
      <c r="I110" s="887"/>
      <c r="J110" s="897"/>
      <c r="K110" s="897"/>
      <c r="L110" s="897"/>
      <c r="M110" s="59"/>
      <c r="N110" s="887"/>
      <c r="O110" s="2288"/>
      <c r="P110" s="2"/>
    </row>
    <row r="111" spans="1:18" s="42" customFormat="1" ht="11.25" customHeight="1">
      <c r="A111" s="41"/>
      <c r="B111" s="2076" t="s">
        <v>1987</v>
      </c>
      <c r="C111" s="86" t="s">
        <v>5016</v>
      </c>
      <c r="D111" s="38"/>
      <c r="E111" s="35"/>
      <c r="F111" s="887"/>
      <c r="G111" s="887"/>
      <c r="H111" s="887"/>
      <c r="I111" s="887"/>
      <c r="J111" s="897"/>
      <c r="K111" s="897"/>
      <c r="L111" s="897"/>
      <c r="M111" s="59"/>
      <c r="N111" s="1086" t="s">
        <v>1987</v>
      </c>
      <c r="O111" s="3891"/>
      <c r="P111" s="534"/>
    </row>
    <row r="112" spans="1:18" s="42" customFormat="1" ht="11.25" customHeight="1">
      <c r="A112" s="41"/>
      <c r="B112" s="2076" t="s">
        <v>1989</v>
      </c>
      <c r="C112" s="86" t="s">
        <v>5017</v>
      </c>
      <c r="D112" s="38"/>
      <c r="E112" s="35"/>
      <c r="F112" s="887"/>
      <c r="G112" s="887"/>
      <c r="H112" s="887"/>
      <c r="I112" s="887"/>
      <c r="J112" s="897"/>
      <c r="K112" s="897"/>
      <c r="L112" s="897"/>
      <c r="M112" s="59"/>
      <c r="N112" s="1086" t="s">
        <v>1989</v>
      </c>
      <c r="O112" s="3893"/>
      <c r="P112" s="536"/>
    </row>
    <row r="113" spans="1:21" s="35" customFormat="1" ht="10.5" customHeight="1">
      <c r="A113" s="63"/>
      <c r="B113" s="2076" t="s">
        <v>2535</v>
      </c>
      <c r="C113" s="35" t="s">
        <v>4820</v>
      </c>
      <c r="E113" s="4064"/>
      <c r="F113" s="4065"/>
      <c r="G113" s="4065"/>
      <c r="H113" s="4065"/>
      <c r="I113" s="4065"/>
      <c r="J113" s="4065"/>
      <c r="K113" s="4065"/>
      <c r="L113" s="4065"/>
      <c r="M113" s="4065"/>
      <c r="N113" s="4065"/>
      <c r="O113" s="4065"/>
      <c r="P113" s="4066"/>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88"/>
      <c r="P114" s="2"/>
    </row>
    <row r="115" spans="1:21" s="102" customFormat="1" ht="12.75" customHeight="1" thickBot="1">
      <c r="A115" s="178" t="s">
        <v>1986</v>
      </c>
      <c r="B115" s="165" t="s">
        <v>3983</v>
      </c>
      <c r="D115" s="92"/>
      <c r="F115" s="51"/>
      <c r="G115" s="51"/>
      <c r="H115" s="92"/>
      <c r="I115" s="92"/>
      <c r="J115" s="92"/>
      <c r="K115" s="92"/>
      <c r="L115" s="376" t="str">
        <f>IF(OR($O115=$M115,$O115=0,$O115=""),"","* * Check Score! * *")</f>
        <v/>
      </c>
      <c r="M115" s="1038">
        <v>3</v>
      </c>
      <c r="N115" s="463" t="s">
        <v>1986</v>
      </c>
      <c r="O115" s="4063">
        <v>3</v>
      </c>
      <c r="P115" s="1123"/>
      <c r="Q115" s="2147" t="str">
        <f>IF(OR($O115=$M115,$O115=0,$O115=""),"","*CHECK!*")</f>
        <v/>
      </c>
      <c r="R115" s="984" t="s">
        <v>2707</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3913" t="s">
        <v>2990</v>
      </c>
      <c r="P116" s="2299"/>
      <c r="Q116" s="1070"/>
      <c r="R116" s="1070"/>
      <c r="S116" s="1070"/>
      <c r="T116" s="1070"/>
    </row>
    <row r="117" spans="1:21" s="102" customFormat="1" ht="10.5" customHeight="1">
      <c r="A117" s="178"/>
      <c r="B117" s="888"/>
      <c r="C117" s="51" t="s">
        <v>3985</v>
      </c>
      <c r="D117" s="172" t="s">
        <v>4822</v>
      </c>
      <c r="F117" s="51"/>
      <c r="G117" s="51"/>
      <c r="H117" s="4067" t="s">
        <v>5227</v>
      </c>
      <c r="I117" s="4067"/>
      <c r="J117" s="4067"/>
      <c r="K117" s="4067"/>
      <c r="L117" s="4067"/>
      <c r="M117" s="4067"/>
      <c r="N117" s="4067"/>
      <c r="O117" s="4067"/>
      <c r="P117" s="4067"/>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3777</v>
      </c>
      <c r="O118" s="3914"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293"/>
      <c r="N119" s="387" t="s">
        <v>3778</v>
      </c>
      <c r="O119" s="3892" t="s">
        <v>2990</v>
      </c>
      <c r="P119" s="535"/>
      <c r="Q119" s="1070"/>
      <c r="R119" s="1070"/>
      <c r="S119" s="1070"/>
      <c r="T119" s="1070"/>
    </row>
    <row r="120" spans="1:21" s="54" customFormat="1" ht="10.5" customHeight="1">
      <c r="A120" s="63"/>
      <c r="C120" s="54" t="s">
        <v>4122</v>
      </c>
      <c r="D120" s="415"/>
      <c r="E120" s="51"/>
      <c r="F120" s="51"/>
      <c r="G120" s="51"/>
      <c r="H120" s="415"/>
      <c r="J120" s="415"/>
      <c r="L120" s="2650" t="s">
        <v>3814</v>
      </c>
      <c r="M120" s="2650"/>
      <c r="N120" s="2650"/>
      <c r="O120" s="2922" t="s">
        <v>3813</v>
      </c>
      <c r="P120" s="2922"/>
      <c r="Q120" s="51"/>
    </row>
    <row r="121" spans="1:21" s="54" customFormat="1" ht="10.5" customHeight="1">
      <c r="A121" s="63"/>
      <c r="B121" s="375"/>
      <c r="C121" s="4068" t="s">
        <v>5191</v>
      </c>
      <c r="D121" s="4069"/>
      <c r="E121" s="4069"/>
      <c r="F121" s="4069"/>
      <c r="G121" s="4069"/>
      <c r="H121" s="4069"/>
      <c r="I121" s="4069"/>
      <c r="J121" s="4069"/>
      <c r="K121" s="4070"/>
      <c r="L121" s="4071" t="s">
        <v>5195</v>
      </c>
      <c r="M121" s="4071"/>
      <c r="N121" s="4071"/>
      <c r="O121" s="4072">
        <v>14</v>
      </c>
      <c r="P121" s="4072"/>
      <c r="Q121" s="1104" t="str">
        <f>IF(O121&gt;15, "Too much!","")</f>
        <v/>
      </c>
    </row>
    <row r="122" spans="1:21" s="54" customFormat="1" ht="10.5" customHeight="1">
      <c r="A122" s="63"/>
      <c r="B122" s="388"/>
      <c r="C122" s="4073" t="s">
        <v>5192</v>
      </c>
      <c r="D122" s="4074"/>
      <c r="E122" s="4074"/>
      <c r="F122" s="4074"/>
      <c r="G122" s="4074"/>
      <c r="H122" s="4074"/>
      <c r="I122" s="4074"/>
      <c r="J122" s="4074"/>
      <c r="K122" s="4075"/>
      <c r="L122" s="4076" t="s">
        <v>5195</v>
      </c>
      <c r="M122" s="4076"/>
      <c r="N122" s="4076"/>
      <c r="O122" s="4077">
        <v>0</v>
      </c>
      <c r="P122" s="4077"/>
      <c r="Q122" s="1104" t="str">
        <f>IF(O122&gt;15, "Too much!","")</f>
        <v/>
      </c>
    </row>
    <row r="123" spans="1:21" s="54" customFormat="1" ht="10.5" customHeight="1">
      <c r="A123" s="63"/>
      <c r="B123" s="375"/>
      <c r="C123" s="4073" t="s">
        <v>5193</v>
      </c>
      <c r="D123" s="4074"/>
      <c r="E123" s="4074"/>
      <c r="F123" s="4074"/>
      <c r="G123" s="4074"/>
      <c r="H123" s="4074"/>
      <c r="I123" s="4074"/>
      <c r="J123" s="4074"/>
      <c r="K123" s="4075"/>
      <c r="L123" s="4076" t="s">
        <v>5196</v>
      </c>
      <c r="M123" s="4076"/>
      <c r="N123" s="4076"/>
      <c r="O123" s="4077">
        <v>0</v>
      </c>
      <c r="P123" s="4077"/>
      <c r="Q123" s="1104" t="str">
        <f>IF(O123&gt;15, "Too much!","")</f>
        <v/>
      </c>
    </row>
    <row r="124" spans="1:21" s="54" customFormat="1" ht="10.5" customHeight="1">
      <c r="A124" s="63"/>
      <c r="B124" s="387"/>
      <c r="C124" s="4078" t="s">
        <v>5194</v>
      </c>
      <c r="D124" s="4079"/>
      <c r="E124" s="4079"/>
      <c r="F124" s="4079"/>
      <c r="G124" s="4079"/>
      <c r="H124" s="4079"/>
      <c r="I124" s="4079"/>
      <c r="J124" s="4079"/>
      <c r="K124" s="4080"/>
      <c r="L124" s="4081" t="s">
        <v>5197</v>
      </c>
      <c r="M124" s="4081"/>
      <c r="N124" s="4081"/>
      <c r="O124" s="4082">
        <v>0</v>
      </c>
      <c r="P124" s="4082"/>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3777</v>
      </c>
      <c r="O125" s="3891"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3893" t="s">
        <v>2990</v>
      </c>
      <c r="P126" s="536"/>
      <c r="Q126" s="493"/>
      <c r="R126" s="54"/>
      <c r="S126" s="54"/>
      <c r="T126" s="54"/>
      <c r="U126" s="54"/>
    </row>
    <row r="127" spans="1:21" s="35" customFormat="1" ht="10.5" customHeight="1">
      <c r="A127" s="63"/>
      <c r="B127" s="374"/>
      <c r="D127" s="54" t="s">
        <v>4821</v>
      </c>
      <c r="E127" s="51"/>
      <c r="F127" s="51"/>
      <c r="G127" s="51"/>
      <c r="H127" s="51"/>
      <c r="I127" s="51"/>
      <c r="J127" s="51"/>
      <c r="K127" s="51"/>
      <c r="L127" s="51"/>
      <c r="M127" s="2293"/>
      <c r="N127" s="387" t="s">
        <v>3779</v>
      </c>
      <c r="Q127" s="51"/>
      <c r="R127" s="54"/>
      <c r="S127" s="54"/>
      <c r="T127" s="54"/>
      <c r="U127" s="54"/>
    </row>
    <row r="128" spans="1:21" s="54" customFormat="1" ht="10.5" customHeight="1">
      <c r="A128" s="63"/>
      <c r="B128" s="63"/>
      <c r="D128" s="63"/>
      <c r="E128" s="897" t="s">
        <v>4154</v>
      </c>
      <c r="F128" s="63"/>
      <c r="L128" s="63"/>
      <c r="M128" s="63"/>
      <c r="N128" s="63"/>
      <c r="O128" s="3891" t="s">
        <v>2990</v>
      </c>
      <c r="P128" s="534"/>
      <c r="Q128" s="51"/>
    </row>
    <row r="129" spans="1:21" s="54" customFormat="1" ht="10.5" customHeight="1">
      <c r="A129" s="63"/>
      <c r="B129" s="63"/>
      <c r="D129" s="63"/>
      <c r="E129" s="897" t="s">
        <v>4477</v>
      </c>
      <c r="F129" s="63"/>
      <c r="L129" s="63"/>
      <c r="M129" s="63"/>
      <c r="N129" s="63"/>
      <c r="O129" s="3892" t="s">
        <v>2990</v>
      </c>
      <c r="P129" s="535"/>
      <c r="Q129" s="51"/>
    </row>
    <row r="130" spans="1:21" s="54" customFormat="1" ht="10.5" customHeight="1">
      <c r="A130" s="63"/>
      <c r="B130" s="63"/>
      <c r="D130" s="63"/>
      <c r="E130" s="897" t="s">
        <v>4156</v>
      </c>
      <c r="F130" s="63"/>
      <c r="L130" s="63"/>
      <c r="M130" s="63"/>
      <c r="N130" s="63"/>
      <c r="O130" s="3892" t="s">
        <v>2990</v>
      </c>
      <c r="P130" s="535"/>
      <c r="Q130" s="51"/>
    </row>
    <row r="131" spans="1:21" s="54" customFormat="1" ht="10.5" customHeight="1">
      <c r="A131" s="63"/>
      <c r="B131" s="63"/>
      <c r="D131" s="63"/>
      <c r="E131" s="897" t="s">
        <v>4609</v>
      </c>
      <c r="F131" s="63"/>
      <c r="I131" s="897"/>
      <c r="L131" s="63"/>
      <c r="M131" s="63"/>
      <c r="N131" s="63"/>
      <c r="O131" s="4083" t="s">
        <v>2990</v>
      </c>
      <c r="P131" s="903"/>
      <c r="Q131" s="51"/>
    </row>
    <row r="132" spans="1:21" s="54" customFormat="1" ht="10.5" customHeight="1">
      <c r="A132" s="63"/>
      <c r="B132" s="63"/>
      <c r="D132" s="63"/>
      <c r="E132" s="51" t="s">
        <v>4610</v>
      </c>
      <c r="F132" s="63"/>
      <c r="I132" s="897"/>
      <c r="L132" s="63"/>
      <c r="M132" s="63"/>
      <c r="N132" s="63"/>
      <c r="O132" s="4083" t="s">
        <v>2990</v>
      </c>
      <c r="P132" s="903"/>
      <c r="Q132" s="51"/>
    </row>
    <row r="133" spans="1:21" s="54" customFormat="1" ht="10.5" customHeight="1">
      <c r="A133" s="63"/>
      <c r="B133" s="63"/>
      <c r="D133" s="63"/>
      <c r="E133" s="897" t="s">
        <v>4611</v>
      </c>
      <c r="F133" s="63"/>
      <c r="I133" s="897"/>
      <c r="L133" s="63"/>
      <c r="M133" s="63"/>
      <c r="N133" s="63"/>
      <c r="O133" s="4083" t="s">
        <v>2990</v>
      </c>
      <c r="P133" s="903"/>
      <c r="Q133" s="51"/>
    </row>
    <row r="134" spans="1:21" s="54" customFormat="1" ht="10.5" customHeight="1">
      <c r="A134" s="63"/>
      <c r="B134" s="63"/>
      <c r="D134" s="63"/>
      <c r="E134" s="4084" t="s">
        <v>4160</v>
      </c>
      <c r="F134" s="4085"/>
      <c r="G134" s="4085"/>
      <c r="H134" s="4085"/>
      <c r="I134" s="4085"/>
      <c r="J134" s="4085"/>
      <c r="K134" s="4085"/>
      <c r="L134" s="4086"/>
      <c r="M134" s="63"/>
      <c r="N134" s="63"/>
      <c r="O134" s="3893"/>
      <c r="P134" s="536"/>
      <c r="Q134" s="51"/>
    </row>
    <row r="135" spans="1:21" s="102" customFormat="1" ht="10.5" customHeight="1">
      <c r="A135" s="178"/>
      <c r="B135" s="51"/>
      <c r="D135" s="35" t="s">
        <v>4823</v>
      </c>
      <c r="E135" s="51"/>
      <c r="F135" s="51"/>
      <c r="G135" s="51"/>
      <c r="H135" s="92"/>
      <c r="I135" s="92"/>
      <c r="J135" s="92"/>
      <c r="K135" s="92"/>
      <c r="L135" s="92"/>
      <c r="M135" s="430"/>
      <c r="N135" s="387" t="s">
        <v>3781</v>
      </c>
      <c r="O135" s="3893"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1989</v>
      </c>
      <c r="O137" s="4063">
        <v>1</v>
      </c>
      <c r="P137" s="1123"/>
      <c r="Q137" s="2147" t="str">
        <f>IF(OR($O137=$M137,$O137=0,$O137=""),"","*CHECK!*")</f>
        <v/>
      </c>
      <c r="R137" s="984" t="s">
        <v>2707</v>
      </c>
      <c r="S137" s="1070"/>
      <c r="T137" s="1070"/>
      <c r="U137" s="1070"/>
    </row>
    <row r="138" spans="1:21" s="35" customFormat="1" ht="10.5" customHeight="1">
      <c r="A138" s="63"/>
      <c r="C138" s="51" t="s">
        <v>3991</v>
      </c>
      <c r="D138" s="1215"/>
      <c r="E138" s="1215"/>
      <c r="F138" s="1215"/>
      <c r="G138" s="1215"/>
      <c r="H138" s="1215"/>
      <c r="I138" s="1215"/>
      <c r="J138" s="1215"/>
      <c r="K138" s="1215"/>
      <c r="L138" s="1215"/>
      <c r="M138" s="2293"/>
      <c r="N138" s="51"/>
      <c r="O138" s="3913" t="s">
        <v>5183</v>
      </c>
      <c r="P138" s="2299"/>
      <c r="Q138" s="51"/>
      <c r="R138" s="1070"/>
      <c r="S138" s="1070"/>
      <c r="T138" s="1070"/>
      <c r="U138" s="1070"/>
    </row>
    <row r="139" spans="1:21" s="35" customFormat="1" ht="10.5" customHeight="1">
      <c r="A139" s="63"/>
      <c r="B139" s="888"/>
      <c r="C139" s="2620" t="s">
        <v>4824</v>
      </c>
      <c r="D139" s="2620"/>
      <c r="E139" s="2620"/>
      <c r="F139" s="1215"/>
      <c r="G139" s="897" t="s">
        <v>3992</v>
      </c>
      <c r="I139" s="1215"/>
      <c r="J139" s="1215"/>
      <c r="K139" s="1215"/>
      <c r="L139" s="1215"/>
      <c r="M139" s="64" t="s">
        <v>2436</v>
      </c>
      <c r="N139" s="387" t="s">
        <v>3777</v>
      </c>
      <c r="O139" s="3914" t="s">
        <v>2990</v>
      </c>
      <c r="P139" s="940"/>
      <c r="Q139" s="51"/>
      <c r="R139" s="1070"/>
      <c r="S139" s="1070"/>
      <c r="T139" s="1070"/>
      <c r="U139" s="1070"/>
    </row>
    <row r="140" spans="1:21" s="35" customFormat="1" ht="10.5" customHeight="1">
      <c r="A140" s="63"/>
      <c r="B140" s="374"/>
      <c r="C140" s="2620"/>
      <c r="D140" s="2620"/>
      <c r="E140" s="2620"/>
      <c r="F140" s="1215"/>
      <c r="G140" s="897" t="s">
        <v>3993</v>
      </c>
      <c r="I140" s="1215"/>
      <c r="J140" s="1215"/>
      <c r="K140" s="1215"/>
      <c r="L140" s="1215"/>
      <c r="M140" s="2293"/>
      <c r="N140" s="1029" t="s">
        <v>3778</v>
      </c>
      <c r="O140" s="3892" t="s">
        <v>2990</v>
      </c>
      <c r="P140" s="535"/>
      <c r="Q140" s="51"/>
      <c r="R140" s="1070"/>
      <c r="S140" s="1070"/>
      <c r="T140" s="1070"/>
      <c r="U140" s="1070"/>
    </row>
    <row r="141" spans="1:21" s="35" customFormat="1" ht="10.5" customHeight="1">
      <c r="A141" s="64"/>
      <c r="B141" s="374"/>
      <c r="C141" s="2620"/>
      <c r="D141" s="2620"/>
      <c r="E141" s="2620"/>
      <c r="F141" s="1215"/>
      <c r="G141" s="897" t="s">
        <v>3994</v>
      </c>
      <c r="I141" s="1215"/>
      <c r="J141" s="1215"/>
      <c r="K141" s="1215"/>
      <c r="L141" s="1215"/>
      <c r="M141" s="2293"/>
      <c r="N141" s="387" t="s">
        <v>3779</v>
      </c>
      <c r="O141" s="3892"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293"/>
      <c r="N142" s="387" t="s">
        <v>3781</v>
      </c>
      <c r="O142" s="3892"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293"/>
      <c r="N143" s="1029" t="s">
        <v>3782</v>
      </c>
      <c r="O143" s="3893" t="s">
        <v>2990</v>
      </c>
      <c r="P143" s="536"/>
      <c r="Q143" s="51"/>
    </row>
    <row r="144" spans="1:21" s="35" customFormat="1" ht="10.5" customHeight="1">
      <c r="A144" s="63"/>
      <c r="B144" s="888"/>
      <c r="C144" s="897" t="s">
        <v>4825</v>
      </c>
      <c r="D144" s="1215"/>
      <c r="E144" s="1215"/>
      <c r="F144" s="1215"/>
      <c r="G144" s="1215"/>
      <c r="H144" s="1215"/>
      <c r="I144" s="1215"/>
      <c r="J144" s="1215"/>
      <c r="K144" s="1215"/>
      <c r="L144" s="1215"/>
      <c r="M144" s="64"/>
      <c r="N144" s="64" t="s">
        <v>2437</v>
      </c>
      <c r="O144" s="3897"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4068" t="s">
        <v>5198</v>
      </c>
      <c r="D146" s="4069"/>
      <c r="E146" s="4069"/>
      <c r="F146" s="4070"/>
      <c r="G146" s="4068" t="s">
        <v>5228</v>
      </c>
      <c r="H146" s="4069"/>
      <c r="I146" s="4069"/>
      <c r="J146" s="4069"/>
      <c r="K146" s="4069"/>
      <c r="L146" s="4069"/>
      <c r="M146" s="4069"/>
      <c r="N146" s="4069"/>
      <c r="O146" s="4069"/>
      <c r="P146" s="4070"/>
      <c r="Q146" s="51"/>
    </row>
    <row r="147" spans="1:18" s="54" customFormat="1" ht="10.5" customHeight="1">
      <c r="A147" s="63"/>
      <c r="B147" s="388"/>
      <c r="C147" s="4073" t="s">
        <v>5199</v>
      </c>
      <c r="D147" s="4074"/>
      <c r="E147" s="4074"/>
      <c r="F147" s="4075"/>
      <c r="G147" s="4073" t="s">
        <v>5228</v>
      </c>
      <c r="H147" s="4074"/>
      <c r="I147" s="4074"/>
      <c r="J147" s="4074"/>
      <c r="K147" s="4074"/>
      <c r="L147" s="4074"/>
      <c r="M147" s="4074"/>
      <c r="N147" s="4074"/>
      <c r="O147" s="4074"/>
      <c r="P147" s="4075"/>
      <c r="Q147" s="51"/>
    </row>
    <row r="148" spans="1:18" s="54" customFormat="1" ht="10.5" customHeight="1">
      <c r="A148" s="2568" t="s">
        <v>4161</v>
      </c>
      <c r="B148" s="2568"/>
      <c r="C148" s="4073" t="s">
        <v>5200</v>
      </c>
      <c r="D148" s="4074"/>
      <c r="E148" s="4074"/>
      <c r="F148" s="4075"/>
      <c r="G148" s="4073" t="s">
        <v>5228</v>
      </c>
      <c r="H148" s="4074"/>
      <c r="I148" s="4074"/>
      <c r="J148" s="4074"/>
      <c r="K148" s="4074"/>
      <c r="L148" s="4074"/>
      <c r="M148" s="4074"/>
      <c r="N148" s="4074"/>
      <c r="O148" s="4074"/>
      <c r="P148" s="4075"/>
      <c r="Q148" s="51"/>
    </row>
    <row r="149" spans="1:18" s="54" customFormat="1" ht="10.5" customHeight="1">
      <c r="A149" s="2568"/>
      <c r="B149" s="2568"/>
      <c r="C149" s="4078" t="s">
        <v>5201</v>
      </c>
      <c r="D149" s="4079"/>
      <c r="E149" s="4079"/>
      <c r="F149" s="4080"/>
      <c r="G149" s="4078" t="s">
        <v>5202</v>
      </c>
      <c r="H149" s="4079"/>
      <c r="I149" s="4079"/>
      <c r="J149" s="4079"/>
      <c r="K149" s="4079"/>
      <c r="L149" s="4079"/>
      <c r="M149" s="4079"/>
      <c r="N149" s="4079"/>
      <c r="O149" s="4079"/>
      <c r="P149" s="4080"/>
      <c r="Q149" s="51"/>
    </row>
    <row r="150" spans="1:18" s="42" customFormat="1" ht="4.5" customHeight="1">
      <c r="A150" s="2919"/>
      <c r="B150" s="2919"/>
      <c r="C150" s="98"/>
      <c r="D150" s="85"/>
      <c r="E150" s="99"/>
      <c r="F150" s="2297"/>
      <c r="G150" s="2297"/>
      <c r="H150" s="2297"/>
      <c r="I150" s="2297"/>
      <c r="J150" s="2297"/>
      <c r="K150" s="2297"/>
      <c r="L150" s="2297"/>
      <c r="M150" s="2297"/>
      <c r="N150" s="74"/>
      <c r="O150" s="70"/>
      <c r="P150" s="2285"/>
      <c r="Q150" s="426"/>
    </row>
    <row r="151" spans="1:18" s="42" customFormat="1" ht="11.25" customHeight="1">
      <c r="A151" s="2621"/>
      <c r="B151" s="2622"/>
      <c r="C151" s="2622"/>
      <c r="D151" s="2622"/>
      <c r="E151" s="2622"/>
      <c r="F151" s="2622"/>
      <c r="G151" s="2622"/>
      <c r="H151" s="2622"/>
      <c r="I151" s="2622"/>
      <c r="J151" s="2622"/>
      <c r="K151" s="2622"/>
      <c r="L151" s="2622"/>
      <c r="M151" s="2622"/>
      <c r="N151" s="2622"/>
      <c r="O151" s="2622"/>
      <c r="P151" s="2623"/>
      <c r="Q151" s="445"/>
    </row>
    <row r="152" spans="1:18" s="42" customFormat="1" ht="3" customHeight="1" thickBot="1">
      <c r="A152" s="41"/>
      <c r="C152" s="2297"/>
      <c r="D152" s="2297"/>
      <c r="E152" s="2297"/>
      <c r="F152" s="2297"/>
      <c r="G152" s="2297"/>
      <c r="H152" s="2297"/>
      <c r="I152" s="2297"/>
      <c r="J152" s="2297"/>
      <c r="K152" s="2297"/>
      <c r="L152" s="2297"/>
      <c r="M152" s="2297"/>
      <c r="N152" s="74"/>
      <c r="O152" s="70"/>
      <c r="P152" s="887"/>
    </row>
    <row r="153" spans="1:18" s="42" customFormat="1" ht="13.5" customHeight="1" thickBot="1">
      <c r="A153" s="152" t="s">
        <v>530</v>
      </c>
      <c r="B153" s="106" t="s">
        <v>3963</v>
      </c>
      <c r="C153" s="2297"/>
      <c r="D153" s="2297"/>
      <c r="E153" s="2297"/>
      <c r="F153" s="2297"/>
      <c r="G153" s="2297"/>
      <c r="H153" s="2297"/>
      <c r="I153" s="2297"/>
      <c r="J153" s="2297"/>
      <c r="K153" s="2297"/>
      <c r="L153" s="2297"/>
      <c r="M153" s="887">
        <v>5</v>
      </c>
      <c r="N153" s="74"/>
      <c r="O153" s="1090">
        <f>O155+O171</f>
        <v>5</v>
      </c>
      <c r="P153" s="1090">
        <f>P155+P171</f>
        <v>0</v>
      </c>
      <c r="Q153" s="109" t="s">
        <v>441</v>
      </c>
    </row>
    <row r="154" spans="1:18" s="42" customFormat="1" ht="9" customHeight="1">
      <c r="A154" s="41"/>
      <c r="C154" s="2297"/>
      <c r="D154" s="2297"/>
      <c r="E154" s="2297"/>
      <c r="F154" s="2297"/>
      <c r="G154" s="2297"/>
      <c r="H154" s="2297"/>
      <c r="I154" s="2297"/>
      <c r="J154" s="2297"/>
      <c r="K154" s="2297"/>
      <c r="L154" s="2297"/>
      <c r="M154" s="2297"/>
      <c r="N154" s="74"/>
      <c r="O154" s="70"/>
      <c r="P154" s="887"/>
    </row>
    <row r="155" spans="1:18" s="102" customFormat="1" ht="13.5" customHeight="1">
      <c r="A155" s="178" t="s">
        <v>1984</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3</v>
      </c>
      <c r="P155" s="2148"/>
      <c r="R155" s="172"/>
    </row>
    <row r="156" spans="1:18" s="42" customFormat="1" ht="12" customHeight="1">
      <c r="B156" s="39" t="s">
        <v>3824</v>
      </c>
      <c r="C156" s="428"/>
      <c r="D156" s="428"/>
      <c r="E156" s="428"/>
      <c r="F156" s="428"/>
      <c r="G156" s="428"/>
      <c r="H156" s="428"/>
      <c r="I156" s="428"/>
      <c r="J156" s="428"/>
      <c r="K156" s="428"/>
      <c r="L156" s="428"/>
      <c r="M156" s="428"/>
      <c r="N156" s="428"/>
      <c r="O156" s="3888"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2768" t="s">
        <v>5022</v>
      </c>
      <c r="C158" s="2768"/>
      <c r="D158" s="2768"/>
      <c r="E158" s="51" t="s">
        <v>3821</v>
      </c>
      <c r="F158" s="102"/>
      <c r="G158" s="51"/>
      <c r="H158" s="102"/>
      <c r="I158" s="4064" t="s">
        <v>1504</v>
      </c>
      <c r="J158" s="4065"/>
      <c r="K158" s="4065"/>
      <c r="L158" s="4066"/>
    </row>
    <row r="159" spans="1:18" s="42" customFormat="1" ht="11.25" customHeight="1">
      <c r="A159" s="138"/>
      <c r="B159" s="2768"/>
      <c r="C159" s="2768"/>
      <c r="D159" s="2768"/>
      <c r="E159" s="39" t="s">
        <v>4828</v>
      </c>
      <c r="F159" s="376"/>
      <c r="G159" s="102"/>
      <c r="H159" s="102"/>
      <c r="I159" s="39"/>
      <c r="J159" s="2298"/>
      <c r="K159" s="2298"/>
      <c r="L159" s="2298"/>
      <c r="M159" s="102"/>
      <c r="N159" s="1115"/>
      <c r="O159" s="3888"/>
      <c r="P159" s="532"/>
      <c r="Q159" s="133"/>
    </row>
    <row r="160" spans="1:18" s="42" customFormat="1" ht="12" customHeight="1">
      <c r="A160" s="41"/>
      <c r="C160" s="2297"/>
      <c r="D160" s="2297"/>
      <c r="E160" s="51" t="s">
        <v>4829</v>
      </c>
      <c r="F160" s="2186" t="str">
        <f>'Part I-Project Information'!$H$82</f>
        <v>Family</v>
      </c>
      <c r="H160" s="2185"/>
      <c r="I160" s="2297"/>
      <c r="J160" s="2297"/>
      <c r="M160" s="2297"/>
      <c r="N160" s="74"/>
      <c r="O160" s="2935" t="s">
        <v>5018</v>
      </c>
      <c r="P160" s="2935"/>
    </row>
    <row r="161" spans="1:24" s="54" customFormat="1" ht="3" customHeight="1">
      <c r="A161" s="902"/>
      <c r="B161" s="428"/>
      <c r="O161" s="2936"/>
      <c r="P161" s="2936"/>
    </row>
    <row r="162" spans="1:24" s="42" customFormat="1" ht="12" customHeight="1">
      <c r="A162" s="375" t="s">
        <v>2436</v>
      </c>
      <c r="B162" s="110" t="s">
        <v>4827</v>
      </c>
      <c r="C162" s="2297"/>
      <c r="D162" s="2297"/>
      <c r="E162" s="51"/>
      <c r="F162" s="2069"/>
      <c r="G162" s="2069"/>
      <c r="I162" s="2297"/>
      <c r="J162" s="2297"/>
      <c r="K162" s="2297"/>
      <c r="L162" s="2297"/>
      <c r="M162" s="2942" t="s">
        <v>4826</v>
      </c>
      <c r="N162" s="74"/>
      <c r="O162" s="2936"/>
      <c r="P162" s="2936"/>
      <c r="T162" s="2649" t="s">
        <v>5055</v>
      </c>
    </row>
    <row r="163" spans="1:24" s="54" customFormat="1" ht="3" customHeight="1">
      <c r="A163" s="902"/>
      <c r="B163" s="428"/>
      <c r="M163" s="2942"/>
      <c r="O163" s="2936"/>
      <c r="P163" s="2936"/>
      <c r="T163" s="2649"/>
    </row>
    <row r="164" spans="1:24" s="42" customFormat="1" ht="13.5" customHeight="1">
      <c r="A164" s="138"/>
      <c r="B164" s="547"/>
      <c r="C164" s="546"/>
      <c r="D164" s="546"/>
      <c r="E164" s="1217"/>
      <c r="H164" s="2939" t="s">
        <v>3819</v>
      </c>
      <c r="I164" s="2943" t="s">
        <v>3864</v>
      </c>
      <c r="J164" s="2944"/>
      <c r="K164" s="2945"/>
      <c r="L164" s="2942" t="s">
        <v>3818</v>
      </c>
      <c r="M164" s="2942"/>
      <c r="N164" s="2092"/>
      <c r="O164" s="2936"/>
      <c r="P164" s="2936"/>
      <c r="R164" s="2957" t="s">
        <v>5023</v>
      </c>
      <c r="T164" s="2649"/>
      <c r="U164" s="2756" t="s">
        <v>5054</v>
      </c>
    </row>
    <row r="165" spans="1:24" s="42" customFormat="1" ht="13.5" customHeight="1">
      <c r="A165" s="138"/>
      <c r="B165" s="552" t="s">
        <v>3816</v>
      </c>
      <c r="C165" s="2298"/>
      <c r="D165" s="2949" t="s">
        <v>3820</v>
      </c>
      <c r="E165" s="2949"/>
      <c r="F165" s="2949"/>
      <c r="G165" s="2307" t="s">
        <v>3398</v>
      </c>
      <c r="H165" s="2756"/>
      <c r="I165" s="2301">
        <v>2015</v>
      </c>
      <c r="J165" s="2301">
        <v>2016</v>
      </c>
      <c r="K165" s="2301">
        <v>2017</v>
      </c>
      <c r="L165" s="2390"/>
      <c r="M165" s="2390"/>
      <c r="N165" s="2092"/>
      <c r="O165" s="2937"/>
      <c r="P165" s="2937"/>
      <c r="R165" s="2958"/>
      <c r="T165" s="2756"/>
      <c r="U165" s="2756"/>
    </row>
    <row r="166" spans="1:24" s="42" customFormat="1" ht="12" customHeight="1">
      <c r="B166" s="589" t="s">
        <v>3999</v>
      </c>
      <c r="D166" s="4087" t="s">
        <v>5231</v>
      </c>
      <c r="E166" s="4088"/>
      <c r="F166" s="4089"/>
      <c r="G166" s="4090" t="s">
        <v>5204</v>
      </c>
      <c r="H166" s="4091"/>
      <c r="I166" s="4092">
        <v>88.6</v>
      </c>
      <c r="J166" s="4093">
        <v>88.7</v>
      </c>
      <c r="K166" s="4093">
        <v>92.2</v>
      </c>
      <c r="L166" s="2073">
        <f>IF(I166+J166+K166=0,"",AVERAGE(I166,J166,K166))</f>
        <v>89.833333333333329</v>
      </c>
      <c r="M166" s="621" t="str">
        <f>IF(L166="","",IF(L166&gt;R166,"Yes",IF(L166&lt;R166,"No","")))</f>
        <v>Yes</v>
      </c>
      <c r="O166" s="3891" t="s">
        <v>2993</v>
      </c>
      <c r="P166" s="534"/>
      <c r="R166" s="2070">
        <v>73.400000000000006</v>
      </c>
      <c r="S166" s="53"/>
      <c r="T166" s="590">
        <f>IF(OR(M166="Yes",O166="Yes"),1,0)</f>
        <v>1</v>
      </c>
      <c r="U166" s="2950">
        <f>SUM(T166:T170)</f>
        <v>3</v>
      </c>
    </row>
    <row r="167" spans="1:24" s="42" customFormat="1" ht="12" customHeight="1">
      <c r="B167" s="589" t="s">
        <v>4162</v>
      </c>
      <c r="D167" s="4094" t="s">
        <v>5230</v>
      </c>
      <c r="E167" s="4095"/>
      <c r="F167" s="4096"/>
      <c r="G167" s="4097" t="s">
        <v>5205</v>
      </c>
      <c r="H167" s="4098"/>
      <c r="I167" s="4099">
        <v>72.5</v>
      </c>
      <c r="J167" s="4100">
        <v>72.900000000000006</v>
      </c>
      <c r="K167" s="4100">
        <v>83.7</v>
      </c>
      <c r="L167" s="2072">
        <f>IF(I167+J167+K167=0,"",AVERAGE(I167,J167,K167))</f>
        <v>76.366666666666674</v>
      </c>
      <c r="M167" s="622" t="str">
        <f>IF(L167="","",IF(L167&gt;R167,"Yes",IF(L167&lt;R167,"No","")))</f>
        <v>Yes</v>
      </c>
      <c r="O167" s="3891" t="s">
        <v>2990</v>
      </c>
      <c r="P167" s="535"/>
      <c r="R167" s="2070">
        <v>72.099999999999994</v>
      </c>
      <c r="S167" s="53"/>
      <c r="T167" s="590">
        <f>IF(OR(M167="Yes",O167="Yes"),1,0)</f>
        <v>1</v>
      </c>
      <c r="U167" s="2950"/>
    </row>
    <row r="168" spans="1:24" s="42" customFormat="1" ht="12" customHeight="1">
      <c r="A168" s="375"/>
      <c r="B168" s="589" t="s">
        <v>3997</v>
      </c>
      <c r="D168" s="4101" t="s">
        <v>5229</v>
      </c>
      <c r="E168" s="4102"/>
      <c r="F168" s="4103"/>
      <c r="G168" s="4104" t="s">
        <v>5203</v>
      </c>
      <c r="H168" s="4105"/>
      <c r="I168" s="4106">
        <v>91.1</v>
      </c>
      <c r="J168" s="4107">
        <v>91.9</v>
      </c>
      <c r="K168" s="4107">
        <v>97.6</v>
      </c>
      <c r="L168" s="2071">
        <f>IF(I168+J168+K168=0,"",AVERAGE(I168,J168,K168))</f>
        <v>93.533333333333346</v>
      </c>
      <c r="M168" s="623" t="str">
        <f>IF(L168="","",IF(L168&gt;R168,"Yes",IF(L168&lt;R168,"No","")))</f>
        <v>Yes</v>
      </c>
      <c r="O168" s="3893" t="s">
        <v>2990</v>
      </c>
      <c r="P168" s="536"/>
      <c r="R168" s="2070">
        <v>73.3</v>
      </c>
      <c r="S168" s="53"/>
      <c r="T168" s="590">
        <f>IF(OR(M168="Yes",O168="Yes"),1,0)</f>
        <v>1</v>
      </c>
      <c r="U168" s="295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4001</v>
      </c>
      <c r="C171" s="92"/>
      <c r="D171" s="1087"/>
      <c r="E171" s="1087"/>
      <c r="F171" s="60" t="s">
        <v>3391</v>
      </c>
      <c r="H171" s="39" t="s">
        <v>3865</v>
      </c>
      <c r="M171" s="430">
        <v>2</v>
      </c>
      <c r="N171" s="174"/>
      <c r="O171" s="1090" t="str">
        <f>IF(AND(I180="Yes",I181="Yes"),$H$181,IF(AND(I180="Yes",I181="No"),$H$180,0))</f>
        <v>2.</v>
      </c>
      <c r="P171" s="1090">
        <f>IF(AND(J180="Yes",J181="Yes"),$H$181,IF(AND(J180="Yes",J181="No"),$H$180,0))</f>
        <v>0</v>
      </c>
      <c r="Q171" s="109"/>
      <c r="R171" s="1088"/>
    </row>
    <row r="172" spans="1:24" s="54" customFormat="1" ht="15" customHeight="1">
      <c r="E172" s="2804" t="s">
        <v>4164</v>
      </c>
      <c r="F172" s="2804" t="s">
        <v>3658</v>
      </c>
      <c r="G172" s="2807" t="s">
        <v>3399</v>
      </c>
      <c r="H172" s="2807"/>
      <c r="I172" s="2807"/>
      <c r="J172" s="2807"/>
      <c r="K172" s="2807"/>
      <c r="L172" s="2807"/>
      <c r="M172" s="2807"/>
      <c r="N172" s="2807"/>
      <c r="P172" s="1117"/>
      <c r="R172" s="51" t="s">
        <v>2833</v>
      </c>
      <c r="S172" s="35"/>
      <c r="T172" s="2800" t="str">
        <f>'Part I-Project Information'!$F$38</f>
        <v>Kingsland</v>
      </c>
      <c r="U172" s="2801"/>
      <c r="V172" s="2801"/>
      <c r="W172" s="2801"/>
      <c r="X172" s="2802"/>
    </row>
    <row r="173" spans="1:24" s="54" customFormat="1" ht="13.5" customHeight="1">
      <c r="A173" s="46"/>
      <c r="B173" s="2818" t="s">
        <v>4004</v>
      </c>
      <c r="C173" s="2818"/>
      <c r="D173" s="2818"/>
      <c r="E173" s="2811"/>
      <c r="F173" s="2811"/>
      <c r="G173" s="2806" t="s">
        <v>4003</v>
      </c>
      <c r="H173" s="2806"/>
      <c r="I173" s="2806"/>
      <c r="J173" s="2806"/>
      <c r="K173" s="2806"/>
      <c r="L173" s="2806"/>
      <c r="M173" s="2806"/>
      <c r="N173" s="2806"/>
      <c r="O173" s="2804" t="s">
        <v>3659</v>
      </c>
      <c r="P173" s="2804"/>
      <c r="R173" s="51" t="s">
        <v>2834</v>
      </c>
      <c r="S173" s="35"/>
      <c r="T173" s="2764" t="str">
        <f>'Part I-Project Information'!$J$39</f>
        <v>Camden</v>
      </c>
      <c r="U173" s="2765"/>
      <c r="V173" s="2765"/>
      <c r="W173" s="2765"/>
      <c r="X173" s="2766"/>
    </row>
    <row r="174" spans="1:24" s="54" customFormat="1" ht="13.5" customHeight="1">
      <c r="A174" s="46"/>
      <c r="B174" s="2938" t="s">
        <v>3825</v>
      </c>
      <c r="C174" s="2938"/>
      <c r="D174" s="2938"/>
      <c r="E174" s="2311">
        <v>3000</v>
      </c>
      <c r="F174" s="2311">
        <v>6000</v>
      </c>
      <c r="G174" s="2803">
        <v>15000</v>
      </c>
      <c r="H174" s="2803"/>
      <c r="I174" s="2803"/>
      <c r="J174" s="2803"/>
      <c r="K174" s="2803"/>
      <c r="L174" s="2803"/>
      <c r="M174" s="2803"/>
      <c r="N174" s="2803"/>
      <c r="O174" s="2803">
        <v>20000</v>
      </c>
      <c r="P174" s="2803"/>
      <c r="R174" s="39" t="s">
        <v>2835</v>
      </c>
      <c r="S174" s="35"/>
      <c r="T174" s="2764" t="str">
        <f>'Part I-Project Information'!$O$40</f>
        <v>Camden Co.</v>
      </c>
      <c r="U174" s="2765"/>
      <c r="V174" s="2765"/>
      <c r="W174" s="2765"/>
      <c r="X174" s="2766"/>
    </row>
    <row r="175" spans="1:24" s="35" customFormat="1" ht="13.5" customHeight="1">
      <c r="A175" s="46"/>
      <c r="B175" s="2959" t="s">
        <v>4002</v>
      </c>
      <c r="C175" s="2959"/>
      <c r="D175" s="2959"/>
      <c r="E175" s="2312">
        <v>4500</v>
      </c>
      <c r="F175" s="2312">
        <v>9000</v>
      </c>
      <c r="G175" s="2805">
        <v>22500</v>
      </c>
      <c r="H175" s="2805"/>
      <c r="I175" s="2805"/>
      <c r="J175" s="2805"/>
      <c r="K175" s="2805"/>
      <c r="L175" s="2805"/>
      <c r="M175" s="2805"/>
      <c r="N175" s="2805"/>
      <c r="O175" s="2805">
        <v>30000</v>
      </c>
      <c r="P175" s="2805"/>
      <c r="R175" s="39" t="s">
        <v>3858</v>
      </c>
      <c r="T175" s="2764" t="str">
        <f>VLOOKUP('Part I-Project Information'!$J$39,'DCA Underwriting Assumptions'!$G$158:$J$317,4)</f>
        <v>Non-MSA</v>
      </c>
      <c r="U175" s="2765"/>
      <c r="V175" s="2765"/>
      <c r="W175" s="2765"/>
      <c r="X175" s="2766"/>
    </row>
    <row r="176" spans="1:24" s="54" customFormat="1" ht="9" customHeight="1">
      <c r="A176" s="46"/>
      <c r="B176" s="46"/>
      <c r="C176" s="415"/>
      <c r="K176" s="2301"/>
      <c r="L176" s="2301"/>
    </row>
    <row r="177" spans="1:24" s="54" customFormat="1" ht="12" customHeight="1">
      <c r="B177" s="900" t="s">
        <v>3859</v>
      </c>
      <c r="E177" s="899"/>
      <c r="F177" s="899"/>
      <c r="G177" s="899"/>
      <c r="I177" s="4108">
        <v>4500</v>
      </c>
      <c r="J177" s="1144"/>
      <c r="R177" s="35" t="s">
        <v>3624</v>
      </c>
      <c r="S177" s="35"/>
      <c r="T177" s="2808" t="str">
        <f>'Part I-Project Information'!$K$40</f>
        <v>Rural</v>
      </c>
      <c r="U177" s="2809"/>
      <c r="V177" s="2809"/>
      <c r="W177" s="2809"/>
      <c r="X177" s="2810"/>
    </row>
    <row r="178" spans="1:24" s="54" customFormat="1" ht="12" customHeight="1">
      <c r="A178" s="902"/>
      <c r="B178" s="428" t="s">
        <v>3623</v>
      </c>
      <c r="H178" s="901" t="str">
        <f>IF(I178&lt;I177,"Threshold not met!","")</f>
        <v/>
      </c>
      <c r="I178" s="4109">
        <v>5654</v>
      </c>
      <c r="J178" s="1145"/>
      <c r="K178" s="1119" t="str">
        <f>IF(J178&lt;J177,"Threshold not met!","")</f>
        <v/>
      </c>
    </row>
    <row r="179" spans="1:24" s="54" customFormat="1" ht="8.25" customHeight="1">
      <c r="A179" s="902"/>
      <c r="B179" s="428"/>
    </row>
    <row r="180" spans="1:24" s="54" customFormat="1" ht="11.25" customHeight="1">
      <c r="B180" s="578" t="s">
        <v>1987</v>
      </c>
      <c r="C180" s="35" t="s">
        <v>4163</v>
      </c>
      <c r="D180" s="1060"/>
      <c r="E180" s="1060"/>
      <c r="F180" s="1060"/>
      <c r="G180" s="1060"/>
      <c r="H180" s="1164" t="s">
        <v>1987</v>
      </c>
      <c r="I180" s="1161" t="str">
        <f>IF(OR(I177="",I178=""),"",IF(I178&gt;=I177,"Yes","No"))</f>
        <v>Yes</v>
      </c>
      <c r="J180" s="1161" t="str">
        <f>IF(OR(J177="",J178=""),"",IF(J178&gt;=J177,"Yes","No"))</f>
        <v/>
      </c>
    </row>
    <row r="181" spans="1:24" s="54" customFormat="1" ht="11.25" customHeight="1">
      <c r="A181" s="1061" t="s">
        <v>1353</v>
      </c>
      <c r="B181" s="578" t="s">
        <v>1989</v>
      </c>
      <c r="C181" s="35" t="s">
        <v>4005</v>
      </c>
      <c r="D181" s="1217"/>
      <c r="E181" s="1217"/>
      <c r="F181" s="1217"/>
      <c r="H181" s="1164" t="s">
        <v>1989</v>
      </c>
      <c r="I181" s="1162" t="str">
        <f>IF(OR(I177="",I178=""),"",IF(I178&gt;=HLOOKUP(I177,$E$174:$P$175,2),"Yes","No"))</f>
        <v>Yes</v>
      </c>
      <c r="J181" s="1162" t="str">
        <f>IF(OR(J177="",J178=""),"",IF(J178&gt;=HLOOKUP(J177,$E$174:$P$175,2),"Yes","No"))</f>
        <v/>
      </c>
    </row>
    <row r="182" spans="1:24" s="54" customFormat="1" ht="11.25" customHeight="1">
      <c r="B182" s="138"/>
      <c r="C182" s="428" t="s">
        <v>3880</v>
      </c>
      <c r="D182" s="1217"/>
      <c r="E182" s="1217"/>
      <c r="F182" s="1217"/>
      <c r="G182" s="1118"/>
      <c r="I182" s="1163">
        <f>IF(I178="",0,(I178/I177) - 1)</f>
        <v>0.25644444444444447</v>
      </c>
      <c r="J182" s="1163">
        <f>IF(J178="",0,(J178/J177) - 1)</f>
        <v>0</v>
      </c>
      <c r="M182" s="2301"/>
    </row>
    <row r="183" spans="1:24" s="54" customFormat="1" ht="9" customHeight="1">
      <c r="A183" s="46"/>
      <c r="B183" s="46"/>
      <c r="C183" s="415"/>
      <c r="F183" s="2300"/>
      <c r="K183" s="2301"/>
      <c r="L183" s="2301"/>
    </row>
    <row r="184" spans="1:24" s="42" customFormat="1" ht="10.5" customHeight="1" thickBot="1">
      <c r="A184" s="41"/>
      <c r="B184" s="1206" t="s">
        <v>3751</v>
      </c>
      <c r="C184" s="41"/>
      <c r="D184" s="47"/>
      <c r="E184" s="47"/>
      <c r="F184" s="47"/>
      <c r="G184" s="47"/>
      <c r="H184" s="35"/>
      <c r="I184" s="35"/>
      <c r="J184" s="35"/>
      <c r="K184" s="35"/>
      <c r="M184" s="45"/>
      <c r="N184" s="61"/>
      <c r="O184" s="2"/>
      <c r="P184" s="2288"/>
    </row>
    <row r="185" spans="1:24" s="42" customFormat="1" ht="52.15" customHeight="1" thickTop="1" thickBot="1">
      <c r="A185" s="4034" t="s">
        <v>5264</v>
      </c>
      <c r="B185" s="4035"/>
      <c r="C185" s="4035"/>
      <c r="D185" s="4035"/>
      <c r="E185" s="4035"/>
      <c r="F185" s="4035"/>
      <c r="G185" s="4035"/>
      <c r="H185" s="4035"/>
      <c r="I185" s="4035"/>
      <c r="J185" s="4035"/>
      <c r="K185" s="4035"/>
      <c r="L185" s="4035"/>
      <c r="M185" s="4035"/>
      <c r="N185" s="4035"/>
      <c r="O185" s="4035"/>
      <c r="P185" s="4036"/>
      <c r="Q185" s="1074" t="s">
        <v>1254</v>
      </c>
    </row>
    <row r="186" spans="1:24" s="42" customFormat="1" ht="10.5" customHeight="1" thickTop="1">
      <c r="A186" s="41"/>
      <c r="B186" s="85" t="s">
        <v>1867</v>
      </c>
      <c r="C186" s="98"/>
      <c r="D186" s="85"/>
      <c r="E186" s="99"/>
      <c r="F186" s="2297"/>
      <c r="G186" s="2297"/>
      <c r="H186" s="2297"/>
      <c r="I186" s="2297"/>
      <c r="J186" s="2297"/>
      <c r="K186" s="2297"/>
      <c r="L186" s="2297"/>
      <c r="M186" s="2297"/>
      <c r="N186" s="74"/>
      <c r="O186" s="70"/>
      <c r="P186" s="2285"/>
      <c r="Q186" s="426"/>
    </row>
    <row r="187" spans="1:24" s="42" customFormat="1" ht="11.25" customHeight="1">
      <c r="A187" s="2621"/>
      <c r="B187" s="2622"/>
      <c r="C187" s="2622"/>
      <c r="D187" s="2622"/>
      <c r="E187" s="2622"/>
      <c r="F187" s="2622"/>
      <c r="G187" s="2622"/>
      <c r="H187" s="2622"/>
      <c r="I187" s="2622"/>
      <c r="J187" s="2622"/>
      <c r="K187" s="2622"/>
      <c r="L187" s="2622"/>
      <c r="M187" s="2622"/>
      <c r="N187" s="2622"/>
      <c r="O187" s="2622"/>
      <c r="P187" s="2623"/>
      <c r="Q187" s="445"/>
      <c r="U187" s="2093"/>
    </row>
    <row r="188" spans="1:24" s="42" customFormat="1" ht="3" customHeight="1" thickBot="1">
      <c r="A188" s="41"/>
      <c r="C188" s="2297"/>
      <c r="D188" s="2297"/>
      <c r="E188" s="2297"/>
      <c r="F188" s="2297"/>
      <c r="G188" s="2297"/>
      <c r="H188" s="2297"/>
      <c r="I188" s="2297"/>
      <c r="J188" s="2297"/>
      <c r="K188" s="2297"/>
      <c r="L188" s="2297"/>
      <c r="M188" s="2297"/>
      <c r="N188" s="74"/>
      <c r="O188" s="70"/>
      <c r="P188" s="887"/>
    </row>
    <row r="189" spans="1:24" s="102" customFormat="1" ht="12.4" customHeight="1" thickBot="1">
      <c r="A189" s="152" t="s">
        <v>772</v>
      </c>
      <c r="B189" s="106" t="s">
        <v>4011</v>
      </c>
      <c r="C189" s="92"/>
      <c r="D189" s="58"/>
      <c r="E189" s="58"/>
      <c r="I189" s="1062"/>
      <c r="J189" s="1062"/>
      <c r="K189" s="580"/>
      <c r="L189" s="580"/>
      <c r="M189" s="2285">
        <v>7</v>
      </c>
      <c r="N189" s="6"/>
      <c r="O189" s="1089">
        <f>IF(OR(O$153&gt;0,O$277&gt;0),0,MIN($M$189,O205+O210))</f>
        <v>0</v>
      </c>
      <c r="P189" s="1090">
        <f>IF(OR(P$153&gt;0,P$277&gt;0),0,MIN($M$189,P205+P210))</f>
        <v>0</v>
      </c>
      <c r="Q189" s="109" t="s">
        <v>441</v>
      </c>
      <c r="R189" s="2812" t="s">
        <v>4836</v>
      </c>
      <c r="S189" s="2813"/>
    </row>
    <row r="190" spans="1:24" s="42" customFormat="1" ht="2.25" customHeight="1">
      <c r="A190" s="429"/>
      <c r="C190" s="165"/>
      <c r="D190" s="165"/>
      <c r="E190" s="172"/>
      <c r="F190" s="165"/>
      <c r="G190" s="165"/>
      <c r="H190" s="165"/>
      <c r="I190" s="165"/>
      <c r="J190" s="165"/>
      <c r="K190" s="165"/>
      <c r="L190" s="165"/>
      <c r="M190" s="165"/>
      <c r="N190" s="165"/>
      <c r="O190" s="165"/>
      <c r="P190" s="165"/>
      <c r="R190" s="2814"/>
      <c r="S190" s="2815"/>
    </row>
    <row r="191" spans="1:24" s="42" customFormat="1" ht="23.25" customHeight="1">
      <c r="A191" s="429"/>
      <c r="B191" s="2744" t="s">
        <v>4836</v>
      </c>
      <c r="C191" s="2744"/>
      <c r="D191" s="2744"/>
      <c r="E191" s="2744"/>
      <c r="F191" s="2744"/>
      <c r="G191" s="2744"/>
      <c r="H191" s="2744"/>
      <c r="I191" s="2744"/>
      <c r="J191" s="2744"/>
      <c r="K191" s="2744"/>
      <c r="L191" s="2744"/>
      <c r="M191" s="2744"/>
      <c r="N191" s="2744"/>
      <c r="O191" s="2744"/>
      <c r="P191" s="2744"/>
      <c r="R191" s="2814"/>
      <c r="S191" s="2815"/>
    </row>
    <row r="192" spans="1:24" s="42" customFormat="1" ht="12" customHeight="1">
      <c r="A192" s="429"/>
      <c r="B192" s="165" t="s">
        <v>4128</v>
      </c>
      <c r="C192" s="165"/>
      <c r="D192" s="165"/>
      <c r="E192" s="165"/>
      <c r="F192" s="165"/>
      <c r="G192" s="165"/>
      <c r="H192" s="165"/>
      <c r="I192" s="165"/>
      <c r="J192" s="165"/>
      <c r="K192" s="1173" t="s">
        <v>2511</v>
      </c>
      <c r="L192" s="1174" t="s">
        <v>2511</v>
      </c>
      <c r="N192" s="1209"/>
      <c r="P192" s="1210"/>
      <c r="R192" s="2814"/>
      <c r="S192" s="2815"/>
    </row>
    <row r="193" spans="1:25" s="392" customFormat="1" ht="11.25" customHeight="1">
      <c r="B193" s="1029" t="s">
        <v>2436</v>
      </c>
      <c r="C193" s="2770" t="s">
        <v>4941</v>
      </c>
      <c r="D193" s="2770"/>
      <c r="E193" s="2770"/>
      <c r="F193" s="2770"/>
      <c r="G193" s="2770"/>
      <c r="H193" s="2770"/>
      <c r="I193" s="2770"/>
      <c r="J193" s="1029" t="s">
        <v>2436</v>
      </c>
      <c r="K193" s="4110"/>
      <c r="L193" s="1211"/>
      <c r="M193" s="4111" t="s">
        <v>3854</v>
      </c>
      <c r="N193" s="4112"/>
      <c r="O193" s="4112"/>
      <c r="P193" s="4113"/>
      <c r="R193" s="2814"/>
      <c r="S193" s="2815"/>
    </row>
    <row r="194" spans="1:25" s="42" customFormat="1" ht="11.25" customHeight="1">
      <c r="A194" s="373"/>
      <c r="B194" s="375"/>
      <c r="C194" s="2770"/>
      <c r="D194" s="2770"/>
      <c r="E194" s="2770"/>
      <c r="F194" s="2770"/>
      <c r="G194" s="2770"/>
      <c r="H194" s="2770"/>
      <c r="I194" s="2770"/>
      <c r="K194" s="1190"/>
      <c r="L194" s="1190"/>
      <c r="R194" s="2814"/>
      <c r="S194" s="2815"/>
    </row>
    <row r="195" spans="1:25" s="102" customFormat="1" ht="11.25" customHeight="1">
      <c r="A195" s="429"/>
      <c r="B195" s="375" t="s">
        <v>2437</v>
      </c>
      <c r="C195" s="2769" t="s">
        <v>4830</v>
      </c>
      <c r="D195" s="2769"/>
      <c r="E195" s="2769"/>
      <c r="F195" s="2769"/>
      <c r="G195" s="2769"/>
      <c r="J195" s="375" t="s">
        <v>2437</v>
      </c>
      <c r="K195" s="4114"/>
      <c r="L195" s="538"/>
      <c r="M195" s="4115" t="s">
        <v>3854</v>
      </c>
      <c r="N195" s="4116"/>
      <c r="O195" s="4116"/>
      <c r="P195" s="4117"/>
      <c r="R195" s="2814"/>
      <c r="S195" s="2815"/>
    </row>
    <row r="196" spans="1:25" s="32" customFormat="1" ht="11.25" customHeight="1">
      <c r="B196" s="375" t="s">
        <v>2438</v>
      </c>
      <c r="C196" s="491" t="s">
        <v>4831</v>
      </c>
      <c r="D196" s="491"/>
      <c r="E196" s="491"/>
      <c r="F196" s="491"/>
      <c r="G196" s="491"/>
      <c r="H196" s="491"/>
      <c r="J196" s="375" t="s">
        <v>2438</v>
      </c>
      <c r="K196" s="4118"/>
      <c r="L196" s="2139"/>
      <c r="M196" s="4119" t="s">
        <v>3854</v>
      </c>
      <c r="N196" s="4120"/>
      <c r="O196" s="4120"/>
      <c r="P196" s="4121"/>
      <c r="R196" s="2814"/>
      <c r="S196" s="2815"/>
    </row>
    <row r="197" spans="1:25" s="32" customFormat="1" ht="11.25" customHeight="1">
      <c r="B197" s="375" t="s">
        <v>2440</v>
      </c>
      <c r="C197" s="134" t="s">
        <v>4832</v>
      </c>
      <c r="D197" s="491"/>
      <c r="E197" s="491"/>
      <c r="F197" s="491"/>
      <c r="G197" s="491"/>
      <c r="H197" s="491"/>
      <c r="J197" s="375" t="s">
        <v>2440</v>
      </c>
      <c r="K197" s="4118"/>
      <c r="L197" s="2139"/>
      <c r="M197" s="4119" t="s">
        <v>3854</v>
      </c>
      <c r="N197" s="4120"/>
      <c r="O197" s="4120"/>
      <c r="P197" s="4121"/>
      <c r="R197" s="2814"/>
      <c r="S197" s="2815"/>
    </row>
    <row r="198" spans="1:25" s="32" customFormat="1" ht="11.25" customHeight="1">
      <c r="B198" s="375" t="s">
        <v>2439</v>
      </c>
      <c r="C198" s="51" t="s">
        <v>4834</v>
      </c>
      <c r="D198" s="51"/>
      <c r="E198" s="51"/>
      <c r="F198" s="51"/>
      <c r="G198" s="51"/>
      <c r="H198" s="51"/>
      <c r="J198" s="375" t="s">
        <v>2439</v>
      </c>
      <c r="K198" s="4118"/>
      <c r="L198" s="2139"/>
      <c r="M198" s="4119" t="s">
        <v>3854</v>
      </c>
      <c r="N198" s="4120"/>
      <c r="O198" s="4120"/>
      <c r="P198" s="4121"/>
      <c r="R198" s="2814"/>
      <c r="S198" s="2815"/>
    </row>
    <row r="199" spans="1:25" s="32" customFormat="1" ht="11.25" customHeight="1">
      <c r="B199" s="387" t="s">
        <v>2456</v>
      </c>
      <c r="C199" s="51" t="s">
        <v>4833</v>
      </c>
      <c r="D199" s="491"/>
      <c r="E199" s="491"/>
      <c r="F199" s="491"/>
      <c r="G199" s="491"/>
      <c r="J199" s="387" t="s">
        <v>2456</v>
      </c>
      <c r="K199" s="4118"/>
      <c r="L199" s="2139"/>
      <c r="M199" s="4122" t="s">
        <v>3854</v>
      </c>
      <c r="N199" s="4123"/>
      <c r="O199" s="4123"/>
      <c r="P199" s="4124"/>
      <c r="R199" s="2814"/>
      <c r="S199" s="2815"/>
    </row>
    <row r="200" spans="1:25" s="32" customFormat="1" ht="11.25" customHeight="1">
      <c r="B200" s="387" t="s">
        <v>2457</v>
      </c>
      <c r="C200" s="2776" t="s">
        <v>4939</v>
      </c>
      <c r="D200" s="2776"/>
      <c r="E200" s="2776"/>
      <c r="F200" s="2776"/>
      <c r="G200" s="2776"/>
      <c r="H200" s="2776"/>
      <c r="I200" s="2149"/>
      <c r="J200" s="387" t="s">
        <v>2457</v>
      </c>
      <c r="K200" s="4118"/>
      <c r="L200" s="2139"/>
      <c r="R200" s="2814"/>
      <c r="S200" s="2815"/>
    </row>
    <row r="201" spans="1:25" s="42" customFormat="1" ht="11.25" customHeight="1">
      <c r="A201" s="373"/>
      <c r="B201" s="375"/>
      <c r="C201" s="2776"/>
      <c r="D201" s="2776"/>
      <c r="E201" s="2776"/>
      <c r="F201" s="2776"/>
      <c r="G201" s="2776"/>
      <c r="H201" s="2776"/>
      <c r="I201" s="2149"/>
      <c r="J201" s="387" t="s">
        <v>4940</v>
      </c>
      <c r="K201" s="4125"/>
      <c r="L201" s="2150"/>
      <c r="M201" s="491"/>
      <c r="N201" s="491"/>
      <c r="O201" s="491"/>
      <c r="P201" s="491"/>
      <c r="R201" s="2814"/>
      <c r="S201" s="2815"/>
    </row>
    <row r="202" spans="1:25" s="32" customFormat="1" ht="11.25" customHeight="1">
      <c r="B202" s="1029" t="s">
        <v>2458</v>
      </c>
      <c r="C202" s="2770" t="s">
        <v>4837</v>
      </c>
      <c r="D202" s="2770"/>
      <c r="E202" s="2770"/>
      <c r="F202" s="2770"/>
      <c r="G202" s="2770"/>
      <c r="H202" s="2770"/>
      <c r="I202" s="2770"/>
      <c r="J202" s="387" t="s">
        <v>2458</v>
      </c>
      <c r="K202" s="4126"/>
      <c r="L202" s="539"/>
      <c r="R202" s="2814"/>
      <c r="S202" s="2815"/>
    </row>
    <row r="203" spans="1:25" s="42" customFormat="1" ht="11.25" customHeight="1" thickBot="1">
      <c r="A203" s="373"/>
      <c r="B203" s="375"/>
      <c r="C203" s="2770"/>
      <c r="D203" s="2770"/>
      <c r="E203" s="2770"/>
      <c r="F203" s="2770"/>
      <c r="G203" s="2770"/>
      <c r="H203" s="2770"/>
      <c r="I203" s="2770"/>
      <c r="K203" s="1190"/>
      <c r="L203" s="1190"/>
      <c r="R203" s="2816"/>
      <c r="S203" s="2817"/>
    </row>
    <row r="204" spans="1:25" ht="4.5" customHeight="1">
      <c r="B204" s="387"/>
      <c r="C204" s="491"/>
      <c r="K204" s="39"/>
      <c r="M204" s="373"/>
      <c r="N204" s="373"/>
      <c r="O204" s="373"/>
      <c r="P204" s="373"/>
    </row>
    <row r="205" spans="1:25" ht="11.25" customHeight="1">
      <c r="A205" s="138" t="s">
        <v>1984</v>
      </c>
      <c r="B205" s="177" t="s">
        <v>4010</v>
      </c>
      <c r="H205" s="158"/>
      <c r="I205" s="431" t="s">
        <v>4835</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2768" t="s">
        <v>4927</v>
      </c>
      <c r="D206" s="2768"/>
      <c r="E206" s="2768"/>
      <c r="F206" s="2768"/>
      <c r="G206" s="2768"/>
      <c r="H206" s="2768"/>
      <c r="I206" s="2768"/>
      <c r="J206" s="2768"/>
      <c r="K206" s="2768"/>
      <c r="L206" s="2768"/>
      <c r="M206" s="1132">
        <v>3</v>
      </c>
      <c r="N206" s="478" t="s">
        <v>1987</v>
      </c>
      <c r="O206" s="4046"/>
      <c r="P206" s="861"/>
      <c r="Q206" s="2147" t="str">
        <f>IF(OR($O206=$M206,$O206=0,$O206=""),"","*CHECK!*")</f>
        <v/>
      </c>
      <c r="R206" s="1016" t="s">
        <v>2707</v>
      </c>
    </row>
    <row r="207" spans="1:25" ht="12" customHeight="1">
      <c r="A207" s="508"/>
      <c r="B207" s="586" t="s">
        <v>1989</v>
      </c>
      <c r="C207" s="1028" t="s">
        <v>4925</v>
      </c>
      <c r="D207" s="1028"/>
      <c r="E207" s="1028"/>
      <c r="F207" s="1028"/>
      <c r="G207" s="1028"/>
      <c r="H207" s="1028"/>
      <c r="I207" s="1028"/>
      <c r="J207" s="433" t="s">
        <v>3776</v>
      </c>
      <c r="K207" s="32"/>
      <c r="L207" s="2137" t="str">
        <f>'Part I-Project Information'!$N$39</f>
        <v>No</v>
      </c>
      <c r="M207" s="2295">
        <v>2</v>
      </c>
      <c r="N207" s="435" t="s">
        <v>1989</v>
      </c>
      <c r="O207" s="4032"/>
      <c r="P207" s="530"/>
      <c r="Q207" s="1020" t="str">
        <f>IF(OR($O207=$M207,$O207=0,$O207=""),"","*CHECK!*")</f>
        <v/>
      </c>
      <c r="R207" s="1016" t="s">
        <v>2707</v>
      </c>
    </row>
    <row r="208" spans="1:25" ht="12" customHeight="1">
      <c r="A208" s="508"/>
      <c r="B208" s="586"/>
      <c r="C208" s="2769" t="s">
        <v>4926</v>
      </c>
      <c r="D208" s="2769"/>
      <c r="E208" s="2769"/>
      <c r="F208" s="2769"/>
      <c r="G208" s="2769"/>
      <c r="H208" s="2769"/>
      <c r="I208" s="2110"/>
      <c r="J208" s="433" t="s">
        <v>3575</v>
      </c>
      <c r="K208" s="2140"/>
      <c r="L208" s="2138" t="str">
        <f>'Part I-Project Information'!$O$38</f>
        <v>13039010401</v>
      </c>
      <c r="M208" s="2308"/>
      <c r="N208" s="1132"/>
      <c r="O208" s="1132"/>
      <c r="P208" s="1132"/>
      <c r="Q208" s="1020"/>
      <c r="R208" s="1016"/>
    </row>
    <row r="209" spans="1:23" ht="12" customHeight="1">
      <c r="A209" s="508"/>
      <c r="B209" s="474"/>
      <c r="C209" s="2769"/>
      <c r="D209" s="2769"/>
      <c r="E209" s="2769"/>
      <c r="F209" s="2769"/>
      <c r="G209" s="2769"/>
      <c r="H209" s="2769"/>
      <c r="J209" s="433" t="s">
        <v>3375</v>
      </c>
      <c r="K209" s="32"/>
      <c r="L209" s="2136" t="str">
        <f>'Part IV-A-Uses of Funds'!$H$152</f>
        <v>DDA/QCT</v>
      </c>
      <c r="M209" s="2136"/>
      <c r="N209" s="26"/>
      <c r="O209" s="26"/>
      <c r="P209" s="26"/>
      <c r="R209" s="158"/>
    </row>
    <row r="210" spans="1:23" ht="12" customHeight="1">
      <c r="A210" s="138" t="s">
        <v>1986</v>
      </c>
      <c r="B210" s="177" t="s">
        <v>4838</v>
      </c>
      <c r="D210" s="32"/>
      <c r="F210" s="2099"/>
      <c r="K210" s="1165"/>
      <c r="L210" s="376" t="str">
        <f>IF(OR($O210=$M210,$O210=0,$O210=""),"","* * Check Score! * *")</f>
        <v/>
      </c>
      <c r="M210" s="430">
        <v>2</v>
      </c>
      <c r="N210" s="63" t="s">
        <v>1986</v>
      </c>
      <c r="O210" s="4062">
        <v>2</v>
      </c>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3855</v>
      </c>
      <c r="D212" s="102"/>
      <c r="E212" s="102"/>
      <c r="F212" s="102"/>
      <c r="G212" s="102"/>
      <c r="H212" s="102"/>
      <c r="I212" s="102"/>
      <c r="J212" s="4127" t="s">
        <v>5318</v>
      </c>
      <c r="K212" s="4128"/>
      <c r="L212" s="4128"/>
      <c r="M212" s="4128"/>
      <c r="N212" s="4128"/>
      <c r="O212" s="4128"/>
      <c r="P212" s="4129"/>
      <c r="V212" s="1070"/>
      <c r="W212" s="1070"/>
    </row>
    <row r="213" spans="1:23" s="42" customFormat="1" ht="11.25" customHeight="1">
      <c r="A213" s="175"/>
      <c r="B213" s="463" t="s">
        <v>3778</v>
      </c>
      <c r="C213" s="433" t="s">
        <v>3856</v>
      </c>
      <c r="D213" s="102"/>
      <c r="E213" s="102"/>
      <c r="F213" s="102"/>
      <c r="G213" s="102"/>
      <c r="H213" s="102"/>
      <c r="I213" s="2057" t="str">
        <f>IF($J$213="Government", "Additional documentation required - see QAP.","")</f>
        <v>Additional documentation required - see QAP.</v>
      </c>
      <c r="J213" s="4017" t="s">
        <v>5319</v>
      </c>
      <c r="K213" s="4130"/>
      <c r="L213" s="4131"/>
      <c r="M213" s="102"/>
      <c r="N213" s="102"/>
      <c r="O213" s="102"/>
      <c r="P213" s="102"/>
      <c r="V213" s="1070"/>
      <c r="W213" s="1070"/>
    </row>
    <row r="214" spans="1:23" ht="11.25" customHeight="1">
      <c r="A214" s="176"/>
      <c r="B214" s="463" t="s">
        <v>3779</v>
      </c>
      <c r="C214" s="433" t="s">
        <v>4843</v>
      </c>
      <c r="D214" s="32"/>
      <c r="E214" s="32"/>
      <c r="F214" s="585"/>
      <c r="G214" s="585"/>
      <c r="H214" s="585"/>
      <c r="I214" s="32"/>
      <c r="J214" s="3891" t="s">
        <v>2990</v>
      </c>
      <c r="K214" s="2771" t="s">
        <v>4840</v>
      </c>
      <c r="L214" s="2772"/>
      <c r="M214" s="2772"/>
      <c r="N214" s="2772"/>
      <c r="O214" s="2095"/>
      <c r="P214" s="92"/>
      <c r="V214" s="1070"/>
      <c r="W214" s="1070"/>
    </row>
    <row r="215" spans="1:23" ht="11.25" customHeight="1">
      <c r="A215" s="176"/>
      <c r="B215" s="387" t="s">
        <v>3781</v>
      </c>
      <c r="C215" s="433" t="s">
        <v>4839</v>
      </c>
      <c r="D215" s="32"/>
      <c r="E215" s="32"/>
      <c r="F215" s="585"/>
      <c r="G215" s="585"/>
      <c r="H215" s="585"/>
      <c r="I215" s="32"/>
      <c r="J215" s="3892" t="s">
        <v>2990</v>
      </c>
      <c r="K215" s="2771"/>
      <c r="L215" s="2772"/>
      <c r="M215" s="2772"/>
      <c r="N215" s="2772"/>
      <c r="O215" s="4132">
        <v>0.1</v>
      </c>
      <c r="P215" s="2096" t="s">
        <v>3784</v>
      </c>
      <c r="V215" s="1070"/>
      <c r="W215" s="1070"/>
    </row>
    <row r="216" spans="1:23" ht="11.25" customHeight="1">
      <c r="A216" s="176"/>
      <c r="B216" s="387" t="s">
        <v>3782</v>
      </c>
      <c r="C216" s="433" t="s">
        <v>4842</v>
      </c>
      <c r="D216" s="32"/>
      <c r="E216" s="32"/>
      <c r="F216" s="585"/>
      <c r="G216" s="585"/>
      <c r="H216" s="585"/>
      <c r="I216" s="32"/>
      <c r="J216" s="3893" t="s">
        <v>2993</v>
      </c>
      <c r="L216" s="2097" t="s">
        <v>4841</v>
      </c>
      <c r="N216" s="2098"/>
      <c r="O216" s="4133" t="s">
        <v>5320</v>
      </c>
      <c r="P216" s="4134"/>
      <c r="V216" s="1070"/>
      <c r="W216" s="1070"/>
    </row>
    <row r="217" spans="1:23" ht="2.25" customHeight="1">
      <c r="A217" s="176"/>
      <c r="G217" s="391"/>
      <c r="L217" s="1146"/>
      <c r="V217" s="1070"/>
      <c r="W217" s="1070"/>
    </row>
    <row r="218" spans="1:23" ht="21.75" customHeight="1">
      <c r="A218" s="2964" t="s">
        <v>4168</v>
      </c>
      <c r="B218" s="2962" t="s">
        <v>4165</v>
      </c>
      <c r="C218" s="2963"/>
      <c r="D218" s="3514" t="s">
        <v>5321</v>
      </c>
      <c r="E218" s="3506"/>
      <c r="F218" s="3506"/>
      <c r="G218" s="3506"/>
      <c r="H218" s="3506"/>
      <c r="I218" s="3506"/>
      <c r="J218" s="3506"/>
      <c r="K218" s="3506"/>
      <c r="L218" s="3506"/>
      <c r="M218" s="3506"/>
      <c r="N218" s="3506"/>
      <c r="O218" s="3506"/>
      <c r="P218" s="3507"/>
      <c r="Q218" s="445"/>
      <c r="V218" s="1070"/>
      <c r="W218" s="1070"/>
    </row>
    <row r="219" spans="1:23" ht="22.5" customHeight="1">
      <c r="A219" s="2965"/>
      <c r="B219" s="2960" t="s">
        <v>4166</v>
      </c>
      <c r="C219" s="2961"/>
      <c r="D219" s="3521" t="s">
        <v>5323</v>
      </c>
      <c r="E219" s="3508"/>
      <c r="F219" s="3508"/>
      <c r="G219" s="3508"/>
      <c r="H219" s="3508"/>
      <c r="I219" s="3508"/>
      <c r="J219" s="3508"/>
      <c r="K219" s="3508"/>
      <c r="L219" s="3508"/>
      <c r="M219" s="3508"/>
      <c r="N219" s="3508"/>
      <c r="O219" s="3508"/>
      <c r="P219" s="3509"/>
      <c r="Q219" s="445"/>
      <c r="V219" s="1070"/>
      <c r="W219" s="1070"/>
    </row>
    <row r="220" spans="1:23" ht="22.5" customHeight="1">
      <c r="A220" s="2966"/>
      <c r="B220" s="2969" t="s">
        <v>4921</v>
      </c>
      <c r="C220" s="2970"/>
      <c r="D220" s="3528" t="s">
        <v>5322</v>
      </c>
      <c r="E220" s="3512"/>
      <c r="F220" s="3512"/>
      <c r="G220" s="3512"/>
      <c r="H220" s="3512"/>
      <c r="I220" s="3512"/>
      <c r="J220" s="3512"/>
      <c r="K220" s="3512"/>
      <c r="L220" s="3512"/>
      <c r="M220" s="3512"/>
      <c r="N220" s="3512"/>
      <c r="O220" s="3512"/>
      <c r="P220" s="3513"/>
      <c r="Q220" s="445"/>
      <c r="V220" s="1070"/>
      <c r="W220" s="1070"/>
    </row>
    <row r="221" spans="1:23" ht="11.25" customHeight="1">
      <c r="B221" s="35" t="s">
        <v>3454</v>
      </c>
      <c r="G221" s="2948" t="s">
        <v>2630</v>
      </c>
      <c r="H221" s="2948"/>
      <c r="J221" s="4135">
        <v>8024888.9000000004</v>
      </c>
      <c r="K221" s="4136"/>
      <c r="L221" s="2967"/>
      <c r="M221" s="2968"/>
      <c r="V221" s="1070"/>
      <c r="W221" s="1070"/>
    </row>
    <row r="222" spans="1:23" s="42" customFormat="1" ht="11.25" customHeight="1">
      <c r="C222" s="35" t="s">
        <v>3455</v>
      </c>
      <c r="D222" s="2297"/>
      <c r="G222" s="2971">
        <f ca="1">'Part IV-A-Uses of Funds'!$G$132</f>
        <v>15903809.932432491</v>
      </c>
      <c r="H222" s="2972"/>
      <c r="J222" s="2946">
        <f ca="1">IF($J221=0,0,$J221/$G$222)</f>
        <v>0.50458908488556065</v>
      </c>
      <c r="K222" s="2947"/>
      <c r="L222" s="2946">
        <f>IF($L221=0,0,$L221/$G$222)</f>
        <v>0</v>
      </c>
      <c r="M222" s="2947"/>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85"/>
    </row>
    <row r="224" spans="1:23" s="42" customFormat="1" ht="21.75" customHeight="1" thickTop="1" thickBot="1">
      <c r="A224" s="4034" t="s">
        <v>5265</v>
      </c>
      <c r="B224" s="4035"/>
      <c r="C224" s="4035"/>
      <c r="D224" s="4035"/>
      <c r="E224" s="4035"/>
      <c r="F224" s="4035"/>
      <c r="G224" s="4035"/>
      <c r="H224" s="4035"/>
      <c r="I224" s="4035"/>
      <c r="J224" s="4035"/>
      <c r="K224" s="4035"/>
      <c r="L224" s="4035"/>
      <c r="M224" s="4035"/>
      <c r="N224" s="4035"/>
      <c r="O224" s="4035"/>
      <c r="P224" s="4036"/>
      <c r="Q224" s="1074" t="s">
        <v>1254</v>
      </c>
    </row>
    <row r="225" spans="1:23" s="102" customFormat="1" ht="11.65" customHeight="1" thickTop="1">
      <c r="A225" s="41"/>
      <c r="B225" s="97" t="s">
        <v>1867</v>
      </c>
      <c r="C225" s="41"/>
      <c r="D225" s="97"/>
      <c r="E225" s="2303"/>
      <c r="F225" s="2303"/>
      <c r="G225" s="2303"/>
      <c r="H225" s="2303"/>
      <c r="I225" s="2303"/>
      <c r="J225" s="2303"/>
      <c r="K225" s="2303"/>
      <c r="L225" s="2303"/>
      <c r="M225" s="2303"/>
      <c r="N225" s="93"/>
      <c r="O225" s="872"/>
      <c r="P225" s="2285"/>
      <c r="Q225" s="426"/>
    </row>
    <row r="226" spans="1:23" s="42" customFormat="1" ht="11.25" customHeight="1">
      <c r="A226" s="2621"/>
      <c r="B226" s="2622"/>
      <c r="C226" s="2622"/>
      <c r="D226" s="2622"/>
      <c r="E226" s="2622"/>
      <c r="F226" s="2622"/>
      <c r="G226" s="2622"/>
      <c r="H226" s="2622"/>
      <c r="I226" s="2622"/>
      <c r="J226" s="2622"/>
      <c r="K226" s="2622"/>
      <c r="L226" s="2622"/>
      <c r="M226" s="2622"/>
      <c r="N226" s="2622"/>
      <c r="O226" s="2622"/>
      <c r="P226" s="2623"/>
      <c r="Q226" s="445"/>
    </row>
    <row r="227" spans="1:23" s="42" customFormat="1" ht="3" customHeight="1" thickBot="1">
      <c r="A227" s="41"/>
      <c r="C227" s="2297"/>
      <c r="D227" s="2297"/>
      <c r="E227" s="2297"/>
      <c r="F227" s="2297"/>
      <c r="G227" s="2297"/>
      <c r="H227" s="2297"/>
      <c r="I227" s="2297"/>
      <c r="J227" s="2297"/>
      <c r="K227" s="2297"/>
      <c r="L227" s="2297"/>
      <c r="M227" s="2297"/>
      <c r="N227" s="74"/>
      <c r="O227" s="70"/>
      <c r="P227" s="887"/>
    </row>
    <row r="228" spans="1:23" s="42" customFormat="1" ht="13.5" customHeight="1" thickBot="1">
      <c r="A228" s="152" t="s">
        <v>292</v>
      </c>
      <c r="B228" s="106" t="s">
        <v>4014</v>
      </c>
      <c r="C228" s="2297"/>
      <c r="D228" s="2297"/>
      <c r="E228" s="2297"/>
      <c r="F228" s="2297"/>
      <c r="G228" s="2297"/>
      <c r="H228" s="2297"/>
      <c r="I228" s="2297"/>
      <c r="J228" s="2297"/>
      <c r="M228" s="887">
        <v>3</v>
      </c>
      <c r="N228" s="74"/>
      <c r="O228" s="70"/>
      <c r="P228" s="1123"/>
      <c r="Q228" s="109" t="s">
        <v>441</v>
      </c>
      <c r="R228" s="1016" t="s">
        <v>2707</v>
      </c>
    </row>
    <row r="229" spans="1:23" s="42" customFormat="1" ht="13.5" customHeight="1">
      <c r="A229" s="152"/>
      <c r="B229" s="103" t="s">
        <v>4607</v>
      </c>
      <c r="C229" s="2297"/>
      <c r="D229" s="2297"/>
      <c r="E229" s="2297"/>
      <c r="F229" s="2297"/>
      <c r="G229" s="2297"/>
      <c r="H229" s="2297"/>
      <c r="I229" s="2297"/>
      <c r="J229" s="2297"/>
      <c r="K229" s="2289"/>
      <c r="L229" s="2100" t="str">
        <f>IF(OR(O$153&gt;0,O$277&gt;0),"Applicant is ineligible for points in this section!  Points claimed in VI or IX.","")</f>
        <v>Applicant is ineligible for points in this section!  Points claimed in VI or IX.</v>
      </c>
      <c r="M229" s="887"/>
      <c r="N229" s="74"/>
      <c r="O229" s="3897"/>
      <c r="P229" s="1953"/>
      <c r="Q229" s="109"/>
      <c r="R229" s="1016"/>
    </row>
    <row r="230" spans="1:23" s="42" customFormat="1" ht="13.5" customHeight="1">
      <c r="A230" s="152"/>
      <c r="B230" s="113" t="s">
        <v>4016</v>
      </c>
      <c r="C230" s="2297"/>
      <c r="D230" s="2297"/>
      <c r="E230" s="2297"/>
      <c r="F230" s="2297"/>
      <c r="G230" s="2297"/>
      <c r="H230" s="2297"/>
      <c r="I230" s="2297"/>
      <c r="J230" s="2297"/>
      <c r="K230" s="2289" t="s">
        <v>3246</v>
      </c>
      <c r="L230" s="2289" t="s">
        <v>256</v>
      </c>
      <c r="M230" s="887"/>
      <c r="N230" s="74"/>
      <c r="O230" s="70"/>
      <c r="P230" s="70"/>
      <c r="Q230" s="109"/>
      <c r="R230" s="1016"/>
    </row>
    <row r="231" spans="1:23" s="42" customFormat="1" ht="11.25" customHeight="1">
      <c r="A231" s="138"/>
      <c r="C231" s="54" t="s">
        <v>4850</v>
      </c>
      <c r="K231" s="1170">
        <f>$O$189</f>
        <v>0</v>
      </c>
      <c r="L231" s="1171">
        <f>$P$189</f>
        <v>0</v>
      </c>
      <c r="N231" s="463" t="s">
        <v>2436</v>
      </c>
      <c r="O231" s="3891"/>
      <c r="P231" s="534"/>
      <c r="R231" s="376"/>
    </row>
    <row r="232" spans="1:23" s="42" customFormat="1" ht="11.25" customHeight="1">
      <c r="A232" s="138"/>
      <c r="C232" s="54" t="s">
        <v>4851</v>
      </c>
      <c r="K232" s="1170">
        <f>$O$107</f>
        <v>4</v>
      </c>
      <c r="L232" s="1171">
        <f>$P$107</f>
        <v>0</v>
      </c>
      <c r="N232" s="463" t="s">
        <v>2437</v>
      </c>
      <c r="O232" s="3892"/>
      <c r="P232" s="535"/>
      <c r="R232" s="1070"/>
      <c r="S232" s="1070"/>
    </row>
    <row r="233" spans="1:23" s="42" customFormat="1" ht="11.25" customHeight="1">
      <c r="C233" s="54" t="s">
        <v>4852</v>
      </c>
      <c r="N233" s="463" t="s">
        <v>2438</v>
      </c>
      <c r="O233" s="3893"/>
      <c r="P233" s="535"/>
      <c r="R233" s="1070"/>
      <c r="S233" s="1070"/>
    </row>
    <row r="234" spans="1:23" s="42" customFormat="1" ht="11.25" customHeight="1">
      <c r="A234" s="138"/>
      <c r="C234" s="54" t="s">
        <v>4020</v>
      </c>
      <c r="K234" s="2088" t="str">
        <f>'Part I-Project Information'!F38</f>
        <v>Kingsland</v>
      </c>
      <c r="L234" s="2089"/>
      <c r="N234" s="463" t="s">
        <v>2439</v>
      </c>
      <c r="O234" s="463"/>
      <c r="P234" s="535"/>
      <c r="R234" s="1070"/>
      <c r="S234" s="1070"/>
    </row>
    <row r="235" spans="1:23" s="42" customFormat="1" ht="11.25" customHeight="1">
      <c r="A235" s="138"/>
      <c r="C235" s="54" t="s">
        <v>4943</v>
      </c>
      <c r="K235" s="1170">
        <f>$O$153</f>
        <v>5</v>
      </c>
      <c r="L235" s="1171">
        <f>$P$153</f>
        <v>0</v>
      </c>
      <c r="N235" s="463" t="s">
        <v>2440</v>
      </c>
      <c r="O235" s="3891"/>
      <c r="P235" s="535"/>
      <c r="R235" s="1070"/>
      <c r="S235" s="1070"/>
    </row>
    <row r="236" spans="1:23" s="42" customFormat="1" ht="11.25" customHeight="1">
      <c r="A236" s="138"/>
      <c r="C236" s="54" t="s">
        <v>4942</v>
      </c>
      <c r="K236" s="1170">
        <f>$O$277</f>
        <v>4</v>
      </c>
      <c r="L236" s="1171">
        <f>$P$277</f>
        <v>0</v>
      </c>
      <c r="N236" s="463" t="s">
        <v>2439</v>
      </c>
      <c r="O236" s="3893"/>
      <c r="P236" s="536"/>
      <c r="R236" s="1070"/>
      <c r="S236" s="1070"/>
    </row>
    <row r="237" spans="1:23" s="42" customFormat="1" ht="3" customHeight="1">
      <c r="A237" s="41"/>
      <c r="C237" s="2297"/>
      <c r="D237" s="2297"/>
      <c r="E237" s="2297"/>
      <c r="F237" s="2297"/>
      <c r="G237" s="2297"/>
      <c r="H237" s="2297"/>
      <c r="I237" s="2297"/>
      <c r="J237" s="2297"/>
      <c r="K237" s="2297"/>
      <c r="L237" s="2297"/>
      <c r="M237" s="2297"/>
      <c r="N237" s="74"/>
      <c r="O237" s="70"/>
      <c r="P237" s="887"/>
    </row>
    <row r="238" spans="1:23" ht="11.25" customHeight="1">
      <c r="A238" s="138" t="s">
        <v>1984</v>
      </c>
      <c r="B238" s="177" t="s">
        <v>4023</v>
      </c>
      <c r="D238" s="32"/>
      <c r="G238" s="474" t="s">
        <v>3780</v>
      </c>
      <c r="N238" s="26"/>
      <c r="O238" s="26"/>
      <c r="P238" s="26"/>
      <c r="Q238" s="1026"/>
    </row>
    <row r="239" spans="1:23" s="32" customFormat="1" ht="11.25" customHeight="1">
      <c r="A239" s="508"/>
      <c r="B239" s="134" t="s">
        <v>3860</v>
      </c>
      <c r="D239" s="4137"/>
      <c r="E239" s="4138"/>
      <c r="F239" s="4138"/>
      <c r="G239" s="3740"/>
      <c r="H239" s="4139"/>
      <c r="I239" s="2294" t="s">
        <v>2705</v>
      </c>
      <c r="J239" s="4137"/>
      <c r="K239" s="4138"/>
      <c r="L239" s="4138"/>
      <c r="M239" s="4138"/>
      <c r="N239" s="4139"/>
      <c r="O239" s="572"/>
      <c r="P239" s="572"/>
      <c r="Q239" s="1026"/>
      <c r="R239" s="2951" t="s">
        <v>5019</v>
      </c>
      <c r="S239" s="2952"/>
    </row>
    <row r="240" spans="1:23" s="32" customFormat="1" ht="11.25" customHeight="1">
      <c r="A240" s="508"/>
      <c r="B240" s="134" t="s">
        <v>2195</v>
      </c>
      <c r="D240" s="4140"/>
      <c r="E240" s="4141"/>
      <c r="F240" s="4142"/>
      <c r="G240" s="134" t="s">
        <v>1721</v>
      </c>
      <c r="H240" s="4143"/>
      <c r="I240" s="433" t="s">
        <v>1800</v>
      </c>
      <c r="J240" s="4140"/>
      <c r="K240" s="4141"/>
      <c r="L240" s="4141"/>
      <c r="M240" s="4141"/>
      <c r="N240" s="4142"/>
      <c r="Q240" s="1026"/>
      <c r="R240" s="2953"/>
      <c r="S240" s="295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2953"/>
      <c r="S241" s="2954"/>
    </row>
    <row r="242" spans="1:23" ht="10.5" customHeight="1">
      <c r="A242" s="508"/>
      <c r="B242" s="586" t="s">
        <v>1987</v>
      </c>
      <c r="C242" s="1028" t="s">
        <v>4022</v>
      </c>
      <c r="D242" s="1023"/>
      <c r="E242" s="1023"/>
      <c r="F242" s="1023"/>
      <c r="G242" s="1023"/>
      <c r="H242" s="1023"/>
      <c r="I242" s="1023"/>
      <c r="J242" s="1023"/>
      <c r="K242" s="1023"/>
      <c r="L242" s="1023"/>
      <c r="M242" s="1023"/>
      <c r="N242" s="1023"/>
      <c r="O242" s="516" t="s">
        <v>2511</v>
      </c>
      <c r="P242" s="516" t="s">
        <v>2511</v>
      </c>
      <c r="Q242" s="1023"/>
      <c r="R242" s="2953"/>
      <c r="S242" s="2954"/>
    </row>
    <row r="243" spans="1:23" s="32" customFormat="1" ht="21.75" customHeight="1">
      <c r="A243" s="2295"/>
      <c r="B243" s="614"/>
      <c r="C243" s="2769" t="s">
        <v>4033</v>
      </c>
      <c r="D243" s="2769"/>
      <c r="E243" s="2769"/>
      <c r="F243" s="2769"/>
      <c r="G243" s="2769"/>
      <c r="H243" s="2769"/>
      <c r="I243" s="2769"/>
      <c r="J243" s="2769"/>
      <c r="K243" s="2769"/>
      <c r="L243" s="2769"/>
      <c r="M243" s="2769"/>
      <c r="N243" s="390" t="s">
        <v>1987</v>
      </c>
      <c r="O243" s="3966"/>
      <c r="P243" s="1150"/>
      <c r="Q243" s="1023"/>
      <c r="R243" s="2953"/>
      <c r="S243" s="2954"/>
      <c r="V243" s="1070"/>
      <c r="W243" s="1070"/>
    </row>
    <row r="244" spans="1:23" s="32" customFormat="1" ht="11.25" customHeight="1">
      <c r="A244" s="508"/>
      <c r="B244" s="463" t="s">
        <v>2436</v>
      </c>
      <c r="C244" s="134" t="s">
        <v>4024</v>
      </c>
      <c r="D244" s="4144"/>
      <c r="E244" s="4145"/>
      <c r="F244" s="4145"/>
      <c r="G244" s="4138"/>
      <c r="H244" s="4146"/>
      <c r="I244" s="2294" t="s">
        <v>2705</v>
      </c>
      <c r="J244" s="4144"/>
      <c r="K244" s="4145"/>
      <c r="L244" s="4145"/>
      <c r="M244" s="4145"/>
      <c r="N244" s="4146"/>
      <c r="O244" s="2940" t="s">
        <v>4026</v>
      </c>
      <c r="P244" s="2941"/>
      <c r="Q244" s="1023"/>
      <c r="R244" s="2953"/>
      <c r="S244" s="2954"/>
      <c r="V244" s="1070"/>
      <c r="W244" s="1070"/>
    </row>
    <row r="245" spans="1:23" s="32" customFormat="1" ht="11.25" customHeight="1">
      <c r="A245" s="508"/>
      <c r="C245" s="1078" t="s">
        <v>2195</v>
      </c>
      <c r="D245" s="4140"/>
      <c r="E245" s="4141"/>
      <c r="F245" s="4142"/>
      <c r="G245" s="1148" t="s">
        <v>1721</v>
      </c>
      <c r="H245" s="4143"/>
      <c r="I245" s="1077" t="s">
        <v>1800</v>
      </c>
      <c r="J245" s="4140"/>
      <c r="K245" s="4141"/>
      <c r="L245" s="4141"/>
      <c r="M245" s="4141"/>
      <c r="N245" s="4142"/>
      <c r="O245" s="3893"/>
      <c r="P245" s="536"/>
      <c r="Q245" s="1023"/>
      <c r="R245" s="2953"/>
      <c r="S245" s="2954"/>
      <c r="V245" s="1070"/>
      <c r="W245" s="1070"/>
    </row>
    <row r="246" spans="1:23" s="32" customFormat="1" ht="11.25" customHeight="1">
      <c r="A246" s="508"/>
      <c r="B246" s="463" t="s">
        <v>2437</v>
      </c>
      <c r="C246" s="134" t="s">
        <v>4025</v>
      </c>
      <c r="D246" s="4144"/>
      <c r="E246" s="4145"/>
      <c r="F246" s="4145"/>
      <c r="G246" s="4138"/>
      <c r="H246" s="4146"/>
      <c r="I246" s="2294" t="s">
        <v>2705</v>
      </c>
      <c r="J246" s="4144"/>
      <c r="K246" s="4145"/>
      <c r="L246" s="4145"/>
      <c r="M246" s="4145"/>
      <c r="N246" s="4146"/>
      <c r="O246" s="2940" t="s">
        <v>4026</v>
      </c>
      <c r="P246" s="2941"/>
      <c r="Q246" s="1023"/>
      <c r="R246" s="2953"/>
      <c r="S246" s="2954"/>
      <c r="V246" s="1070"/>
      <c r="W246" s="1070"/>
    </row>
    <row r="247" spans="1:23" s="32" customFormat="1" ht="11.25" customHeight="1">
      <c r="A247" s="508"/>
      <c r="C247" s="1078" t="s">
        <v>2195</v>
      </c>
      <c r="D247" s="4140"/>
      <c r="E247" s="4141"/>
      <c r="F247" s="4142"/>
      <c r="G247" s="1148" t="s">
        <v>1721</v>
      </c>
      <c r="H247" s="4143"/>
      <c r="I247" s="1077" t="s">
        <v>1800</v>
      </c>
      <c r="J247" s="4140"/>
      <c r="K247" s="4141"/>
      <c r="L247" s="4141"/>
      <c r="M247" s="4141"/>
      <c r="N247" s="4142"/>
      <c r="O247" s="3893"/>
      <c r="P247" s="536"/>
      <c r="Q247" s="1023"/>
      <c r="R247" s="2953"/>
      <c r="S247" s="2954"/>
      <c r="V247" s="1070"/>
      <c r="W247" s="1070"/>
    </row>
    <row r="248" spans="1:23" ht="11.25" customHeight="1">
      <c r="A248" s="508"/>
      <c r="B248" s="586" t="s">
        <v>1989</v>
      </c>
      <c r="C248" s="1028" t="s">
        <v>4027</v>
      </c>
      <c r="D248" s="1023"/>
      <c r="E248" s="1023"/>
      <c r="F248" s="1023"/>
      <c r="G248" s="474" t="s">
        <v>3780</v>
      </c>
      <c r="H248" s="1023"/>
      <c r="I248" s="1023"/>
      <c r="J248" s="1023"/>
      <c r="K248" s="1023"/>
      <c r="L248" s="1023"/>
      <c r="M248" s="1023"/>
      <c r="N248" s="1023"/>
      <c r="O248" s="516" t="s">
        <v>2511</v>
      </c>
      <c r="P248" s="516" t="s">
        <v>2511</v>
      </c>
      <c r="Q248" s="1023"/>
      <c r="R248" s="2953"/>
      <c r="S248" s="2954"/>
    </row>
    <row r="249" spans="1:23" ht="33.75" customHeight="1">
      <c r="A249" s="508"/>
      <c r="B249" s="1030"/>
      <c r="C249" s="2770" t="s">
        <v>4132</v>
      </c>
      <c r="D249" s="2770"/>
      <c r="E249" s="2770"/>
      <c r="F249" s="2770"/>
      <c r="G249" s="2770"/>
      <c r="H249" s="2770"/>
      <c r="I249" s="2770"/>
      <c r="J249" s="2770"/>
      <c r="K249" s="2770"/>
      <c r="L249" s="2770"/>
      <c r="M249" s="2770"/>
      <c r="N249" s="390" t="s">
        <v>1989</v>
      </c>
      <c r="O249" s="3966"/>
      <c r="P249" s="1150"/>
      <c r="Q249" s="1027"/>
      <c r="R249" s="2953"/>
      <c r="S249" s="2954"/>
      <c r="V249" s="1070"/>
      <c r="W249" s="1070"/>
    </row>
    <row r="250" spans="1:23" ht="11.25" customHeight="1">
      <c r="A250" s="508"/>
      <c r="B250" s="463" t="s">
        <v>2436</v>
      </c>
      <c r="C250" s="1032" t="s">
        <v>4133</v>
      </c>
      <c r="D250" s="2305"/>
      <c r="E250" s="2305"/>
      <c r="F250" s="2305"/>
      <c r="G250" s="2305"/>
      <c r="H250" s="2305"/>
      <c r="I250" s="2305"/>
      <c r="J250" s="2305"/>
      <c r="K250" s="2305"/>
      <c r="L250" s="2305"/>
      <c r="M250" s="2305"/>
      <c r="N250" s="2305"/>
      <c r="O250" s="2305"/>
      <c r="P250" s="2305"/>
      <c r="Q250" s="1027"/>
      <c r="R250" s="2953"/>
      <c r="S250" s="2954"/>
      <c r="V250" s="1070"/>
      <c r="W250" s="1070"/>
    </row>
    <row r="251" spans="1:23" ht="11.25" customHeight="1">
      <c r="A251" s="508"/>
      <c r="B251" s="32"/>
      <c r="C251" s="4147" t="s">
        <v>4608</v>
      </c>
      <c r="D251" s="4148"/>
      <c r="E251" s="4148"/>
      <c r="F251" s="4148"/>
      <c r="G251" s="4148"/>
      <c r="H251" s="4148"/>
      <c r="I251" s="4148"/>
      <c r="J251" s="4148"/>
      <c r="K251" s="4148"/>
      <c r="L251" s="4148"/>
      <c r="M251" s="4148"/>
      <c r="N251" s="4148"/>
      <c r="O251" s="4148"/>
      <c r="P251" s="4149"/>
      <c r="Q251" s="1074"/>
      <c r="R251" s="2953"/>
      <c r="S251" s="2954"/>
      <c r="V251" s="1070"/>
      <c r="W251" s="1070"/>
    </row>
    <row r="252" spans="1:23" ht="11.25" customHeight="1">
      <c r="A252" s="508"/>
      <c r="B252" s="1030"/>
      <c r="C252" s="4056" t="s">
        <v>226</v>
      </c>
      <c r="D252" s="4057"/>
      <c r="E252" s="4057"/>
      <c r="F252" s="4057"/>
      <c r="G252" s="4057"/>
      <c r="H252" s="4057"/>
      <c r="I252" s="4057"/>
      <c r="J252" s="4057"/>
      <c r="K252" s="4057"/>
      <c r="L252" s="4057"/>
      <c r="M252" s="4057"/>
      <c r="N252" s="4057"/>
      <c r="O252" s="4057"/>
      <c r="P252" s="4058"/>
      <c r="Q252" s="1027"/>
      <c r="R252" s="2953"/>
      <c r="S252" s="2954"/>
      <c r="V252" s="1070"/>
      <c r="W252" s="1070"/>
    </row>
    <row r="253" spans="1:23" ht="11.25" customHeight="1">
      <c r="A253" s="508"/>
      <c r="B253" s="1030"/>
      <c r="C253" s="4059" t="s">
        <v>1404</v>
      </c>
      <c r="D253" s="4060"/>
      <c r="E253" s="4060"/>
      <c r="F253" s="4060"/>
      <c r="G253" s="4060"/>
      <c r="H253" s="4060"/>
      <c r="I253" s="4060"/>
      <c r="J253" s="4060"/>
      <c r="K253" s="4060"/>
      <c r="L253" s="4060"/>
      <c r="M253" s="4060"/>
      <c r="N253" s="4060"/>
      <c r="O253" s="4060"/>
      <c r="P253" s="4061"/>
      <c r="Q253" s="1027"/>
      <c r="R253" s="2953"/>
      <c r="S253" s="2954"/>
      <c r="V253" s="1070"/>
      <c r="W253" s="1070"/>
    </row>
    <row r="254" spans="1:23" ht="11.25" customHeight="1">
      <c r="A254" s="508"/>
      <c r="B254" s="463" t="s">
        <v>2437</v>
      </c>
      <c r="C254" s="1032" t="s">
        <v>4131</v>
      </c>
      <c r="D254" s="2305"/>
      <c r="E254" s="2305"/>
      <c r="F254" s="2305"/>
      <c r="G254" s="2305"/>
      <c r="H254" s="2305"/>
      <c r="I254" s="2305"/>
      <c r="J254" s="2305"/>
      <c r="K254" s="2305"/>
      <c r="L254" s="2840" t="s">
        <v>4135</v>
      </c>
      <c r="M254" s="2840"/>
      <c r="N254" s="2841" t="s">
        <v>4136</v>
      </c>
      <c r="O254" s="2841"/>
      <c r="P254" s="2841"/>
      <c r="Q254" s="1027"/>
      <c r="R254" s="2953"/>
      <c r="S254" s="2954"/>
      <c r="V254" s="1070"/>
      <c r="W254" s="1070"/>
    </row>
    <row r="255" spans="1:23" ht="11.25" customHeight="1">
      <c r="A255" s="508"/>
      <c r="B255" s="1030"/>
      <c r="C255" s="4068" t="s">
        <v>4608</v>
      </c>
      <c r="D255" s="4069"/>
      <c r="E255" s="4069"/>
      <c r="F255" s="4069"/>
      <c r="G255" s="4069"/>
      <c r="H255" s="4069"/>
      <c r="I255" s="4069"/>
      <c r="J255" s="4069"/>
      <c r="K255" s="4070"/>
      <c r="L255" s="4068"/>
      <c r="M255" s="4070"/>
      <c r="N255" s="4068"/>
      <c r="O255" s="4069"/>
      <c r="P255" s="4070"/>
      <c r="Q255" s="1074"/>
      <c r="R255" s="2953"/>
      <c r="S255" s="2954"/>
      <c r="V255" s="1070"/>
      <c r="W255" s="1070"/>
    </row>
    <row r="256" spans="1:23" ht="11.25" customHeight="1">
      <c r="A256" s="508"/>
      <c r="B256" s="1030"/>
      <c r="C256" s="4073" t="s">
        <v>226</v>
      </c>
      <c r="D256" s="4074"/>
      <c r="E256" s="4074"/>
      <c r="F256" s="4074"/>
      <c r="G256" s="4074"/>
      <c r="H256" s="4074"/>
      <c r="I256" s="4074"/>
      <c r="J256" s="4074"/>
      <c r="K256" s="4075"/>
      <c r="L256" s="4073"/>
      <c r="M256" s="4075"/>
      <c r="N256" s="4073"/>
      <c r="O256" s="4074"/>
      <c r="P256" s="4075"/>
      <c r="Q256" s="1027"/>
      <c r="R256" s="2953"/>
      <c r="S256" s="2954"/>
      <c r="V256" s="1070"/>
      <c r="W256" s="1070"/>
    </row>
    <row r="257" spans="1:23" ht="11.25" customHeight="1">
      <c r="A257" s="508"/>
      <c r="B257" s="1030"/>
      <c r="C257" s="4078" t="s">
        <v>1404</v>
      </c>
      <c r="D257" s="4079"/>
      <c r="E257" s="4079"/>
      <c r="F257" s="4079"/>
      <c r="G257" s="4079"/>
      <c r="H257" s="4079"/>
      <c r="I257" s="4079"/>
      <c r="J257" s="4079"/>
      <c r="K257" s="4080"/>
      <c r="L257" s="4078"/>
      <c r="M257" s="4080"/>
      <c r="N257" s="4078"/>
      <c r="O257" s="4079"/>
      <c r="P257" s="4080"/>
      <c r="Q257" s="1027"/>
      <c r="R257" s="2953"/>
      <c r="S257" s="2954"/>
      <c r="V257" s="1070"/>
      <c r="W257" s="1070"/>
    </row>
    <row r="258" spans="1:23" ht="11.25" customHeight="1">
      <c r="A258" s="508"/>
      <c r="B258" s="586" t="s">
        <v>2535</v>
      </c>
      <c r="C258" s="1028" t="s">
        <v>4028</v>
      </c>
      <c r="D258" s="1023"/>
      <c r="E258" s="1023"/>
      <c r="F258" s="1023"/>
      <c r="G258" s="1023"/>
      <c r="H258" s="1023"/>
      <c r="I258" s="1023"/>
      <c r="J258" s="1023"/>
      <c r="K258" s="1023"/>
      <c r="L258" s="1023"/>
      <c r="M258" s="1023"/>
      <c r="N258" s="1023"/>
      <c r="O258" s="516"/>
      <c r="P258" s="516"/>
      <c r="Q258" s="1023"/>
      <c r="R258" s="2955"/>
      <c r="S258" s="2956"/>
    </row>
    <row r="259" spans="1:23" s="32" customFormat="1" ht="11.25" customHeight="1">
      <c r="A259" s="508"/>
      <c r="B259" s="1031"/>
      <c r="C259" s="2769" t="s">
        <v>4032</v>
      </c>
      <c r="D259" s="2769"/>
      <c r="E259" s="2769"/>
      <c r="F259" s="2769"/>
      <c r="G259" s="2769"/>
      <c r="H259" s="2769"/>
      <c r="I259" s="2769"/>
      <c r="J259" s="2769"/>
      <c r="K259" s="2769"/>
      <c r="L259" s="2769"/>
      <c r="M259" s="2769"/>
      <c r="N259" s="390" t="s">
        <v>2535</v>
      </c>
      <c r="O259" s="3897"/>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2768" t="s">
        <v>4034</v>
      </c>
      <c r="D261" s="2768"/>
      <c r="E261" s="2768"/>
      <c r="F261" s="2768"/>
      <c r="G261" s="2768"/>
      <c r="H261" s="2768"/>
      <c r="I261" s="2768"/>
      <c r="J261" s="2768"/>
      <c r="K261" s="2768"/>
      <c r="L261" s="2768"/>
      <c r="M261" s="2768"/>
      <c r="N261" s="390" t="s">
        <v>1224</v>
      </c>
      <c r="O261" s="3966"/>
      <c r="P261" s="1150"/>
      <c r="Q261" s="1027"/>
      <c r="V261" s="1070"/>
      <c r="W261" s="1070"/>
    </row>
    <row r="262" spans="1:23" s="32" customFormat="1" ht="10.5" customHeight="1">
      <c r="A262" s="508"/>
      <c r="B262" s="1031"/>
      <c r="C262" s="2306"/>
      <c r="D262" s="2306"/>
      <c r="E262" s="2306"/>
      <c r="F262" s="2306"/>
      <c r="G262" s="614" t="s">
        <v>4944</v>
      </c>
      <c r="H262" s="2306"/>
      <c r="J262" s="4150"/>
      <c r="K262" s="4151"/>
      <c r="L262" s="2306"/>
      <c r="M262" s="2306"/>
      <c r="N262" s="2306"/>
      <c r="O262" s="2306"/>
      <c r="P262" s="2306"/>
      <c r="Q262" s="1027"/>
      <c r="V262" s="1070"/>
      <c r="W262" s="1070"/>
    </row>
    <row r="263" spans="1:23" s="32" customFormat="1" ht="11.25" customHeight="1">
      <c r="A263" s="508"/>
      <c r="B263" s="387" t="s">
        <v>2436</v>
      </c>
      <c r="C263" s="2769" t="s">
        <v>4035</v>
      </c>
      <c r="D263" s="2769"/>
      <c r="E263" s="2769"/>
      <c r="F263" s="2769"/>
      <c r="G263" s="2769"/>
      <c r="H263" s="2769"/>
      <c r="I263" s="2769"/>
      <c r="J263" s="2769"/>
      <c r="K263" s="2769"/>
      <c r="L263" s="2769"/>
      <c r="M263" s="2769"/>
      <c r="N263" s="387" t="s">
        <v>2436</v>
      </c>
      <c r="O263" s="3891"/>
      <c r="P263" s="534"/>
      <c r="Q263" s="1027"/>
      <c r="V263" s="1070"/>
      <c r="W263" s="1070"/>
    </row>
    <row r="264" spans="1:23" s="32" customFormat="1" ht="11.25" customHeight="1">
      <c r="A264" s="508"/>
      <c r="B264" s="387" t="s">
        <v>2437</v>
      </c>
      <c r="C264" s="2769" t="s">
        <v>4844</v>
      </c>
      <c r="D264" s="2769"/>
      <c r="E264" s="2769"/>
      <c r="F264" s="2769"/>
      <c r="G264" s="2769"/>
      <c r="H264" s="2769"/>
      <c r="I264" s="2769"/>
      <c r="J264" s="2769"/>
      <c r="K264" s="2769"/>
      <c r="L264" s="2769"/>
      <c r="M264" s="2769"/>
      <c r="N264" s="387" t="s">
        <v>2437</v>
      </c>
      <c r="O264" s="3893"/>
      <c r="P264" s="536"/>
      <c r="Q264" s="1027"/>
      <c r="V264" s="1070"/>
      <c r="W264" s="1070"/>
    </row>
    <row r="265" spans="1:23" ht="11.25" customHeight="1">
      <c r="A265" s="138"/>
      <c r="B265" s="888" t="s">
        <v>1225</v>
      </c>
      <c r="C265" s="583" t="s">
        <v>4845</v>
      </c>
      <c r="D265" s="32"/>
      <c r="N265" s="390" t="s">
        <v>1225</v>
      </c>
      <c r="O265" s="26"/>
      <c r="P265" s="26"/>
      <c r="Q265" s="114"/>
    </row>
    <row r="266" spans="1:23" s="32" customFormat="1" ht="11.25" customHeight="1">
      <c r="A266" s="508"/>
      <c r="B266" s="387" t="s">
        <v>2436</v>
      </c>
      <c r="C266" s="2769" t="s">
        <v>4846</v>
      </c>
      <c r="D266" s="2769"/>
      <c r="E266" s="2769"/>
      <c r="F266" s="2769"/>
      <c r="G266" s="2769"/>
      <c r="H266" s="2769"/>
      <c r="I266" s="2769"/>
      <c r="J266" s="2769"/>
      <c r="K266" s="2769"/>
      <c r="L266" s="2769"/>
      <c r="M266" s="2769"/>
      <c r="N266" s="387" t="s">
        <v>2436</v>
      </c>
      <c r="O266" s="3891"/>
      <c r="P266" s="534"/>
      <c r="Q266" s="1027"/>
      <c r="V266" s="1070"/>
      <c r="W266" s="1070"/>
    </row>
    <row r="267" spans="1:23" s="32" customFormat="1" ht="11.25" customHeight="1">
      <c r="A267" s="508"/>
      <c r="B267" s="387" t="s">
        <v>2437</v>
      </c>
      <c r="C267" s="2769" t="s">
        <v>4847</v>
      </c>
      <c r="D267" s="2769"/>
      <c r="E267" s="2769"/>
      <c r="F267" s="2769"/>
      <c r="G267" s="2769"/>
      <c r="H267" s="2769"/>
      <c r="I267" s="2769"/>
      <c r="J267" s="2769"/>
      <c r="K267" s="2769"/>
      <c r="L267" s="2769"/>
      <c r="M267" s="2769"/>
      <c r="N267" s="387" t="s">
        <v>2437</v>
      </c>
      <c r="O267" s="3893"/>
      <c r="P267" s="536"/>
      <c r="Q267" s="1027"/>
      <c r="V267" s="1070"/>
      <c r="W267" s="1070"/>
    </row>
    <row r="268" spans="1:23" ht="11.65" customHeight="1">
      <c r="A268" s="138" t="s">
        <v>1986</v>
      </c>
      <c r="B268" s="177" t="s">
        <v>4029</v>
      </c>
      <c r="D268" s="32"/>
      <c r="G268" s="474" t="s">
        <v>3780</v>
      </c>
      <c r="N268" s="26"/>
      <c r="O268" s="516" t="s">
        <v>2511</v>
      </c>
      <c r="P268" s="516" t="s">
        <v>2511</v>
      </c>
      <c r="Q268" s="1026"/>
    </row>
    <row r="269" spans="1:23" ht="22.5" customHeight="1">
      <c r="B269" s="586" t="s">
        <v>1987</v>
      </c>
      <c r="C269" s="2776" t="s">
        <v>4030</v>
      </c>
      <c r="D269" s="2776"/>
      <c r="E269" s="2776"/>
      <c r="F269" s="2776"/>
      <c r="G269" s="2776"/>
      <c r="H269" s="2776"/>
      <c r="I269" s="2776"/>
      <c r="J269" s="2776"/>
      <c r="K269" s="2776"/>
      <c r="L269" s="2776"/>
      <c r="M269" s="1124" t="s">
        <v>1986</v>
      </c>
      <c r="N269" s="390" t="s">
        <v>1987</v>
      </c>
      <c r="O269" s="3925"/>
      <c r="P269" s="1149"/>
      <c r="Q269" s="1026"/>
      <c r="V269" s="1070"/>
      <c r="W269" s="1070"/>
    </row>
    <row r="270" spans="1:23" s="32" customFormat="1" ht="11.25" customHeight="1">
      <c r="A270" s="508"/>
      <c r="B270" s="586" t="s">
        <v>1989</v>
      </c>
      <c r="C270" s="433" t="s">
        <v>4848</v>
      </c>
      <c r="D270" s="972"/>
      <c r="E270" s="972"/>
      <c r="F270" s="972"/>
      <c r="G270" s="972"/>
      <c r="H270" s="972"/>
      <c r="I270" s="972"/>
      <c r="J270" s="972"/>
      <c r="K270" s="972"/>
      <c r="L270" s="972"/>
      <c r="M270" s="972"/>
      <c r="N270" s="390" t="s">
        <v>1989</v>
      </c>
      <c r="O270" s="3892"/>
      <c r="P270" s="535"/>
      <c r="Q270" s="1027"/>
      <c r="V270" s="1216"/>
      <c r="W270" s="1216"/>
    </row>
    <row r="271" spans="1:23" s="32" customFormat="1" ht="11.25" customHeight="1">
      <c r="A271" s="508"/>
      <c r="B271" s="586" t="s">
        <v>2535</v>
      </c>
      <c r="C271" s="433" t="s">
        <v>4849</v>
      </c>
      <c r="D271" s="972"/>
      <c r="E271" s="972"/>
      <c r="F271" s="972"/>
      <c r="G271" s="972"/>
      <c r="H271" s="972"/>
      <c r="I271" s="972"/>
      <c r="J271" s="972"/>
      <c r="K271" s="972"/>
      <c r="L271" s="972"/>
      <c r="M271" s="972"/>
      <c r="N271" s="390" t="s">
        <v>2535</v>
      </c>
      <c r="O271" s="3893"/>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88"/>
    </row>
    <row r="273" spans="1:18" s="42" customFormat="1" ht="21.75" customHeight="1" thickTop="1" thickBot="1">
      <c r="A273" s="4152" t="s">
        <v>5266</v>
      </c>
      <c r="B273" s="4153"/>
      <c r="C273" s="4153"/>
      <c r="D273" s="4153"/>
      <c r="E273" s="4153"/>
      <c r="F273" s="4153"/>
      <c r="G273" s="4153"/>
      <c r="H273" s="4153"/>
      <c r="I273" s="4153"/>
      <c r="J273" s="4153"/>
      <c r="K273" s="4153"/>
      <c r="L273" s="4153"/>
      <c r="M273" s="4153"/>
      <c r="N273" s="4153"/>
      <c r="O273" s="4153"/>
      <c r="P273" s="4154"/>
      <c r="Q273" s="1074" t="s">
        <v>1254</v>
      </c>
    </row>
    <row r="274" spans="1:18" s="42" customFormat="1" ht="10.5" customHeight="1" thickTop="1">
      <c r="A274" s="41"/>
      <c r="B274" s="85" t="s">
        <v>1867</v>
      </c>
      <c r="C274" s="41"/>
      <c r="D274" s="85"/>
      <c r="E274" s="2297"/>
      <c r="F274" s="2297"/>
      <c r="G274" s="2297"/>
      <c r="H274" s="2297"/>
      <c r="I274" s="2297"/>
      <c r="J274" s="2297"/>
      <c r="K274" s="2297"/>
      <c r="L274" s="2297"/>
      <c r="M274" s="2297"/>
      <c r="N274" s="74"/>
      <c r="O274" s="70"/>
      <c r="P274" s="2285"/>
      <c r="Q274" s="426"/>
    </row>
    <row r="275" spans="1:18" s="42" customFormat="1" ht="11.25" customHeight="1">
      <c r="A275" s="2848"/>
      <c r="B275" s="2849"/>
      <c r="C275" s="2849"/>
      <c r="D275" s="2849"/>
      <c r="E275" s="2849"/>
      <c r="F275" s="2849"/>
      <c r="G275" s="2849"/>
      <c r="H275" s="2849"/>
      <c r="I275" s="2849"/>
      <c r="J275" s="2849"/>
      <c r="K275" s="2849"/>
      <c r="L275" s="2849"/>
      <c r="M275" s="2849"/>
      <c r="N275" s="2849"/>
      <c r="O275" s="2849"/>
      <c r="P275" s="2850"/>
      <c r="Q275" s="445"/>
    </row>
    <row r="276" spans="1:18" ht="3.4" customHeight="1" thickBot="1">
      <c r="B276" s="116"/>
      <c r="C276" s="116"/>
      <c r="D276" s="116"/>
      <c r="E276" s="116"/>
    </row>
    <row r="277" spans="1:18" s="102" customFormat="1" ht="12.4" customHeight="1" thickBot="1">
      <c r="A277" s="152" t="s">
        <v>426</v>
      </c>
      <c r="B277" s="106" t="s">
        <v>2787</v>
      </c>
      <c r="C277" s="92"/>
      <c r="D277" s="58"/>
      <c r="E277" s="58"/>
      <c r="G277" s="172" t="s">
        <v>4176</v>
      </c>
      <c r="M277" s="2285">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51" t="s">
        <v>3599</v>
      </c>
      <c r="B279" s="869" t="s">
        <v>4853</v>
      </c>
      <c r="C279" s="92"/>
      <c r="D279" s="58"/>
      <c r="E279" s="58"/>
      <c r="G279" s="474" t="s">
        <v>4860</v>
      </c>
      <c r="I279" s="26"/>
      <c r="J279" s="2845" t="str">
        <f>'Part I-Project Information'!$O$38</f>
        <v>13039010401</v>
      </c>
      <c r="K279" s="284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65" customHeight="1">
      <c r="A280" s="2851"/>
      <c r="B280" s="110" t="s">
        <v>2795</v>
      </c>
      <c r="C280" s="512"/>
      <c r="D280" s="512"/>
      <c r="G280" s="513" t="str">
        <f>'Part I-Project Information'!$H$105</f>
        <v>Rural</v>
      </c>
      <c r="M280" s="1024" t="s">
        <v>4854</v>
      </c>
      <c r="N280" s="2101"/>
      <c r="O280" s="1174" t="s">
        <v>2511</v>
      </c>
      <c r="P280" s="1174" t="s">
        <v>2511</v>
      </c>
    </row>
    <row r="281" spans="1:18" ht="11.65" customHeight="1">
      <c r="A281" s="2851"/>
      <c r="B281" s="888" t="s">
        <v>1987</v>
      </c>
      <c r="C281" s="438" t="s">
        <v>2686</v>
      </c>
      <c r="E281" s="116"/>
      <c r="M281" s="80"/>
      <c r="N281" s="174" t="s">
        <v>1987</v>
      </c>
      <c r="O281" s="3891" t="s">
        <v>2990</v>
      </c>
      <c r="P281" s="534"/>
      <c r="Q281" s="2842" t="str">
        <f>IF(AND(O281="Yes",O284="Yes"),"Only 1 or 4 can be 'Yes'!","")</f>
        <v/>
      </c>
      <c r="R281" s="2842"/>
    </row>
    <row r="282" spans="1:18" ht="11.65" customHeight="1">
      <c r="B282" s="888" t="s">
        <v>1989</v>
      </c>
      <c r="C282" s="438" t="s">
        <v>2740</v>
      </c>
      <c r="G282" s="100" t="s">
        <v>2390</v>
      </c>
      <c r="H282" s="4155">
        <v>0.1</v>
      </c>
      <c r="I282" s="438" t="s">
        <v>2741</v>
      </c>
      <c r="L282" s="134" t="s">
        <v>2739</v>
      </c>
      <c r="M282" s="889" t="str">
        <f>IF(O282&gt;H282,"CHECK ACTUAL PERCENT!!!","")</f>
        <v/>
      </c>
      <c r="N282" s="174" t="s">
        <v>1989</v>
      </c>
      <c r="O282" s="4156">
        <v>9.8000000000000004E-2</v>
      </c>
      <c r="P282" s="2102"/>
      <c r="Q282" s="2842"/>
      <c r="R282" s="2842"/>
    </row>
    <row r="283" spans="1:18" ht="11.65" customHeight="1">
      <c r="B283" s="888" t="s">
        <v>2535</v>
      </c>
      <c r="C283" s="415" t="s">
        <v>2391</v>
      </c>
      <c r="E283" s="116"/>
      <c r="G283" s="100" t="s">
        <v>2392</v>
      </c>
      <c r="J283" s="2757" t="s">
        <v>5056</v>
      </c>
      <c r="L283" s="433" t="s">
        <v>2733</v>
      </c>
      <c r="M283" s="32"/>
      <c r="N283" s="174" t="s">
        <v>2535</v>
      </c>
      <c r="O283" s="4157" t="s">
        <v>5206</v>
      </c>
      <c r="P283" s="2103" t="s">
        <v>201</v>
      </c>
      <c r="Q283" s="2842"/>
      <c r="R283" s="2842"/>
    </row>
    <row r="284" spans="1:18" s="392" customFormat="1" ht="11.65" customHeight="1">
      <c r="B284" s="586" t="s">
        <v>1224</v>
      </c>
      <c r="C284" s="2770" t="s">
        <v>4869</v>
      </c>
      <c r="D284" s="2770"/>
      <c r="E284" s="2770"/>
      <c r="F284" s="2770"/>
      <c r="G284" s="2770"/>
      <c r="H284" s="2770"/>
      <c r="I284" s="2770"/>
      <c r="J284" s="2758"/>
      <c r="K284" s="2757" t="s">
        <v>4037</v>
      </c>
      <c r="M284" s="1128">
        <v>2</v>
      </c>
      <c r="N284" s="174" t="s">
        <v>1224</v>
      </c>
      <c r="O284" s="3926"/>
      <c r="P284" s="2296"/>
      <c r="Q284" s="2842"/>
      <c r="R284" s="2842"/>
    </row>
    <row r="285" spans="1:18" ht="11.65" customHeight="1">
      <c r="B285" s="374"/>
      <c r="C285" s="2770"/>
      <c r="D285" s="2770"/>
      <c r="E285" s="2770"/>
      <c r="F285" s="2770"/>
      <c r="G285" s="2770"/>
      <c r="H285" s="2770"/>
      <c r="I285" s="2770"/>
      <c r="J285" s="2759"/>
      <c r="K285" s="2759"/>
      <c r="L285" s="2777" t="s">
        <v>4093</v>
      </c>
      <c r="M285" s="2778"/>
      <c r="N285" s="116"/>
    </row>
    <row r="286" spans="1:18" ht="23.25" customHeight="1">
      <c r="B286" s="374"/>
      <c r="C286" s="2770"/>
      <c r="D286" s="2770"/>
      <c r="E286" s="2770"/>
      <c r="F286" s="2770"/>
      <c r="G286" s="2770"/>
      <c r="H286" s="2770"/>
      <c r="I286" s="2770"/>
      <c r="J286" s="4158"/>
      <c r="K286" s="4159"/>
      <c r="L286" s="1125">
        <f>O61</f>
        <v>10</v>
      </c>
      <c r="M286" s="1126">
        <f>P61</f>
        <v>0</v>
      </c>
      <c r="N286" s="26"/>
    </row>
    <row r="287" spans="1:18" ht="2.25" customHeight="1">
      <c r="A287" s="515"/>
      <c r="B287" s="888"/>
      <c r="C287" s="415"/>
      <c r="E287" s="116"/>
      <c r="M287" s="1127"/>
      <c r="N287" s="1120"/>
      <c r="O287" s="887"/>
      <c r="P287" s="887"/>
    </row>
    <row r="288" spans="1:18" ht="11.65" customHeight="1">
      <c r="A288" s="515" t="s">
        <v>749</v>
      </c>
      <c r="B288" s="888" t="s">
        <v>4855</v>
      </c>
      <c r="C288" s="415"/>
      <c r="E288" s="116"/>
      <c r="G288" s="431" t="s">
        <v>4856</v>
      </c>
      <c r="M288" s="1127">
        <v>2</v>
      </c>
      <c r="N288" s="1129"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65" customHeight="1">
      <c r="A289" s="515"/>
      <c r="B289" s="888" t="s">
        <v>1987</v>
      </c>
      <c r="C289" s="134" t="s">
        <v>5051</v>
      </c>
      <c r="D289" s="134"/>
      <c r="G289" s="134" t="s">
        <v>4857</v>
      </c>
      <c r="H289" s="972"/>
      <c r="I289" s="972"/>
      <c r="J289" s="32"/>
      <c r="K289" s="32"/>
      <c r="L289" s="32"/>
      <c r="M289" s="32"/>
      <c r="N289" s="174" t="s">
        <v>1987</v>
      </c>
      <c r="O289" s="4160">
        <v>25</v>
      </c>
      <c r="P289" s="2104"/>
    </row>
    <row r="290" spans="1:21" ht="11.65" customHeight="1">
      <c r="A290" s="515"/>
      <c r="B290" s="888" t="s">
        <v>1989</v>
      </c>
      <c r="C290" s="134" t="s">
        <v>5052</v>
      </c>
      <c r="D290" s="134"/>
      <c r="G290" s="134" t="s">
        <v>4858</v>
      </c>
      <c r="H290" s="972"/>
      <c r="I290" s="972"/>
      <c r="J290" s="32"/>
      <c r="K290" s="32"/>
      <c r="L290" s="32"/>
      <c r="M290" s="32"/>
      <c r="N290" s="174" t="s">
        <v>1989</v>
      </c>
      <c r="O290" s="4161">
        <v>66</v>
      </c>
      <c r="P290" s="2105"/>
      <c r="R290" s="158" t="s">
        <v>5062</v>
      </c>
    </row>
    <row r="291" spans="1:21" ht="11.65" customHeight="1">
      <c r="A291" s="515"/>
      <c r="B291" s="888" t="s">
        <v>2535</v>
      </c>
      <c r="C291" s="134" t="s">
        <v>5053</v>
      </c>
      <c r="D291" s="134"/>
      <c r="G291" s="134" t="s">
        <v>4859</v>
      </c>
      <c r="H291" s="972"/>
      <c r="I291" s="972"/>
      <c r="J291" s="32"/>
      <c r="K291" s="32"/>
      <c r="L291" s="32"/>
      <c r="M291" s="32"/>
      <c r="N291" s="174" t="s">
        <v>2535</v>
      </c>
      <c r="O291" s="4162">
        <v>47</v>
      </c>
      <c r="P291" s="2106"/>
    </row>
    <row r="292" spans="1:21" ht="2.25" customHeight="1">
      <c r="A292" s="515"/>
      <c r="B292" s="888"/>
      <c r="C292" s="415"/>
      <c r="E292" s="116"/>
      <c r="M292" s="1127"/>
      <c r="N292" s="1120"/>
      <c r="O292" s="887"/>
      <c r="P292" s="887"/>
    </row>
    <row r="293" spans="1:21" ht="11.65" customHeight="1">
      <c r="A293" s="515" t="s">
        <v>2116</v>
      </c>
      <c r="B293" s="888" t="s">
        <v>3600</v>
      </c>
      <c r="C293" s="415"/>
      <c r="E293" s="116"/>
      <c r="G293" s="2295" t="s">
        <v>3604</v>
      </c>
      <c r="H293" s="2107">
        <f>IF('Part VI-Revenues &amp; Expenses'!$O$67=0,0,'Part VI-Revenues &amp; Expenses'!$O$64/'Part VI-Revenues &amp; Expenses'!$O$67)</f>
        <v>0</v>
      </c>
      <c r="J293" s="2094" t="s">
        <v>4861</v>
      </c>
      <c r="K293" s="2846" t="str">
        <f>'Part I-Project Information'!$K$94</f>
        <v>40% of Units at 60% of AMI</v>
      </c>
      <c r="L293" s="2847"/>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297"/>
      <c r="F295" s="2297"/>
      <c r="G295" s="2297"/>
      <c r="H295" s="2297"/>
      <c r="I295" s="2297"/>
      <c r="J295" s="2297"/>
      <c r="K295" s="2297"/>
      <c r="L295" s="2297"/>
      <c r="M295" s="2297"/>
      <c r="N295" s="74"/>
      <c r="O295" s="70"/>
      <c r="P295" s="2285"/>
      <c r="Q295" s="426"/>
    </row>
    <row r="296" spans="1:21" s="42" customFormat="1" ht="11.25" customHeight="1">
      <c r="A296" s="2848"/>
      <c r="B296" s="2849"/>
      <c r="C296" s="2849"/>
      <c r="D296" s="2849"/>
      <c r="E296" s="2849"/>
      <c r="F296" s="2849"/>
      <c r="G296" s="2849"/>
      <c r="H296" s="2849"/>
      <c r="I296" s="2849"/>
      <c r="J296" s="2849"/>
      <c r="K296" s="2849"/>
      <c r="L296" s="2849"/>
      <c r="M296" s="2849"/>
      <c r="N296" s="2849"/>
      <c r="O296" s="2849"/>
      <c r="P296" s="2850"/>
      <c r="Q296" s="445"/>
    </row>
    <row r="297" spans="1:21" s="42" customFormat="1" ht="3" customHeight="1" thickBot="1">
      <c r="A297" s="41"/>
      <c r="D297" s="38"/>
      <c r="E297" s="35"/>
      <c r="F297" s="887"/>
      <c r="G297" s="887"/>
      <c r="H297" s="887"/>
      <c r="I297" s="887"/>
      <c r="J297" s="897"/>
      <c r="K297" s="897"/>
      <c r="L297" s="897"/>
      <c r="M297" s="59"/>
      <c r="N297" s="887"/>
      <c r="O297" s="2288"/>
      <c r="P297" s="2"/>
    </row>
    <row r="298" spans="1:21" s="102" customFormat="1" ht="12.4" customHeight="1" thickBot="1">
      <c r="A298" s="152" t="s">
        <v>362</v>
      </c>
      <c r="B298" s="106" t="s">
        <v>4040</v>
      </c>
      <c r="C298" s="92"/>
      <c r="D298" s="58"/>
      <c r="E298" s="58"/>
      <c r="H298" s="172"/>
      <c r="I298" s="432" t="s">
        <v>3796</v>
      </c>
      <c r="M298" s="2285">
        <v>10</v>
      </c>
      <c r="N298" s="6"/>
      <c r="O298" s="1090">
        <f>IF(OR(O299="Yes",O300="Yes"),$M$298,0)</f>
        <v>0</v>
      </c>
      <c r="P298" s="1090">
        <f>IF(OR(P299="Yes",P300="Yes"),$M$298,0)</f>
        <v>0</v>
      </c>
      <c r="Q298" s="109" t="s">
        <v>441</v>
      </c>
      <c r="R298" s="42"/>
    </row>
    <row r="299" spans="1:21" ht="11.25" customHeight="1">
      <c r="A299" s="2286" t="s">
        <v>1984</v>
      </c>
      <c r="B299" s="1130" t="s">
        <v>3787</v>
      </c>
      <c r="D299" s="614"/>
      <c r="E299" s="614"/>
      <c r="F299" s="614"/>
      <c r="G299" s="614"/>
      <c r="H299" s="614"/>
      <c r="I299" s="614"/>
      <c r="J299" s="614"/>
      <c r="K299" s="614"/>
      <c r="L299" s="1032"/>
      <c r="M299" s="2854" t="str">
        <f>IF(OR(SUM(T299:T300)&gt;1,SUM(U299:U300)&gt;1),"Only one category can be met by other means!","")</f>
        <v/>
      </c>
      <c r="N299" s="463" t="s">
        <v>1984</v>
      </c>
      <c r="O299" s="3891"/>
      <c r="P299" s="534"/>
      <c r="U299" s="1218">
        <f>IF(L299="Yes",1,0)</f>
        <v>0</v>
      </c>
    </row>
    <row r="300" spans="1:21" ht="11.25" customHeight="1">
      <c r="A300" s="2286" t="s">
        <v>1986</v>
      </c>
      <c r="B300" s="1130" t="s">
        <v>3788</v>
      </c>
      <c r="D300" s="614"/>
      <c r="L300" s="1032"/>
      <c r="M300" s="2854"/>
      <c r="N300" s="463" t="s">
        <v>1986</v>
      </c>
      <c r="O300" s="3893"/>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88"/>
    </row>
    <row r="302" spans="1:21" s="42" customFormat="1" ht="21.75" customHeight="1" thickTop="1" thickBot="1">
      <c r="A302" s="4034" t="s">
        <v>5267</v>
      </c>
      <c r="B302" s="4035"/>
      <c r="C302" s="4035"/>
      <c r="D302" s="4035"/>
      <c r="E302" s="4035"/>
      <c r="F302" s="4035"/>
      <c r="G302" s="4035"/>
      <c r="H302" s="4035"/>
      <c r="I302" s="4035"/>
      <c r="J302" s="4035"/>
      <c r="K302" s="4035"/>
      <c r="L302" s="4035"/>
      <c r="M302" s="4035"/>
      <c r="N302" s="4035"/>
      <c r="O302" s="4035"/>
      <c r="P302" s="4036"/>
      <c r="Q302" s="1074" t="s">
        <v>1254</v>
      </c>
    </row>
    <row r="303" spans="1:21" s="42" customFormat="1" ht="10.5" customHeight="1" thickTop="1">
      <c r="A303" s="41"/>
      <c r="B303" s="85" t="s">
        <v>1867</v>
      </c>
      <c r="C303" s="41"/>
      <c r="D303" s="85"/>
      <c r="E303" s="2297"/>
      <c r="F303" s="2297"/>
      <c r="G303" s="2297"/>
      <c r="H303" s="2297"/>
      <c r="I303" s="2297"/>
      <c r="J303" s="2297"/>
      <c r="K303" s="2297"/>
      <c r="L303" s="2297"/>
      <c r="M303" s="2297"/>
      <c r="N303" s="74"/>
      <c r="O303" s="70"/>
      <c r="P303" s="2285"/>
      <c r="Q303" s="426"/>
    </row>
    <row r="304" spans="1:21" s="42" customFormat="1" ht="11.25" customHeight="1">
      <c r="A304" s="2848"/>
      <c r="B304" s="2849"/>
      <c r="C304" s="2849"/>
      <c r="D304" s="2849"/>
      <c r="E304" s="2849"/>
      <c r="F304" s="2849"/>
      <c r="G304" s="2849"/>
      <c r="H304" s="2849"/>
      <c r="I304" s="2849"/>
      <c r="J304" s="2849"/>
      <c r="K304" s="2849"/>
      <c r="L304" s="2849"/>
      <c r="M304" s="2849"/>
      <c r="N304" s="2849"/>
      <c r="O304" s="2849"/>
      <c r="P304" s="2850"/>
      <c r="Q304" s="445"/>
    </row>
    <row r="305" spans="1:27" s="42" customFormat="1" ht="1.5" customHeight="1" thickBot="1">
      <c r="A305" s="41"/>
      <c r="D305" s="38"/>
      <c r="E305" s="35"/>
      <c r="F305" s="887"/>
      <c r="G305" s="887"/>
      <c r="H305" s="887"/>
      <c r="I305" s="887"/>
      <c r="J305" s="897"/>
      <c r="K305" s="897"/>
      <c r="L305" s="897"/>
      <c r="M305" s="59"/>
      <c r="N305" s="887"/>
      <c r="O305" s="2288"/>
      <c r="P305" s="2"/>
    </row>
    <row r="306" spans="1:27" s="42" customFormat="1" ht="12" customHeight="1" thickBot="1">
      <c r="A306" s="152" t="s">
        <v>363</v>
      </c>
      <c r="B306" s="105" t="s">
        <v>2460</v>
      </c>
      <c r="D306" s="40"/>
      <c r="E306" s="40"/>
      <c r="F306" s="40"/>
      <c r="H306" s="60" t="s">
        <v>4865</v>
      </c>
      <c r="J306" s="86" t="s">
        <v>2795</v>
      </c>
      <c r="K306" s="47"/>
      <c r="L306" s="613" t="str">
        <f>'Part I-Project Information'!$H$105</f>
        <v>Rural</v>
      </c>
      <c r="M306" s="2285">
        <v>4</v>
      </c>
      <c r="N306" s="5"/>
      <c r="O306" s="1136">
        <f>IF(AND($L$306="Flexible",O307=$M307),$M307,IF(AND($L$306="Flexible",O316&gt;0),O316,IF(AND($L$306="Rural",O320&gt;0),O320,0)))</f>
        <v>0</v>
      </c>
      <c r="P306" s="1136">
        <f>IF(AND($L$306="Flexible",P307=$M307),$M307,IF(AND($L$306="Flexible",P316&gt;0),P316,IF(AND($L$306="Rural",P320&gt;0),P320,0)))</f>
        <v>0</v>
      </c>
      <c r="Q306" s="109" t="s">
        <v>441</v>
      </c>
    </row>
    <row r="307" spans="1:27" ht="11.25" customHeight="1">
      <c r="A307" s="2286" t="s">
        <v>1984</v>
      </c>
      <c r="B307" s="177" t="s">
        <v>4041</v>
      </c>
      <c r="D307" s="32"/>
      <c r="E307" s="32"/>
      <c r="F307" s="32"/>
      <c r="H307" s="86" t="s">
        <v>3681</v>
      </c>
      <c r="I307" s="431"/>
      <c r="J307" s="2853" t="str">
        <f>'Part I-Project Information'!$O$34</f>
        <v>No</v>
      </c>
      <c r="K307" s="2853"/>
      <c r="L307" s="929">
        <f>'Part I-Project Information'!$O$35</f>
        <v>0</v>
      </c>
      <c r="M307" s="72">
        <v>3</v>
      </c>
      <c r="N307" s="463" t="s">
        <v>1984</v>
      </c>
      <c r="O307" s="4062"/>
      <c r="P307" s="860"/>
      <c r="Q307" s="1020" t="str">
        <f>IF(OR($O307=$M307,$O307=0,$O307=""),"","*CHECK!*")</f>
        <v/>
      </c>
      <c r="R307" s="1088" t="s">
        <v>2707</v>
      </c>
    </row>
    <row r="308" spans="1:27" s="100" customFormat="1" ht="22.9" customHeight="1">
      <c r="B308" s="586" t="s">
        <v>1987</v>
      </c>
      <c r="C308" s="2768" t="s">
        <v>4870</v>
      </c>
      <c r="D308" s="2768"/>
      <c r="E308" s="2768"/>
      <c r="F308" s="2768"/>
      <c r="G308" s="2768"/>
      <c r="H308" s="2768"/>
      <c r="I308" s="2768"/>
      <c r="J308" s="2768"/>
      <c r="K308" s="2768"/>
      <c r="L308" s="2768"/>
      <c r="M308" s="1025"/>
      <c r="N308" s="390" t="s">
        <v>1987</v>
      </c>
      <c r="O308" s="4163"/>
      <c r="P308" s="1131"/>
      <c r="Q308" s="2843" t="s">
        <v>4190</v>
      </c>
      <c r="R308" s="2770"/>
      <c r="S308" s="2770"/>
      <c r="T308" s="1025"/>
      <c r="U308" s="1025"/>
      <c r="V308" s="1025"/>
      <c r="W308" s="1025"/>
      <c r="X308" s="1025"/>
      <c r="Y308" s="1025"/>
      <c r="Z308" s="1025"/>
      <c r="AA308" s="1025"/>
    </row>
    <row r="309" spans="1:27" s="117" customFormat="1" ht="11.25" customHeight="1">
      <c r="B309" s="888"/>
      <c r="C309" s="134" t="s">
        <v>3802</v>
      </c>
      <c r="I309" s="387" t="s">
        <v>4866</v>
      </c>
      <c r="J309" s="4164"/>
      <c r="K309" s="433" t="s">
        <v>2302</v>
      </c>
      <c r="L309" s="4165"/>
      <c r="M309" s="4166"/>
      <c r="N309" s="4166"/>
      <c r="O309" s="4166"/>
      <c r="P309" s="4167"/>
      <c r="Q309" s="2843"/>
      <c r="R309" s="2770"/>
      <c r="S309" s="2770"/>
    </row>
    <row r="310" spans="1:27" s="117" customFormat="1" ht="11.25" customHeight="1">
      <c r="B310" s="888"/>
      <c r="C310" s="134" t="s">
        <v>3857</v>
      </c>
      <c r="I310" s="387" t="s">
        <v>4866</v>
      </c>
      <c r="J310" s="4168"/>
      <c r="K310" s="433" t="s">
        <v>2302</v>
      </c>
      <c r="L310" s="4169"/>
      <c r="M310" s="4170"/>
      <c r="N310" s="4170"/>
      <c r="O310" s="4170"/>
      <c r="P310" s="4171"/>
      <c r="Q310" s="2843"/>
      <c r="R310" s="2770"/>
      <c r="S310" s="2770"/>
    </row>
    <row r="311" spans="1:27" s="117" customFormat="1" ht="11.25" customHeight="1">
      <c r="B311" s="888" t="s">
        <v>1989</v>
      </c>
      <c r="C311" s="117" t="s">
        <v>963</v>
      </c>
      <c r="M311" s="6"/>
      <c r="N311" s="174" t="s">
        <v>1989</v>
      </c>
      <c r="O311" s="3914"/>
      <c r="P311" s="940"/>
      <c r="Q311" s="2843"/>
      <c r="R311" s="2770"/>
      <c r="S311" s="2770"/>
    </row>
    <row r="312" spans="1:27" s="117" customFormat="1" ht="11.25" customHeight="1">
      <c r="B312" s="888" t="s">
        <v>2535</v>
      </c>
      <c r="C312" s="117" t="s">
        <v>964</v>
      </c>
      <c r="M312" s="6"/>
      <c r="N312" s="174" t="s">
        <v>2535</v>
      </c>
      <c r="O312" s="3892"/>
      <c r="P312" s="535"/>
      <c r="Q312" s="2843"/>
      <c r="R312" s="2770"/>
      <c r="S312" s="2770"/>
    </row>
    <row r="313" spans="1:27" s="117" customFormat="1" ht="11.25" customHeight="1">
      <c r="B313" s="888" t="s">
        <v>1224</v>
      </c>
      <c r="C313" s="134" t="s">
        <v>4871</v>
      </c>
      <c r="M313" s="6"/>
      <c r="N313" s="174" t="s">
        <v>1224</v>
      </c>
      <c r="O313" s="3892"/>
      <c r="P313" s="535"/>
      <c r="Q313" s="2843"/>
      <c r="R313" s="2770"/>
      <c r="S313" s="2770"/>
    </row>
    <row r="314" spans="1:27" s="117" customFormat="1" ht="11.25" customHeight="1">
      <c r="A314" s="508"/>
      <c r="B314" s="888" t="s">
        <v>1225</v>
      </c>
      <c r="C314" s="117" t="s">
        <v>965</v>
      </c>
      <c r="M314" s="6"/>
      <c r="N314" s="174" t="s">
        <v>1225</v>
      </c>
      <c r="O314" s="3893"/>
      <c r="P314" s="536"/>
      <c r="Q314" s="2843"/>
      <c r="R314" s="2770"/>
      <c r="S314" s="2770"/>
    </row>
    <row r="315" spans="1:27" s="32" customFormat="1" ht="11.25" customHeight="1">
      <c r="A315" s="2286" t="s">
        <v>1986</v>
      </c>
      <c r="B315" s="177" t="s">
        <v>4042</v>
      </c>
      <c r="D315" s="585"/>
      <c r="H315" s="60" t="s">
        <v>4867</v>
      </c>
    </row>
    <row r="316" spans="1:27" s="32" customFormat="1" ht="11.25" customHeight="1">
      <c r="A316" s="2286"/>
      <c r="B316" s="2108" t="s">
        <v>4872</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4044</v>
      </c>
      <c r="L317" s="376" t="str">
        <f>IF(OR($O317=$M317,$O317=0,$O317=""),"","* * Check Score! * *")</f>
        <v/>
      </c>
      <c r="M317" s="72">
        <v>3</v>
      </c>
      <c r="N317" s="435" t="s">
        <v>1987</v>
      </c>
      <c r="O317" s="4172"/>
      <c r="P317" s="528"/>
      <c r="Q317" s="1020" t="str">
        <f>IF(OR($O317=$M317,$O317=0,$O317=""),"","*CHECK!*")</f>
        <v/>
      </c>
      <c r="R317" s="1088" t="s">
        <v>2707</v>
      </c>
    </row>
    <row r="318" spans="1:27" ht="11.25" customHeight="1">
      <c r="A318" s="584"/>
      <c r="B318" s="586" t="s">
        <v>1989</v>
      </c>
      <c r="C318" s="439" t="s">
        <v>3606</v>
      </c>
      <c r="D318" s="32"/>
      <c r="E318" s="32"/>
      <c r="F318" s="32"/>
      <c r="G318" s="39"/>
      <c r="H318" s="60"/>
      <c r="I318" s="39"/>
      <c r="L318" s="376" t="str">
        <f>IF(OR($O318=$M318,$O318=0,$O318=""),"","* * Check Score! * *")</f>
        <v/>
      </c>
      <c r="M318" s="80">
        <v>2</v>
      </c>
      <c r="N318" s="892" t="s">
        <v>1989</v>
      </c>
      <c r="O318" s="4032"/>
      <c r="P318" s="530"/>
      <c r="Q318" s="1020" t="str">
        <f>IF(OR($O318=$M318,$O318=0,$O318=""),"","*CHECK!*")</f>
        <v/>
      </c>
      <c r="R318" s="1088" t="s">
        <v>2707</v>
      </c>
    </row>
    <row r="319" spans="1:27" s="32" customFormat="1" ht="11.25" customHeight="1">
      <c r="A319" s="2286" t="s">
        <v>749</v>
      </c>
      <c r="B319" s="177" t="s">
        <v>4043</v>
      </c>
      <c r="D319" s="585"/>
      <c r="H319" s="60" t="s">
        <v>4868</v>
      </c>
    </row>
    <row r="320" spans="1:27" s="32" customFormat="1" ht="11.25" customHeight="1">
      <c r="A320" s="2286"/>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3607</v>
      </c>
      <c r="K321" s="2855" t="str">
        <f>IF(OR(AND(O321&gt;0,O323&gt;0), AND(O322&gt;0,O323&gt;0), AND(O321&gt;0,O322&gt;0)),"Choose option 1 or 2 or 3!!!","")</f>
        <v/>
      </c>
      <c r="L321" s="2855"/>
      <c r="M321" s="72">
        <v>4</v>
      </c>
      <c r="N321" s="435" t="s">
        <v>1987</v>
      </c>
      <c r="O321" s="4172"/>
      <c r="P321" s="528"/>
      <c r="Q321" s="1020" t="str">
        <f>IF(OR($O321=$M321,$O321=0,$O321=""),"","*CHECK!*")</f>
        <v/>
      </c>
      <c r="R321" s="1088" t="s">
        <v>2707</v>
      </c>
    </row>
    <row r="322" spans="1:21" ht="11.25" customHeight="1">
      <c r="A322" s="584"/>
      <c r="B322" s="586" t="s">
        <v>1989</v>
      </c>
      <c r="C322" s="583" t="s">
        <v>4045</v>
      </c>
      <c r="D322" s="32"/>
      <c r="E322" s="32"/>
      <c r="F322" s="32"/>
      <c r="G322" s="39"/>
      <c r="H322" s="893"/>
      <c r="I322" s="39"/>
      <c r="K322" s="2855"/>
      <c r="L322" s="2855"/>
      <c r="M322" s="80">
        <v>3</v>
      </c>
      <c r="N322" s="892" t="s">
        <v>1989</v>
      </c>
      <c r="O322" s="4031"/>
      <c r="P322" s="529"/>
      <c r="Q322" s="1020" t="str">
        <f>IF(OR($O322=$M322,$O322=0,$O322=""),"","*CHECK!*")</f>
        <v/>
      </c>
      <c r="R322" s="1088" t="s">
        <v>2707</v>
      </c>
    </row>
    <row r="323" spans="1:21" ht="11.25" customHeight="1">
      <c r="A323" s="584"/>
      <c r="B323" s="586" t="s">
        <v>2535</v>
      </c>
      <c r="C323" s="439" t="s">
        <v>3609</v>
      </c>
      <c r="D323" s="32"/>
      <c r="E323" s="32"/>
      <c r="F323" s="32"/>
      <c r="G323" s="39"/>
      <c r="H323" s="60"/>
      <c r="I323" s="39"/>
      <c r="K323" s="2855"/>
      <c r="L323" s="2855"/>
      <c r="M323" s="80">
        <v>2</v>
      </c>
      <c r="N323" s="892" t="s">
        <v>2535</v>
      </c>
      <c r="O323" s="4032"/>
      <c r="P323" s="530"/>
      <c r="Q323" s="1020" t="str">
        <f>IF(OR($O323=$M323,$O323=0,$O323=""),"","*CHECK!*")</f>
        <v/>
      </c>
      <c r="R323" s="1088" t="s">
        <v>2707</v>
      </c>
    </row>
    <row r="324" spans="1:21" s="42" customFormat="1" ht="10.5" customHeight="1" thickBot="1">
      <c r="A324" s="41"/>
      <c r="B324" s="1206" t="s">
        <v>3751</v>
      </c>
      <c r="C324" s="41"/>
      <c r="D324" s="47"/>
      <c r="E324" s="47"/>
      <c r="F324" s="47"/>
      <c r="G324" s="47"/>
      <c r="H324" s="35"/>
      <c r="I324" s="35"/>
      <c r="J324" s="35"/>
      <c r="K324" s="35"/>
      <c r="M324" s="45"/>
      <c r="N324" s="61"/>
      <c r="O324" s="2"/>
      <c r="P324" s="2288"/>
    </row>
    <row r="325" spans="1:21" s="42" customFormat="1" ht="21.75" customHeight="1" thickTop="1" thickBot="1">
      <c r="A325" s="4034" t="s">
        <v>5268</v>
      </c>
      <c r="B325" s="4035"/>
      <c r="C325" s="4035"/>
      <c r="D325" s="4035"/>
      <c r="E325" s="4035"/>
      <c r="F325" s="4035"/>
      <c r="G325" s="4035"/>
      <c r="H325" s="4035"/>
      <c r="I325" s="4035"/>
      <c r="J325" s="4035"/>
      <c r="K325" s="4035"/>
      <c r="L325" s="4035"/>
      <c r="M325" s="4035"/>
      <c r="N325" s="4035"/>
      <c r="O325" s="4035"/>
      <c r="P325" s="4036"/>
      <c r="Q325" s="1074" t="s">
        <v>1254</v>
      </c>
    </row>
    <row r="326" spans="1:21" s="42" customFormat="1" ht="10.5" customHeight="1" thickTop="1">
      <c r="B326" s="85" t="s">
        <v>1867</v>
      </c>
      <c r="C326" s="98"/>
      <c r="D326" s="85"/>
      <c r="E326" s="99"/>
      <c r="F326" s="2297"/>
      <c r="G326" s="2297"/>
      <c r="H326" s="2297"/>
      <c r="I326" s="2297"/>
      <c r="J326" s="2297"/>
      <c r="K326" s="2297"/>
      <c r="L326" s="2297"/>
      <c r="M326" s="2297"/>
      <c r="N326" s="74"/>
      <c r="O326" s="70"/>
      <c r="P326" s="2285"/>
      <c r="Q326" s="426"/>
    </row>
    <row r="327" spans="1:21" s="42" customFormat="1" ht="11.25" customHeight="1">
      <c r="A327" s="2621"/>
      <c r="B327" s="2622"/>
      <c r="C327" s="2622"/>
      <c r="D327" s="2622"/>
      <c r="E327" s="2622"/>
      <c r="F327" s="2622"/>
      <c r="G327" s="2622"/>
      <c r="H327" s="2622"/>
      <c r="I327" s="2622"/>
      <c r="J327" s="2622"/>
      <c r="K327" s="2622"/>
      <c r="L327" s="2622"/>
      <c r="M327" s="2622"/>
      <c r="N327" s="2622"/>
      <c r="O327" s="2622"/>
      <c r="P327" s="2623"/>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285">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4873</v>
      </c>
      <c r="D331" s="60"/>
      <c r="E331" s="60"/>
      <c r="F331" s="43"/>
      <c r="G331" s="26"/>
      <c r="L331" s="376"/>
      <c r="M331" s="6">
        <v>3</v>
      </c>
      <c r="N331" s="435" t="s">
        <v>1987</v>
      </c>
      <c r="O331" s="3891" t="s">
        <v>2990</v>
      </c>
      <c r="P331" s="534"/>
      <c r="Q331" s="1020"/>
      <c r="R331" s="1088"/>
      <c r="T331" s="1070"/>
      <c r="U331" s="1070"/>
    </row>
    <row r="332" spans="1:21" s="102" customFormat="1" ht="11.25" customHeight="1">
      <c r="A332" s="138"/>
      <c r="B332" s="586" t="s">
        <v>1989</v>
      </c>
      <c r="C332" s="39" t="s">
        <v>4874</v>
      </c>
      <c r="D332" s="60"/>
      <c r="E332" s="60"/>
      <c r="F332" s="43"/>
      <c r="G332" s="26"/>
      <c r="L332" s="376"/>
      <c r="M332" s="6">
        <v>2</v>
      </c>
      <c r="N332" s="892" t="s">
        <v>1989</v>
      </c>
      <c r="O332" s="3892" t="s">
        <v>5254</v>
      </c>
      <c r="P332" s="535"/>
      <c r="Q332" s="1020"/>
      <c r="R332" s="1088"/>
      <c r="T332" s="1070"/>
      <c r="U332" s="1070"/>
    </row>
    <row r="333" spans="1:21" s="102" customFormat="1" ht="10.5" customHeight="1">
      <c r="A333" s="138"/>
      <c r="B333" s="586" t="s">
        <v>2535</v>
      </c>
      <c r="C333" s="39" t="s">
        <v>4875</v>
      </c>
      <c r="D333" s="60"/>
      <c r="E333" s="60"/>
      <c r="F333" s="43"/>
      <c r="G333" s="26"/>
      <c r="K333" s="463"/>
      <c r="M333" s="6">
        <v>1</v>
      </c>
      <c r="N333" s="892" t="s">
        <v>2535</v>
      </c>
      <c r="O333" s="3893" t="s">
        <v>5254</v>
      </c>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2657" t="s">
        <v>4877</v>
      </c>
      <c r="C335" s="2657"/>
      <c r="D335" s="2657"/>
      <c r="E335" s="2657"/>
      <c r="F335" s="2657"/>
      <c r="G335" s="2657"/>
      <c r="H335" s="2657"/>
      <c r="I335" s="2657"/>
      <c r="J335" s="2657"/>
      <c r="K335" s="2657"/>
      <c r="L335" s="2657"/>
      <c r="M335" s="6"/>
      <c r="N335" s="463"/>
      <c r="O335" s="4173" t="s">
        <v>5254</v>
      </c>
      <c r="P335" s="1212"/>
      <c r="Q335" s="389"/>
      <c r="R335" s="376"/>
      <c r="T335" s="1070"/>
      <c r="U335" s="1070"/>
    </row>
    <row r="336" spans="1:21" s="42" customFormat="1" ht="11.25" customHeight="1">
      <c r="A336" s="138" t="s">
        <v>749</v>
      </c>
      <c r="B336" s="165" t="s">
        <v>4876</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2620" t="s">
        <v>5028</v>
      </c>
      <c r="C337" s="2620"/>
      <c r="D337" s="2620"/>
      <c r="E337" s="2620"/>
      <c r="F337" s="2620"/>
      <c r="G337" s="2620"/>
      <c r="H337" s="2620"/>
      <c r="I337" s="2620"/>
      <c r="J337" s="2620"/>
      <c r="K337" s="2620"/>
      <c r="L337" s="2620"/>
      <c r="M337" s="6"/>
      <c r="N337" s="463"/>
      <c r="O337" s="3926" t="s">
        <v>2990</v>
      </c>
      <c r="P337" s="2296"/>
      <c r="Q337" s="389"/>
      <c r="R337" s="376"/>
      <c r="T337" s="1070"/>
      <c r="U337" s="1070"/>
    </row>
    <row r="338" spans="1:21" s="42" customFormat="1" ht="22.5" customHeight="1">
      <c r="B338" s="2620" t="s">
        <v>5029</v>
      </c>
      <c r="C338" s="2620"/>
      <c r="D338" s="2620"/>
      <c r="E338" s="2620"/>
      <c r="F338" s="2620"/>
      <c r="G338" s="2620"/>
      <c r="H338" s="2620"/>
      <c r="I338" s="2620"/>
      <c r="J338" s="2620"/>
      <c r="K338" s="2620"/>
      <c r="L338" s="2620"/>
      <c r="M338" s="6"/>
      <c r="N338" s="6"/>
      <c r="O338" s="6"/>
      <c r="P338" s="6"/>
      <c r="Q338" s="389"/>
      <c r="R338" s="376"/>
      <c r="T338" s="1070"/>
      <c r="U338" s="1070"/>
    </row>
    <row r="339" spans="1:21" s="42" customFormat="1" ht="10.5" customHeight="1">
      <c r="A339" s="41"/>
      <c r="B339" s="85" t="s">
        <v>1867</v>
      </c>
      <c r="C339" s="98"/>
      <c r="D339" s="85"/>
      <c r="E339" s="99"/>
      <c r="F339" s="2297"/>
      <c r="G339" s="2297"/>
      <c r="H339" s="2297"/>
      <c r="I339" s="2297"/>
      <c r="J339" s="2297"/>
      <c r="K339" s="2297"/>
      <c r="L339" s="2297"/>
      <c r="M339" s="2297"/>
      <c r="N339" s="74"/>
      <c r="O339" s="70"/>
      <c r="P339" s="2285"/>
      <c r="Q339" s="426"/>
    </row>
    <row r="340" spans="1:21" s="42" customFormat="1" ht="11.25" customHeight="1">
      <c r="A340" s="2621"/>
      <c r="B340" s="2622"/>
      <c r="C340" s="2622"/>
      <c r="D340" s="2622"/>
      <c r="E340" s="2622"/>
      <c r="F340" s="2622"/>
      <c r="G340" s="2622"/>
      <c r="H340" s="2622"/>
      <c r="I340" s="2622"/>
      <c r="J340" s="2622"/>
      <c r="K340" s="2622"/>
      <c r="L340" s="2622"/>
      <c r="M340" s="2622"/>
      <c r="N340" s="2622"/>
      <c r="O340" s="2622"/>
      <c r="P340" s="2623"/>
      <c r="Q340" s="445"/>
    </row>
    <row r="341" spans="1:21" s="42" customFormat="1" ht="1.5" customHeight="1" thickBot="1">
      <c r="A341" s="41"/>
      <c r="B341" s="41"/>
      <c r="C341" s="2297"/>
      <c r="D341" s="2297"/>
      <c r="E341" s="2297"/>
      <c r="F341" s="2297"/>
      <c r="G341" s="2297"/>
      <c r="H341" s="2297"/>
      <c r="I341" s="2297"/>
      <c r="J341" s="2297"/>
      <c r="K341" s="2297"/>
      <c r="L341" s="2297"/>
      <c r="M341" s="2297"/>
      <c r="N341" s="74"/>
      <c r="O341" s="70"/>
      <c r="P341" s="887"/>
    </row>
    <row r="342" spans="1:21" s="42" customFormat="1" ht="12" customHeight="1" thickBot="1">
      <c r="A342" s="153" t="s">
        <v>1726</v>
      </c>
      <c r="B342" s="106" t="s">
        <v>4048</v>
      </c>
      <c r="C342" s="87"/>
      <c r="D342" s="57"/>
      <c r="E342" s="51"/>
      <c r="G342" s="54"/>
      <c r="M342" s="2285">
        <v>2</v>
      </c>
      <c r="N342" s="5"/>
      <c r="O342" s="5"/>
      <c r="P342" s="1136">
        <f>P343+P351</f>
        <v>0</v>
      </c>
      <c r="Q342" s="109" t="s">
        <v>441</v>
      </c>
    </row>
    <row r="343" spans="1:21" s="42" customFormat="1" ht="12" customHeight="1">
      <c r="A343" s="138" t="s">
        <v>1984</v>
      </c>
      <c r="B343" s="165" t="s">
        <v>4049</v>
      </c>
      <c r="C343" s="87"/>
      <c r="D343" s="57"/>
      <c r="E343" s="51"/>
      <c r="G343" s="487">
        <f>'Part VIII-Threshold Criteria'!I361</f>
        <v>0</v>
      </c>
      <c r="J343" s="39" t="s">
        <v>2687</v>
      </c>
      <c r="L343" s="35"/>
      <c r="N343" s="463" t="s">
        <v>1984</v>
      </c>
      <c r="O343" s="462" t="str">
        <f>'Part I-Project Information'!$H$100</f>
        <v>No</v>
      </c>
      <c r="P343" s="531"/>
      <c r="Q343" s="109"/>
      <c r="R343" s="1088" t="s">
        <v>2707</v>
      </c>
    </row>
    <row r="344" spans="1:21" s="102" customFormat="1" ht="10.5" customHeight="1">
      <c r="A344" s="138"/>
      <c r="B344" s="374" t="s">
        <v>1987</v>
      </c>
      <c r="C344" s="35" t="s">
        <v>4948</v>
      </c>
      <c r="D344" s="32"/>
      <c r="N344" s="435" t="s">
        <v>4950</v>
      </c>
      <c r="O344" s="3891"/>
      <c r="P344" s="534"/>
      <c r="R344" s="376"/>
    </row>
    <row r="345" spans="1:21" s="102" customFormat="1" ht="10.5" customHeight="1">
      <c r="A345" s="138"/>
      <c r="B345" s="374"/>
      <c r="C345" s="35" t="s">
        <v>4949</v>
      </c>
      <c r="D345" s="32"/>
      <c r="N345" s="435" t="s">
        <v>4951</v>
      </c>
      <c r="O345" s="3892"/>
      <c r="P345" s="535"/>
      <c r="R345" s="376"/>
    </row>
    <row r="346" spans="1:21" s="102" customFormat="1" ht="10.5" customHeight="1">
      <c r="A346" s="138"/>
      <c r="B346" s="374" t="s">
        <v>1989</v>
      </c>
      <c r="C346" s="35" t="s">
        <v>4066</v>
      </c>
      <c r="D346" s="32"/>
      <c r="N346" s="892" t="s">
        <v>1989</v>
      </c>
      <c r="O346" s="3892"/>
      <c r="P346" s="535"/>
      <c r="R346" s="376"/>
    </row>
    <row r="347" spans="1:21" s="102" customFormat="1" ht="10.5" customHeight="1">
      <c r="A347" s="138"/>
      <c r="B347" s="374" t="s">
        <v>2535</v>
      </c>
      <c r="C347" s="35" t="s">
        <v>4952</v>
      </c>
      <c r="D347" s="32"/>
      <c r="N347" s="892" t="s">
        <v>2535</v>
      </c>
      <c r="O347" s="3892"/>
      <c r="P347" s="535"/>
      <c r="R347" s="376"/>
    </row>
    <row r="348" spans="1:21" s="102" customFormat="1" ht="10.5" customHeight="1">
      <c r="B348" s="374" t="s">
        <v>1224</v>
      </c>
      <c r="C348" s="35" t="s">
        <v>4878</v>
      </c>
      <c r="D348" s="32"/>
      <c r="N348" s="892" t="s">
        <v>1224</v>
      </c>
      <c r="O348" s="3892"/>
      <c r="P348" s="535"/>
      <c r="R348" s="376"/>
    </row>
    <row r="349" spans="1:21" s="102" customFormat="1" ht="10.5" customHeight="1">
      <c r="A349" s="138"/>
      <c r="B349" s="374" t="s">
        <v>1225</v>
      </c>
      <c r="C349" s="35" t="s">
        <v>4879</v>
      </c>
      <c r="D349" s="32"/>
      <c r="N349" s="892" t="s">
        <v>1225</v>
      </c>
      <c r="O349" s="3892"/>
      <c r="P349" s="535"/>
      <c r="R349" s="376"/>
    </row>
    <row r="350" spans="1:21" s="102" customFormat="1" ht="10.5" customHeight="1">
      <c r="A350" s="138"/>
      <c r="B350" s="374" t="s">
        <v>1882</v>
      </c>
      <c r="C350" s="35" t="s">
        <v>4067</v>
      </c>
      <c r="D350" s="32"/>
      <c r="N350" s="892" t="s">
        <v>1882</v>
      </c>
      <c r="O350" s="3893"/>
      <c r="P350" s="536"/>
      <c r="R350" s="376"/>
    </row>
    <row r="351" spans="1:21" s="42" customFormat="1" ht="12" customHeight="1">
      <c r="A351" s="138" t="s">
        <v>1986</v>
      </c>
      <c r="B351" s="165" t="s">
        <v>4050</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4948</v>
      </c>
      <c r="D352" s="51"/>
      <c r="E352" s="51"/>
      <c r="M352" s="2285"/>
      <c r="N352" s="435" t="s">
        <v>4950</v>
      </c>
      <c r="O352" s="3891"/>
      <c r="P352" s="534"/>
      <c r="Q352" s="109"/>
    </row>
    <row r="353" spans="1:18" s="102" customFormat="1" ht="10.5" customHeight="1">
      <c r="A353" s="138"/>
      <c r="B353" s="374"/>
      <c r="C353" s="35" t="s">
        <v>4953</v>
      </c>
      <c r="D353" s="32"/>
      <c r="N353" s="435" t="s">
        <v>4951</v>
      </c>
      <c r="O353" s="3892"/>
      <c r="P353" s="535"/>
      <c r="R353" s="376"/>
    </row>
    <row r="354" spans="1:18" s="102" customFormat="1" ht="10.5" customHeight="1">
      <c r="A354" s="138"/>
      <c r="B354" s="374" t="s">
        <v>1989</v>
      </c>
      <c r="C354" s="35" t="s">
        <v>4079</v>
      </c>
      <c r="D354" s="32"/>
      <c r="N354" s="892" t="s">
        <v>1989</v>
      </c>
      <c r="O354" s="3892"/>
      <c r="P354" s="535"/>
      <c r="R354" s="376"/>
    </row>
    <row r="355" spans="1:18" s="102" customFormat="1" ht="10.5" customHeight="1">
      <c r="B355" s="374" t="s">
        <v>2535</v>
      </c>
      <c r="C355" s="35" t="s">
        <v>4067</v>
      </c>
      <c r="D355" s="32"/>
      <c r="N355" s="892" t="s">
        <v>2535</v>
      </c>
      <c r="O355" s="3893"/>
      <c r="P355" s="536"/>
      <c r="R355" s="376"/>
    </row>
    <row r="356" spans="1:18" s="42" customFormat="1" ht="10.5" customHeight="1">
      <c r="B356" s="85" t="s">
        <v>1867</v>
      </c>
      <c r="C356" s="98"/>
      <c r="D356" s="85"/>
      <c r="E356" s="99"/>
      <c r="F356" s="2297"/>
      <c r="G356" s="2297"/>
      <c r="H356" s="2297"/>
      <c r="I356" s="2297"/>
      <c r="J356" s="2297"/>
      <c r="K356" s="2297"/>
      <c r="L356" s="2297"/>
      <c r="M356" s="2297"/>
      <c r="N356" s="74"/>
      <c r="O356" s="70"/>
      <c r="P356" s="2285"/>
      <c r="Q356" s="426"/>
    </row>
    <row r="357" spans="1:18" s="42" customFormat="1" ht="11.25" customHeight="1">
      <c r="A357" s="2621"/>
      <c r="B357" s="2622"/>
      <c r="C357" s="2622"/>
      <c r="D357" s="2622"/>
      <c r="E357" s="2622"/>
      <c r="F357" s="2622"/>
      <c r="G357" s="2622"/>
      <c r="H357" s="2622"/>
      <c r="I357" s="2622"/>
      <c r="J357" s="2622"/>
      <c r="K357" s="2622"/>
      <c r="L357" s="2622"/>
      <c r="M357" s="2622"/>
      <c r="N357" s="2622"/>
      <c r="O357" s="2622"/>
      <c r="P357" s="2623"/>
      <c r="Q357" s="445"/>
    </row>
    <row r="358" spans="1:18" ht="2.25" customHeight="1" thickBot="1"/>
    <row r="359" spans="1:18" s="62" customFormat="1" ht="12.4" customHeight="1" thickBot="1">
      <c r="A359" s="153" t="s">
        <v>2783</v>
      </c>
      <c r="B359" s="105" t="s">
        <v>4051</v>
      </c>
      <c r="H359" s="463" t="s">
        <v>3576</v>
      </c>
      <c r="I359" s="2309" t="str">
        <f>'Part I-Project Information'!$H$105</f>
        <v>Rural</v>
      </c>
      <c r="J359" s="2069"/>
      <c r="L359" s="376" t="str">
        <f>IF(OR($O359=$M359,$O359=0,$O359=""),"","* * Check Score! * *")</f>
        <v/>
      </c>
      <c r="M359" s="2285">
        <v>1</v>
      </c>
      <c r="N359" s="395"/>
      <c r="O359" s="4174"/>
      <c r="P359" s="1139"/>
      <c r="Q359" s="109" t="s">
        <v>441</v>
      </c>
    </row>
    <row r="360" spans="1:18" s="62" customFormat="1" ht="12" customHeight="1">
      <c r="C360" s="898"/>
      <c r="D360" s="898"/>
      <c r="E360" s="898"/>
      <c r="F360" s="898"/>
      <c r="G360" s="898"/>
      <c r="H360" s="898"/>
      <c r="I360" s="2852" t="s">
        <v>4880</v>
      </c>
      <c r="J360" s="2852"/>
      <c r="K360" s="2852"/>
      <c r="L360" s="2852"/>
      <c r="M360" s="2852"/>
      <c r="N360" s="2852"/>
      <c r="O360" s="2852"/>
      <c r="P360" s="2852"/>
      <c r="R360" s="376"/>
    </row>
    <row r="361" spans="1:18" s="62" customFormat="1" ht="12" customHeight="1">
      <c r="A361" s="898"/>
      <c r="B361" s="2620" t="s">
        <v>4922</v>
      </c>
      <c r="C361" s="2620"/>
      <c r="D361" s="2620"/>
      <c r="E361" s="2620"/>
      <c r="F361" s="2620"/>
      <c r="G361" s="2620"/>
      <c r="H361" s="2656"/>
      <c r="I361" s="4175" t="s">
        <v>5208</v>
      </c>
      <c r="J361" s="4175"/>
      <c r="K361" s="4175"/>
      <c r="L361" s="4175">
        <v>4</v>
      </c>
      <c r="M361" s="4175"/>
      <c r="N361" s="4175"/>
      <c r="O361" s="4175"/>
      <c r="P361" s="4175"/>
      <c r="R361" s="376"/>
    </row>
    <row r="362" spans="1:18" s="62" customFormat="1" ht="12" customHeight="1">
      <c r="A362" s="898"/>
      <c r="B362" s="2620"/>
      <c r="C362" s="2620"/>
      <c r="D362" s="2620"/>
      <c r="E362" s="2620"/>
      <c r="F362" s="2620"/>
      <c r="G362" s="2620"/>
      <c r="H362" s="2656"/>
      <c r="I362" s="4176" t="s">
        <v>5207</v>
      </c>
      <c r="J362" s="4176"/>
      <c r="K362" s="4176"/>
      <c r="L362" s="4176">
        <v>5</v>
      </c>
      <c r="M362" s="4176"/>
      <c r="N362" s="4176"/>
      <c r="O362" s="4176"/>
      <c r="P362" s="4176"/>
      <c r="R362" s="376"/>
    </row>
    <row r="363" spans="1:18" s="62" customFormat="1" ht="12" customHeight="1">
      <c r="A363" s="2297"/>
      <c r="B363" s="2620"/>
      <c r="C363" s="2620"/>
      <c r="D363" s="2620"/>
      <c r="E363" s="2620"/>
      <c r="F363" s="2620"/>
      <c r="G363" s="2620"/>
      <c r="H363" s="2656"/>
      <c r="I363" s="4177">
        <v>3</v>
      </c>
      <c r="J363" s="4177"/>
      <c r="K363" s="4177"/>
      <c r="L363" s="4177">
        <v>6</v>
      </c>
      <c r="M363" s="4177"/>
      <c r="N363" s="4177"/>
      <c r="O363" s="4177"/>
      <c r="P363" s="4177"/>
      <c r="R363" s="376"/>
    </row>
    <row r="364" spans="1:18" s="102" customFormat="1" ht="10.5" customHeight="1" thickBot="1">
      <c r="A364" s="41"/>
      <c r="B364" s="1206" t="s">
        <v>3751</v>
      </c>
      <c r="C364" s="41"/>
      <c r="D364" s="47"/>
      <c r="E364" s="47"/>
      <c r="F364" s="47"/>
      <c r="G364" s="47"/>
      <c r="H364" s="35"/>
      <c r="I364" s="35"/>
      <c r="J364" s="35"/>
      <c r="K364" s="35"/>
      <c r="M364" s="45"/>
      <c r="N364" s="5"/>
      <c r="O364" s="2"/>
      <c r="P364" s="2285"/>
    </row>
    <row r="365" spans="1:18" s="42" customFormat="1" ht="21.75" customHeight="1" thickTop="1" thickBot="1">
      <c r="A365" s="4034" t="s">
        <v>5232</v>
      </c>
      <c r="B365" s="4035"/>
      <c r="C365" s="4035"/>
      <c r="D365" s="4035"/>
      <c r="E365" s="4035"/>
      <c r="F365" s="4035"/>
      <c r="G365" s="4035"/>
      <c r="H365" s="4035"/>
      <c r="I365" s="4035"/>
      <c r="J365" s="4035"/>
      <c r="K365" s="4035"/>
      <c r="L365" s="4035"/>
      <c r="M365" s="4035"/>
      <c r="N365" s="4035"/>
      <c r="O365" s="4035"/>
      <c r="P365" s="4036"/>
      <c r="Q365" s="1074" t="s">
        <v>1254</v>
      </c>
    </row>
    <row r="366" spans="1:18" s="102" customFormat="1" ht="10.5" customHeight="1" thickTop="1">
      <c r="A366" s="41"/>
      <c r="B366" s="97" t="s">
        <v>1867</v>
      </c>
      <c r="C366" s="41"/>
      <c r="D366" s="97"/>
      <c r="E366" s="2303"/>
      <c r="F366" s="2303"/>
      <c r="G366" s="2303"/>
      <c r="H366" s="2303"/>
      <c r="I366" s="2303"/>
      <c r="J366" s="2303"/>
      <c r="K366" s="2303"/>
      <c r="L366" s="2303"/>
      <c r="M366" s="2303"/>
      <c r="N366" s="93"/>
      <c r="O366" s="872"/>
      <c r="P366" s="2285"/>
      <c r="Q366" s="426"/>
    </row>
    <row r="367" spans="1:18" s="42" customFormat="1" ht="11.25" customHeight="1">
      <c r="A367" s="2621"/>
      <c r="B367" s="2622"/>
      <c r="C367" s="2622"/>
      <c r="D367" s="2622"/>
      <c r="E367" s="2622"/>
      <c r="F367" s="2622"/>
      <c r="G367" s="2622"/>
      <c r="H367" s="2622"/>
      <c r="I367" s="2622"/>
      <c r="J367" s="2622"/>
      <c r="K367" s="2622"/>
      <c r="L367" s="2622"/>
      <c r="M367" s="2622"/>
      <c r="N367" s="2622"/>
      <c r="O367" s="2622"/>
      <c r="P367" s="2623"/>
      <c r="Q367" s="445"/>
    </row>
    <row r="368" spans="1:18" s="42" customFormat="1" ht="2.25" customHeight="1" thickBot="1">
      <c r="A368" s="41"/>
      <c r="C368" s="2297"/>
      <c r="D368" s="2297"/>
      <c r="E368" s="2297"/>
      <c r="F368" s="2297"/>
      <c r="G368" s="2297"/>
      <c r="H368" s="2297"/>
      <c r="I368" s="2297"/>
      <c r="J368" s="2297"/>
      <c r="K368" s="2297"/>
      <c r="L368" s="2297"/>
      <c r="M368" s="2297"/>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3612</v>
      </c>
      <c r="D370" s="88"/>
      <c r="E370" s="88"/>
      <c r="G370" s="51"/>
      <c r="I370" s="3739" t="s">
        <v>1504</v>
      </c>
      <c r="J370" s="3740"/>
      <c r="K370" s="3740"/>
      <c r="L370" s="3741"/>
      <c r="M370" s="430"/>
      <c r="N370" s="395"/>
      <c r="Q370" s="1020"/>
      <c r="R370" s="1088" t="s">
        <v>2707</v>
      </c>
    </row>
    <row r="371" spans="1:18" s="42" customFormat="1" ht="11.25" customHeight="1">
      <c r="A371" s="138"/>
      <c r="B371" s="374" t="s">
        <v>1987</v>
      </c>
      <c r="C371" s="54" t="s">
        <v>4895</v>
      </c>
      <c r="D371" s="88"/>
      <c r="E371" s="54" t="s">
        <v>4896</v>
      </c>
      <c r="G371" s="51"/>
      <c r="I371" s="1577"/>
      <c r="J371" s="1042"/>
      <c r="K371" s="1042"/>
      <c r="L371" s="1042"/>
      <c r="M371" s="2293"/>
      <c r="N371" s="2120"/>
      <c r="O371" s="3891" t="s">
        <v>2993</v>
      </c>
      <c r="P371" s="534"/>
      <c r="Q371" s="2121"/>
      <c r="R371" s="1088"/>
    </row>
    <row r="372" spans="1:18" s="42" customFormat="1" ht="11.25" customHeight="1">
      <c r="A372" s="138"/>
      <c r="B372" s="50"/>
      <c r="C372" s="54"/>
      <c r="D372" s="88"/>
      <c r="E372" s="1060" t="s">
        <v>4897</v>
      </c>
      <c r="G372" s="51"/>
      <c r="H372" s="1104"/>
      <c r="I372" s="54"/>
      <c r="J372" s="54"/>
      <c r="K372" s="54"/>
      <c r="L372" s="2120"/>
      <c r="M372" s="4062"/>
      <c r="N372" s="2120"/>
      <c r="O372" s="3893"/>
      <c r="P372" s="536"/>
      <c r="Q372" s="2121"/>
      <c r="R372" s="1088"/>
    </row>
    <row r="373" spans="1:18" s="42" customFormat="1" ht="11.25" customHeight="1">
      <c r="B373" s="374" t="s">
        <v>1989</v>
      </c>
      <c r="C373" s="39" t="s">
        <v>4898</v>
      </c>
      <c r="D373" s="102"/>
      <c r="E373" s="88"/>
      <c r="F373" s="51"/>
      <c r="G373" s="51"/>
      <c r="N373" s="463" t="s">
        <v>1984</v>
      </c>
      <c r="O373" s="1174" t="s">
        <v>2511</v>
      </c>
      <c r="P373" s="1174" t="s">
        <v>2511</v>
      </c>
    </row>
    <row r="374" spans="1:18" s="117" customFormat="1" ht="10.5" customHeight="1">
      <c r="B374" s="375" t="s">
        <v>2436</v>
      </c>
      <c r="C374" s="433" t="s">
        <v>4052</v>
      </c>
      <c r="H374" s="38"/>
      <c r="I374" s="38"/>
      <c r="J374" s="38"/>
      <c r="K374" s="38"/>
      <c r="N374" s="375" t="s">
        <v>2436</v>
      </c>
      <c r="O374" s="3891"/>
      <c r="P374" s="534"/>
    </row>
    <row r="375" spans="1:18" s="117" customFormat="1" ht="10.5" customHeight="1">
      <c r="B375" s="388" t="s">
        <v>2437</v>
      </c>
      <c r="C375" s="433" t="s">
        <v>4053</v>
      </c>
      <c r="N375" s="388" t="s">
        <v>2437</v>
      </c>
      <c r="O375" s="3892"/>
      <c r="P375" s="535"/>
    </row>
    <row r="376" spans="1:18" s="117" customFormat="1" ht="10.5" customHeight="1">
      <c r="B376" s="375" t="s">
        <v>2438</v>
      </c>
      <c r="C376" s="433" t="s">
        <v>4881</v>
      </c>
      <c r="N376" s="375" t="s">
        <v>2438</v>
      </c>
      <c r="O376" s="3893"/>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85"/>
    </row>
    <row r="380" spans="1:18" s="42" customFormat="1" ht="21.75" customHeight="1" thickTop="1" thickBot="1">
      <c r="A380" s="4034" t="s">
        <v>5269</v>
      </c>
      <c r="B380" s="4035"/>
      <c r="C380" s="4035"/>
      <c r="D380" s="4035"/>
      <c r="E380" s="4035"/>
      <c r="F380" s="4035"/>
      <c r="G380" s="4035"/>
      <c r="H380" s="4035"/>
      <c r="I380" s="4035"/>
      <c r="J380" s="4035"/>
      <c r="K380" s="4035"/>
      <c r="L380" s="4035"/>
      <c r="M380" s="4035"/>
      <c r="N380" s="4035"/>
      <c r="O380" s="4035"/>
      <c r="P380" s="4036"/>
      <c r="Q380" s="1074" t="s">
        <v>1254</v>
      </c>
    </row>
    <row r="381" spans="1:18" s="102" customFormat="1" ht="10.5" customHeight="1" thickTop="1">
      <c r="A381" s="41"/>
      <c r="B381" s="97" t="s">
        <v>1867</v>
      </c>
      <c r="C381" s="41"/>
      <c r="D381" s="97"/>
      <c r="E381" s="2303"/>
      <c r="F381" s="2303"/>
      <c r="G381" s="2303"/>
      <c r="H381" s="2303"/>
      <c r="I381" s="2303"/>
      <c r="J381" s="2303"/>
      <c r="K381" s="2303"/>
      <c r="L381" s="2303"/>
      <c r="M381" s="2303"/>
      <c r="N381" s="93"/>
      <c r="O381" s="872"/>
      <c r="P381" s="2285"/>
      <c r="Q381" s="426"/>
    </row>
    <row r="382" spans="1:18" s="42" customFormat="1" ht="11.25" customHeight="1">
      <c r="A382" s="2621"/>
      <c r="B382" s="2622"/>
      <c r="C382" s="2622"/>
      <c r="D382" s="2622"/>
      <c r="E382" s="2622"/>
      <c r="F382" s="2622"/>
      <c r="G382" s="2622"/>
      <c r="H382" s="2622"/>
      <c r="I382" s="2622"/>
      <c r="J382" s="2622"/>
      <c r="K382" s="2622"/>
      <c r="L382" s="2622"/>
      <c r="M382" s="2622"/>
      <c r="N382" s="2622"/>
      <c r="O382" s="2622"/>
      <c r="P382" s="2623"/>
      <c r="Q382" s="445"/>
    </row>
    <row r="383" spans="1:18" ht="3" customHeight="1" thickBot="1"/>
    <row r="384" spans="1:18" s="42" customFormat="1" ht="12.75" customHeight="1" thickBot="1">
      <c r="A384" s="152" t="s">
        <v>4097</v>
      </c>
      <c r="B384" s="105" t="s">
        <v>4058</v>
      </c>
      <c r="D384" s="88"/>
      <c r="E384" s="88"/>
      <c r="F384" s="51"/>
      <c r="G384" s="51"/>
      <c r="H384" s="165" t="s">
        <v>2795</v>
      </c>
      <c r="J384" s="513" t="str">
        <f>'Part I-Project Information'!$H$105</f>
        <v>Rural</v>
      </c>
      <c r="L384" s="376" t="str">
        <f>IF(OR($O384=$M384,$O384=$M391,$O384=$M411,$O384=0,$O384=""),"","* * Check Score! * *")</f>
        <v>* * Check Score! * *</v>
      </c>
      <c r="M384" s="2">
        <v>4</v>
      </c>
      <c r="N384" s="5"/>
      <c r="O384" s="1138">
        <f>O391+O411</f>
        <v>2</v>
      </c>
      <c r="P384" s="1138">
        <f>P391+P411</f>
        <v>0</v>
      </c>
      <c r="Q384" s="109" t="s">
        <v>441</v>
      </c>
    </row>
    <row r="385" spans="1:19" s="42" customFormat="1" ht="10.5" customHeight="1">
      <c r="A385" s="41"/>
      <c r="B385" s="113" t="s">
        <v>4883</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2860" t="str">
        <f>IF(OR(O386="No",O386="",O387="No",O387="",O388="No",O388="",O389="No",O389=""),"Unmet criterion results in no points!","")</f>
        <v/>
      </c>
      <c r="M386" s="2860"/>
      <c r="N386" s="375" t="s">
        <v>2436</v>
      </c>
      <c r="O386" s="3891" t="s">
        <v>2990</v>
      </c>
      <c r="P386" s="534"/>
      <c r="R386" s="2844" t="str">
        <f>IF(OR(P386="No",P386="",P387="No",P387="",P388="No",P388="",P389="No",P389=""),"Unmet criterion results in no points!","")</f>
        <v>Unmet criterion results in no points!</v>
      </c>
      <c r="S386" s="2844" t="e">
        <f>IF(OR(V386="No",V386="",V387="No",V387="",V388="No",V388="",V389="No",V389="",#REF!="No",#REF!="",#REF!="No",#REF!=""),"Unmet criterion results in no points!","")</f>
        <v>#REF!</v>
      </c>
    </row>
    <row r="387" spans="1:19" s="100" customFormat="1" ht="12.75" customHeight="1">
      <c r="B387" s="375" t="s">
        <v>2437</v>
      </c>
      <c r="C387" s="134" t="s">
        <v>3805</v>
      </c>
      <c r="L387" s="2860"/>
      <c r="M387" s="2860"/>
      <c r="N387" s="375" t="s">
        <v>2437</v>
      </c>
      <c r="O387" s="3892" t="s">
        <v>2990</v>
      </c>
      <c r="P387" s="535"/>
      <c r="R387" s="2844"/>
      <c r="S387" s="2844"/>
    </row>
    <row r="388" spans="1:19" s="100" customFormat="1" ht="12.75" customHeight="1">
      <c r="B388" s="375" t="s">
        <v>2438</v>
      </c>
      <c r="C388" s="134" t="s">
        <v>3804</v>
      </c>
      <c r="L388" s="2860"/>
      <c r="M388" s="2860"/>
      <c r="N388" s="375" t="s">
        <v>2438</v>
      </c>
      <c r="O388" s="3892" t="s">
        <v>2990</v>
      </c>
      <c r="P388" s="535"/>
      <c r="R388" s="2844"/>
      <c r="S388" s="2844"/>
    </row>
    <row r="389" spans="1:19" s="100" customFormat="1" ht="33.75" customHeight="1">
      <c r="B389" s="388" t="s">
        <v>2439</v>
      </c>
      <c r="C389" s="2768" t="s">
        <v>4882</v>
      </c>
      <c r="D389" s="2768"/>
      <c r="E389" s="2768"/>
      <c r="F389" s="2768"/>
      <c r="G389" s="2768"/>
      <c r="H389" s="2768"/>
      <c r="I389" s="2768"/>
      <c r="J389" s="2768"/>
      <c r="K389" s="2768"/>
      <c r="L389" s="2768"/>
      <c r="M389" s="2768"/>
      <c r="N389" s="388" t="s">
        <v>2439</v>
      </c>
      <c r="O389" s="3926" t="s">
        <v>2990</v>
      </c>
      <c r="P389" s="2296"/>
    </row>
    <row r="390" spans="1:19" ht="3" customHeight="1">
      <c r="C390" s="2768"/>
      <c r="D390" s="2768"/>
      <c r="E390" s="2768"/>
      <c r="F390" s="2768"/>
      <c r="G390" s="2768"/>
      <c r="H390" s="2768"/>
      <c r="I390" s="2768"/>
      <c r="J390" s="2768"/>
      <c r="K390" s="2768"/>
      <c r="L390" s="2768"/>
      <c r="M390" s="2768"/>
    </row>
    <row r="391" spans="1:19" ht="12.75" customHeight="1">
      <c r="A391" s="1039" t="s">
        <v>1984</v>
      </c>
      <c r="B391" s="177" t="s">
        <v>4060</v>
      </c>
      <c r="L391" s="376" t="str">
        <f>IF(OR($O391=$M391,$O391=0,$O391=""),"","* * Check Score! * *")</f>
        <v>* * Check Score! * *</v>
      </c>
      <c r="M391" s="1128">
        <v>3</v>
      </c>
      <c r="N391" s="463" t="s">
        <v>1984</v>
      </c>
      <c r="O391" s="4062">
        <v>2</v>
      </c>
      <c r="P391" s="860"/>
      <c r="Q391" s="1020" t="str">
        <f>IF(OR($O391=$M391,$O391=0,$O391=""),"","*CHECK!*")</f>
        <v>*CHECK!*</v>
      </c>
      <c r="R391" s="1088" t="s">
        <v>2707</v>
      </c>
    </row>
    <row r="392" spans="1:19" ht="12.75" customHeight="1">
      <c r="A392" s="1039"/>
      <c r="B392" s="586" t="s">
        <v>1987</v>
      </c>
      <c r="C392" s="1023" t="s">
        <v>4885</v>
      </c>
      <c r="D392" s="1023"/>
      <c r="E392" s="1023"/>
      <c r="F392" s="1023"/>
      <c r="G392" s="1023"/>
      <c r="H392" s="1023"/>
      <c r="I392" s="1023"/>
      <c r="N392" s="26"/>
      <c r="O392" s="26"/>
      <c r="P392" s="26"/>
    </row>
    <row r="393" spans="1:19" ht="12.75" customHeight="1">
      <c r="A393" s="1039"/>
      <c r="B393" s="440"/>
      <c r="C393" s="1023" t="s">
        <v>4884</v>
      </c>
      <c r="D393" s="1023"/>
      <c r="E393" s="1023"/>
      <c r="F393" s="1023"/>
      <c r="G393" s="1023"/>
      <c r="H393" s="1023"/>
      <c r="I393" s="1023"/>
      <c r="J393" s="2859" t="s">
        <v>1991</v>
      </c>
      <c r="K393" s="2859"/>
      <c r="M393" s="2859" t="s">
        <v>1991</v>
      </c>
      <c r="N393" s="2859"/>
      <c r="O393" s="2859"/>
      <c r="P393" s="2859"/>
    </row>
    <row r="394" spans="1:19" s="42" customFormat="1" ht="12.75" customHeight="1">
      <c r="A394" s="175"/>
      <c r="B394" s="375" t="s">
        <v>2436</v>
      </c>
      <c r="C394" s="35" t="s">
        <v>1482</v>
      </c>
      <c r="I394" s="375" t="s">
        <v>2436</v>
      </c>
      <c r="J394" s="4178"/>
      <c r="K394" s="4179"/>
      <c r="L394" s="375" t="s">
        <v>2436</v>
      </c>
      <c r="M394" s="2856"/>
      <c r="N394" s="2857"/>
      <c r="O394" s="2857"/>
      <c r="P394" s="2858"/>
      <c r="R394" s="376"/>
    </row>
    <row r="395" spans="1:19" ht="12.75" customHeight="1">
      <c r="A395" s="176"/>
      <c r="B395" s="388" t="s">
        <v>2437</v>
      </c>
      <c r="C395" s="35" t="s">
        <v>3619</v>
      </c>
      <c r="I395" s="388" t="s">
        <v>2437</v>
      </c>
      <c r="J395" s="4180"/>
      <c r="K395" s="4181"/>
      <c r="L395" s="388" t="s">
        <v>2437</v>
      </c>
      <c r="M395" s="2773"/>
      <c r="N395" s="2774"/>
      <c r="O395" s="2774"/>
      <c r="P395" s="2775"/>
      <c r="R395" s="376"/>
    </row>
    <row r="396" spans="1:19" ht="12.75" customHeight="1">
      <c r="B396" s="375" t="s">
        <v>2438</v>
      </c>
      <c r="C396" s="35" t="s">
        <v>2627</v>
      </c>
      <c r="I396" s="375" t="s">
        <v>2438</v>
      </c>
      <c r="J396" s="4180"/>
      <c r="K396" s="4181"/>
      <c r="L396" s="375" t="s">
        <v>2438</v>
      </c>
      <c r="M396" s="2773"/>
      <c r="N396" s="2774"/>
      <c r="O396" s="2774"/>
      <c r="P396" s="2775"/>
      <c r="R396" s="376"/>
    </row>
    <row r="397" spans="1:19" ht="12.75" customHeight="1">
      <c r="A397" s="176"/>
      <c r="B397" s="375" t="s">
        <v>2439</v>
      </c>
      <c r="C397" s="35" t="s">
        <v>3461</v>
      </c>
      <c r="I397" s="375" t="s">
        <v>2439</v>
      </c>
      <c r="J397" s="4180"/>
      <c r="K397" s="4181"/>
      <c r="L397" s="375" t="s">
        <v>2439</v>
      </c>
      <c r="M397" s="2773"/>
      <c r="N397" s="2774"/>
      <c r="O397" s="2774"/>
      <c r="P397" s="2775"/>
      <c r="R397" s="376"/>
    </row>
    <row r="398" spans="1:19" s="42" customFormat="1" ht="12.75" customHeight="1">
      <c r="A398" s="175"/>
      <c r="B398" s="388" t="s">
        <v>2440</v>
      </c>
      <c r="C398" s="35" t="s">
        <v>2732</v>
      </c>
      <c r="I398" s="388" t="s">
        <v>2440</v>
      </c>
      <c r="J398" s="4180"/>
      <c r="K398" s="4181"/>
      <c r="L398" s="388" t="s">
        <v>2440</v>
      </c>
      <c r="M398" s="2773"/>
      <c r="N398" s="2774"/>
      <c r="O398" s="2774"/>
      <c r="P398" s="2775"/>
      <c r="R398" s="376"/>
    </row>
    <row r="399" spans="1:19" ht="12.75" customHeight="1">
      <c r="B399" s="375" t="s">
        <v>2456</v>
      </c>
      <c r="C399" s="35" t="s">
        <v>1481</v>
      </c>
      <c r="I399" s="375" t="s">
        <v>2456</v>
      </c>
      <c r="J399" s="4180"/>
      <c r="K399" s="4181"/>
      <c r="L399" s="375" t="s">
        <v>2456</v>
      </c>
      <c r="M399" s="2773"/>
      <c r="N399" s="2774"/>
      <c r="O399" s="2774"/>
      <c r="P399" s="2775"/>
      <c r="R399" s="376"/>
    </row>
    <row r="400" spans="1:19" ht="12.75" customHeight="1">
      <c r="A400" s="176"/>
      <c r="B400" s="375" t="s">
        <v>2457</v>
      </c>
      <c r="C400" s="35" t="s">
        <v>3617</v>
      </c>
      <c r="I400" s="375" t="s">
        <v>2457</v>
      </c>
      <c r="J400" s="4180"/>
      <c r="K400" s="4181"/>
      <c r="L400" s="375" t="s">
        <v>2457</v>
      </c>
      <c r="M400" s="2773"/>
      <c r="N400" s="2774"/>
      <c r="O400" s="2774"/>
      <c r="P400" s="2775"/>
      <c r="R400" s="376"/>
    </row>
    <row r="401" spans="1:23" ht="12.75" customHeight="1">
      <c r="B401" s="387" t="s">
        <v>2458</v>
      </c>
      <c r="C401" s="35" t="s">
        <v>4886</v>
      </c>
      <c r="I401" s="387" t="s">
        <v>2458</v>
      </c>
      <c r="J401" s="4180"/>
      <c r="K401" s="4181"/>
      <c r="L401" s="387" t="s">
        <v>2458</v>
      </c>
      <c r="M401" s="2773"/>
      <c r="N401" s="2774"/>
      <c r="O401" s="2774"/>
      <c r="P401" s="2775"/>
      <c r="R401" s="376"/>
    </row>
    <row r="402" spans="1:23" ht="12.75" customHeight="1">
      <c r="B402" s="387" t="s">
        <v>2459</v>
      </c>
      <c r="C402" s="35" t="s">
        <v>4887</v>
      </c>
      <c r="I402" s="387" t="s">
        <v>2459</v>
      </c>
      <c r="J402" s="4180">
        <f>'Part III-Sources of Funds'!I43</f>
        <v>805706</v>
      </c>
      <c r="K402" s="4181"/>
      <c r="L402" s="387" t="s">
        <v>2459</v>
      </c>
      <c r="M402" s="2773"/>
      <c r="N402" s="2774"/>
      <c r="O402" s="2774"/>
      <c r="P402" s="2775"/>
      <c r="R402" s="376"/>
    </row>
    <row r="403" spans="1:23" ht="12.75" customHeight="1" thickBot="1">
      <c r="B403" s="387" t="s">
        <v>3620</v>
      </c>
      <c r="C403" s="35" t="s">
        <v>4888</v>
      </c>
      <c r="I403" s="387" t="s">
        <v>3620</v>
      </c>
      <c r="J403" s="4180"/>
      <c r="K403" s="4181"/>
      <c r="L403" s="387" t="s">
        <v>3620</v>
      </c>
      <c r="M403" s="2837"/>
      <c r="N403" s="2838"/>
      <c r="O403" s="2838"/>
      <c r="P403" s="2839"/>
      <c r="R403" s="376"/>
    </row>
    <row r="404" spans="1:23" ht="12.75" customHeight="1" thickBot="1">
      <c r="B404" s="1172" t="s">
        <v>4889</v>
      </c>
      <c r="H404" s="1205" t="s">
        <v>2629</v>
      </c>
      <c r="J404" s="2864">
        <f>SUM(J394:K403)</f>
        <v>805706</v>
      </c>
      <c r="K404" s="2865"/>
      <c r="M404" s="2864">
        <f>SUM($M394:$M403)</f>
        <v>0</v>
      </c>
      <c r="N404" s="2866"/>
      <c r="O404" s="2866"/>
      <c r="P404" s="2865"/>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2760" t="s">
        <v>5031</v>
      </c>
      <c r="D407" s="2760"/>
      <c r="E407" s="2760"/>
      <c r="F407" s="433" t="s">
        <v>4930</v>
      </c>
      <c r="H407" s="26"/>
      <c r="I407" s="4182"/>
      <c r="J407" s="2825">
        <f ca="1">'Part IV-A-Uses of Funds'!$G$132</f>
        <v>15903809.932432491</v>
      </c>
      <c r="K407" s="2826"/>
      <c r="L407" s="547"/>
      <c r="M407" s="502"/>
      <c r="N407" s="502"/>
      <c r="O407" s="1114"/>
      <c r="P407" s="502"/>
    </row>
    <row r="408" spans="1:23" ht="12.75" customHeight="1">
      <c r="C408" s="2760"/>
      <c r="D408" s="2760"/>
      <c r="E408" s="2760"/>
      <c r="F408" s="437" t="s">
        <v>4929</v>
      </c>
      <c r="I408" s="4183"/>
      <c r="J408" s="2832">
        <f ca="1">IF($J407=0,0,$J404/$J407)</f>
        <v>5.0661193979496151E-2</v>
      </c>
      <c r="K408" s="2833"/>
      <c r="M408" s="2834">
        <f ca="1">IF($J407=0,0,$M404/$J407)</f>
        <v>0</v>
      </c>
      <c r="N408" s="2835"/>
      <c r="O408" s="2835"/>
      <c r="P408" s="2836"/>
    </row>
    <row r="409" spans="1:23" s="42" customFormat="1" ht="12.75" customHeight="1">
      <c r="C409" s="2760"/>
      <c r="D409" s="2760"/>
      <c r="E409" s="2760"/>
      <c r="F409" s="1060" t="s">
        <v>4928</v>
      </c>
      <c r="I409" s="4184"/>
      <c r="J409" s="2829">
        <f ca="1">IF(L386="", IF($J408&gt;=0.1, 3,IF($J408&gt;=0.05, 2,IF($J408&gt;=0.02,1,0))),0)</f>
        <v>2</v>
      </c>
      <c r="K409" s="2831"/>
      <c r="L409" s="513"/>
      <c r="M409" s="2829">
        <f>IF(R386="", IF($M408&gt;=0.1, 3,IF($M408&gt;=0.05, 2,IF($M408&gt;=0.02,1,0))),0)</f>
        <v>0</v>
      </c>
      <c r="N409" s="2830"/>
      <c r="O409" s="2830"/>
      <c r="P409" s="2831"/>
    </row>
    <row r="410" spans="1:23" ht="3" customHeight="1" thickBot="1"/>
    <row r="411" spans="1:23" s="102" customFormat="1" ht="12.75" customHeight="1" thickBot="1">
      <c r="A411" s="138" t="s">
        <v>1986</v>
      </c>
      <c r="B411" s="179" t="s">
        <v>3621</v>
      </c>
      <c r="D411" s="38"/>
      <c r="E411" s="35"/>
      <c r="F411" s="887"/>
      <c r="H411" s="35"/>
      <c r="I411" s="887"/>
      <c r="J411" s="897"/>
      <c r="K411" s="897"/>
      <c r="L411" s="376" t="str">
        <f>IF(OR($O411=$M411,$O411=0,$O411=""),"","* * Check Score! * *")</f>
        <v/>
      </c>
      <c r="M411" s="590">
        <v>1</v>
      </c>
      <c r="N411" s="64" t="s">
        <v>1986</v>
      </c>
      <c r="O411" s="4063"/>
      <c r="P411" s="1123"/>
      <c r="Q411" s="109" t="s">
        <v>441</v>
      </c>
      <c r="R411" s="1088" t="s">
        <v>2707</v>
      </c>
      <c r="V411" s="1070"/>
      <c r="W411" s="1070"/>
    </row>
    <row r="412" spans="1:23" s="42" customFormat="1" ht="22.5" customHeight="1">
      <c r="A412" s="138"/>
      <c r="B412" s="1029" t="s">
        <v>2436</v>
      </c>
      <c r="C412" s="2620" t="s">
        <v>4062</v>
      </c>
      <c r="D412" s="2620"/>
      <c r="E412" s="2620"/>
      <c r="F412" s="2620"/>
      <c r="G412" s="2620"/>
      <c r="H412" s="2620"/>
      <c r="I412" s="2620"/>
      <c r="J412" s="2620"/>
      <c r="K412" s="2620"/>
      <c r="L412" s="2620"/>
      <c r="M412" s="2620"/>
      <c r="N412" s="388" t="s">
        <v>2436</v>
      </c>
      <c r="O412" s="3982"/>
      <c r="P412" s="1137"/>
      <c r="V412" s="1070"/>
      <c r="W412" s="1070"/>
    </row>
    <row r="413" spans="1:23" s="42" customFormat="1" ht="12.75" customHeight="1">
      <c r="A413" s="138"/>
      <c r="B413" s="375" t="s">
        <v>2437</v>
      </c>
      <c r="C413" s="51" t="s">
        <v>3797</v>
      </c>
      <c r="D413" s="51"/>
      <c r="E413" s="51"/>
      <c r="F413" s="51"/>
      <c r="G413" s="51"/>
      <c r="H413" s="51"/>
      <c r="I413" s="51"/>
      <c r="J413" s="51"/>
      <c r="K413" s="51"/>
      <c r="M413" s="51"/>
      <c r="N413" s="388" t="s">
        <v>2437</v>
      </c>
      <c r="O413" s="3893"/>
      <c r="P413" s="536"/>
      <c r="V413" s="1070"/>
      <c r="W413" s="1070"/>
    </row>
    <row r="414" spans="1:23" ht="12.75" customHeight="1">
      <c r="B414" s="375" t="s">
        <v>2438</v>
      </c>
      <c r="C414" s="431" t="s">
        <v>4890</v>
      </c>
      <c r="N414" s="375" t="s">
        <v>2438</v>
      </c>
      <c r="O414" s="3893"/>
      <c r="P414" s="536"/>
    </row>
    <row r="415" spans="1:23" ht="12" customHeight="1" thickBot="1">
      <c r="B415" s="1206" t="s">
        <v>3751</v>
      </c>
    </row>
    <row r="416" spans="1:23" s="42" customFormat="1" ht="21.75" customHeight="1" thickTop="1" thickBot="1">
      <c r="A416" s="4034" t="s">
        <v>5314</v>
      </c>
      <c r="B416" s="4035"/>
      <c r="C416" s="4035"/>
      <c r="D416" s="4035"/>
      <c r="E416" s="4035"/>
      <c r="F416" s="4035"/>
      <c r="G416" s="4035"/>
      <c r="H416" s="4035"/>
      <c r="I416" s="4035"/>
      <c r="J416" s="4035"/>
      <c r="K416" s="4035"/>
      <c r="L416" s="4035"/>
      <c r="M416" s="4035"/>
      <c r="N416" s="4035"/>
      <c r="O416" s="4035"/>
      <c r="P416" s="4036"/>
      <c r="Q416" s="1074" t="s">
        <v>1254</v>
      </c>
    </row>
    <row r="417" spans="1:19" s="102" customFormat="1" ht="11.25" customHeight="1" thickTop="1">
      <c r="A417" s="41"/>
      <c r="B417" s="504" t="s">
        <v>1867</v>
      </c>
      <c r="C417" s="98"/>
      <c r="D417" s="97"/>
      <c r="E417" s="2310"/>
      <c r="F417" s="2303"/>
      <c r="G417" s="2303"/>
      <c r="H417" s="2303"/>
      <c r="I417" s="2303"/>
      <c r="J417" s="2303"/>
      <c r="K417" s="2303"/>
      <c r="L417" s="2303"/>
      <c r="M417" s="2303"/>
      <c r="N417" s="93"/>
      <c r="O417" s="872"/>
      <c r="P417" s="2285"/>
      <c r="Q417" s="426"/>
    </row>
    <row r="418" spans="1:19" s="42" customFormat="1" ht="11.25" customHeight="1">
      <c r="A418" s="2621"/>
      <c r="B418" s="2622"/>
      <c r="C418" s="2622"/>
      <c r="D418" s="2622"/>
      <c r="E418" s="2622"/>
      <c r="F418" s="2622"/>
      <c r="G418" s="2622"/>
      <c r="H418" s="2622"/>
      <c r="I418" s="2622"/>
      <c r="J418" s="2622"/>
      <c r="K418" s="2622"/>
      <c r="L418" s="2622"/>
      <c r="M418" s="2622"/>
      <c r="N418" s="2622"/>
      <c r="O418" s="2622"/>
      <c r="P418" s="2623"/>
      <c r="Q418" s="445"/>
    </row>
    <row r="419" spans="1:19" s="42" customFormat="1" ht="3" customHeight="1" thickBot="1">
      <c r="A419" s="41"/>
      <c r="B419" s="41"/>
      <c r="C419" s="2297"/>
      <c r="D419" s="2297"/>
      <c r="E419" s="2297"/>
      <c r="F419" s="2297"/>
      <c r="G419" s="2297"/>
      <c r="H419" s="2297"/>
      <c r="I419" s="2297"/>
      <c r="J419" s="2297"/>
      <c r="K419" s="2297"/>
      <c r="L419" s="2297"/>
      <c r="M419" s="2297"/>
      <c r="N419" s="74"/>
      <c r="O419" s="70"/>
      <c r="P419" s="887"/>
    </row>
    <row r="420" spans="1:19" s="42" customFormat="1" ht="13.5" customHeight="1" thickBot="1">
      <c r="A420" s="152" t="s">
        <v>4098</v>
      </c>
      <c r="B420" s="105" t="s">
        <v>2722</v>
      </c>
      <c r="D420" s="39"/>
      <c r="G420" s="60" t="s">
        <v>3391</v>
      </c>
      <c r="J420" s="35"/>
      <c r="K420" s="35"/>
      <c r="L420" s="35"/>
      <c r="M420" s="2285">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739" t="s">
        <v>5020</v>
      </c>
      <c r="E422" s="3740"/>
      <c r="F422" s="3740"/>
      <c r="G422" s="3740"/>
      <c r="H422" s="3740"/>
      <c r="I422" s="3741"/>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3673</v>
      </c>
      <c r="C424" s="391"/>
      <c r="D424" s="391"/>
      <c r="E424" s="391"/>
      <c r="F424" s="391"/>
      <c r="G424" s="391"/>
      <c r="H424" s="391"/>
      <c r="I424" s="391"/>
      <c r="M424" s="413">
        <v>2</v>
      </c>
      <c r="N424" s="160" t="s">
        <v>1984</v>
      </c>
      <c r="O424" s="4062"/>
      <c r="P424" s="860"/>
      <c r="Q424" s="1020" t="str">
        <f>IF(OR($O424=$M424,$O424=0,$O424=""),"","*CHECK!*")</f>
        <v/>
      </c>
      <c r="R424" s="1088" t="s">
        <v>2707</v>
      </c>
    </row>
    <row r="425" spans="1:19" s="412" customFormat="1" ht="12" customHeight="1">
      <c r="A425" s="411"/>
      <c r="B425" s="2744" t="s">
        <v>4892</v>
      </c>
      <c r="C425" s="2744"/>
      <c r="D425" s="2744"/>
      <c r="E425" s="2744"/>
      <c r="F425" s="2744"/>
      <c r="G425" s="2744"/>
      <c r="H425" s="2744"/>
      <c r="I425" s="2744"/>
      <c r="J425" s="2744"/>
      <c r="K425" s="2744"/>
      <c r="L425" s="2744"/>
      <c r="M425" s="2823" t="s">
        <v>5021</v>
      </c>
      <c r="N425" s="2823"/>
      <c r="Q425" s="172"/>
    </row>
    <row r="426" spans="1:19" s="412" customFormat="1" ht="12" customHeight="1">
      <c r="B426" s="2744"/>
      <c r="C426" s="2744"/>
      <c r="D426" s="2744"/>
      <c r="E426" s="2744"/>
      <c r="F426" s="2744"/>
      <c r="G426" s="2744"/>
      <c r="H426" s="2744"/>
      <c r="I426" s="2744"/>
      <c r="J426" s="2744"/>
      <c r="K426" s="2744"/>
      <c r="L426" s="2744"/>
      <c r="M426" s="2823"/>
      <c r="N426" s="2823"/>
      <c r="O426" s="2827">
        <f>'Part VI-Revenues &amp; Expenses'!$O$111</f>
        <v>0</v>
      </c>
      <c r="P426" s="2828"/>
      <c r="Q426" s="172"/>
    </row>
    <row r="427" spans="1:19" s="412" customFormat="1" ht="12" customHeight="1">
      <c r="B427" s="2744"/>
      <c r="C427" s="2744"/>
      <c r="D427" s="2744"/>
      <c r="E427" s="2744"/>
      <c r="F427" s="2744"/>
      <c r="G427" s="2744"/>
      <c r="H427" s="2744"/>
      <c r="I427" s="2744"/>
      <c r="J427" s="2744"/>
      <c r="K427" s="2744"/>
      <c r="L427" s="2744"/>
      <c r="M427" s="1026" t="s">
        <v>2830</v>
      </c>
      <c r="N427" s="413"/>
      <c r="O427" s="2821">
        <f>'Part VI-Revenues &amp; Expenses'!$O$67</f>
        <v>84</v>
      </c>
      <c r="P427" s="2822"/>
      <c r="Q427" s="172"/>
    </row>
    <row r="428" spans="1:19" s="412" customFormat="1" ht="12" customHeight="1">
      <c r="B428" s="2824"/>
      <c r="C428" s="2824"/>
      <c r="D428" s="2824"/>
      <c r="E428" s="2824"/>
      <c r="F428" s="2824"/>
      <c r="G428" s="2824"/>
      <c r="H428" s="2824"/>
      <c r="I428" s="2824"/>
      <c r="J428" s="2824"/>
      <c r="K428" s="2824"/>
      <c r="L428" s="2824"/>
      <c r="M428" s="2112" t="s">
        <v>2831</v>
      </c>
      <c r="N428" s="413"/>
      <c r="O428" s="2819">
        <f>IF(O427=0,0,O426/O427)</f>
        <v>0</v>
      </c>
      <c r="P428" s="2820"/>
      <c r="Q428" s="172"/>
    </row>
    <row r="429" spans="1:19" s="42" customFormat="1" ht="66.75" customHeight="1">
      <c r="A429" s="525"/>
      <c r="B429" s="4020" t="s">
        <v>4197</v>
      </c>
      <c r="C429" s="4021"/>
      <c r="D429" s="4021"/>
      <c r="E429" s="4021"/>
      <c r="F429" s="4021"/>
      <c r="G429" s="4021"/>
      <c r="H429" s="4021"/>
      <c r="I429" s="4021"/>
      <c r="J429" s="4021"/>
      <c r="K429" s="4021"/>
      <c r="L429" s="4021"/>
      <c r="M429" s="4021"/>
      <c r="N429" s="4021"/>
      <c r="O429" s="4021"/>
      <c r="P429" s="4022"/>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1986</v>
      </c>
      <c r="O431" s="4062"/>
      <c r="P431" s="860"/>
      <c r="Q431" s="1020" t="str">
        <f>IF(OR($O431=$M431,$O431=0,$O431=""),"","*CHECK!*")</f>
        <v/>
      </c>
      <c r="R431" s="1088" t="s">
        <v>2707</v>
      </c>
    </row>
    <row r="432" spans="1:19" s="412" customFormat="1" ht="11.25" customHeight="1">
      <c r="A432" s="526"/>
      <c r="B432" s="2620" t="s">
        <v>4891</v>
      </c>
      <c r="C432" s="2620"/>
      <c r="D432" s="2620"/>
      <c r="E432" s="2620"/>
      <c r="F432" s="2620"/>
      <c r="G432" s="2620"/>
      <c r="H432" s="2620"/>
      <c r="I432" s="2620"/>
      <c r="J432" s="2620"/>
      <c r="K432" s="2620"/>
      <c r="L432" s="2620"/>
      <c r="M432" s="2184" t="s">
        <v>4893</v>
      </c>
      <c r="O432" s="2862">
        <f>'Part VI-Revenues &amp; Expenses'!$O$113</f>
        <v>0</v>
      </c>
      <c r="P432" s="2863"/>
      <c r="Q432" s="172"/>
    </row>
    <row r="433" spans="1:18" s="412" customFormat="1" ht="11.25" customHeight="1">
      <c r="A433" s="526"/>
      <c r="B433" s="2620"/>
      <c r="C433" s="2620"/>
      <c r="D433" s="2620"/>
      <c r="E433" s="2620"/>
      <c r="F433" s="2620"/>
      <c r="G433" s="2620"/>
      <c r="H433" s="2620"/>
      <c r="I433" s="2620"/>
      <c r="J433" s="2620"/>
      <c r="K433" s="2620"/>
      <c r="L433" s="2620"/>
      <c r="M433" s="1227" t="s">
        <v>2830</v>
      </c>
      <c r="N433" s="413"/>
      <c r="O433" s="2821">
        <f>'Part VI-Revenues &amp; Expenses'!$O$67</f>
        <v>84</v>
      </c>
      <c r="P433" s="2822"/>
      <c r="Q433" s="172"/>
    </row>
    <row r="434" spans="1:18" s="412" customFormat="1" ht="11.25" customHeight="1">
      <c r="A434" s="526"/>
      <c r="B434" s="2620"/>
      <c r="C434" s="2620"/>
      <c r="D434" s="2620"/>
      <c r="E434" s="2620"/>
      <c r="F434" s="2620"/>
      <c r="G434" s="2620"/>
      <c r="H434" s="2620"/>
      <c r="I434" s="2620"/>
      <c r="J434" s="2620"/>
      <c r="K434" s="2620"/>
      <c r="L434" s="2620"/>
      <c r="M434" s="2112" t="s">
        <v>2831</v>
      </c>
      <c r="N434" s="413"/>
      <c r="O434" s="2819">
        <f>IF(O433=0,0,L420/O433)</f>
        <v>0</v>
      </c>
      <c r="P434" s="2820"/>
      <c r="Q434" s="172"/>
    </row>
    <row r="435" spans="1:18" s="42" customFormat="1" ht="11.25" customHeight="1" thickBot="1">
      <c r="A435" s="41"/>
      <c r="B435" s="1206" t="s">
        <v>3751</v>
      </c>
      <c r="C435" s="41"/>
      <c r="D435" s="47"/>
      <c r="E435" s="47"/>
      <c r="F435" s="47"/>
      <c r="G435" s="47"/>
      <c r="H435" s="35"/>
      <c r="I435" s="35"/>
      <c r="J435" s="35"/>
      <c r="K435" s="35"/>
      <c r="M435" s="45"/>
      <c r="N435" s="61"/>
      <c r="O435" s="2"/>
      <c r="P435" s="2288"/>
    </row>
    <row r="436" spans="1:18" s="42" customFormat="1" ht="21.75" customHeight="1" thickTop="1" thickBot="1">
      <c r="A436" s="4034" t="s">
        <v>5270</v>
      </c>
      <c r="B436" s="4035"/>
      <c r="C436" s="4035"/>
      <c r="D436" s="4035"/>
      <c r="E436" s="4035"/>
      <c r="F436" s="4035"/>
      <c r="G436" s="4035"/>
      <c r="H436" s="4035"/>
      <c r="I436" s="4035"/>
      <c r="J436" s="4035"/>
      <c r="K436" s="4035"/>
      <c r="L436" s="4035"/>
      <c r="M436" s="4035"/>
      <c r="N436" s="4035"/>
      <c r="O436" s="4035"/>
      <c r="P436" s="4036"/>
      <c r="Q436" s="1074" t="s">
        <v>1254</v>
      </c>
      <c r="R436" s="446"/>
    </row>
    <row r="437" spans="1:18" s="42" customFormat="1" ht="10.5" customHeight="1" thickTop="1">
      <c r="B437" s="85" t="s">
        <v>1867</v>
      </c>
      <c r="C437" s="98"/>
      <c r="D437" s="85"/>
      <c r="E437" s="99"/>
      <c r="F437" s="2297"/>
      <c r="G437" s="2297"/>
      <c r="H437" s="2297"/>
      <c r="I437" s="2297"/>
      <c r="J437" s="2297"/>
      <c r="K437" s="2297"/>
      <c r="L437" s="2297"/>
      <c r="M437" s="2297"/>
      <c r="N437" s="74"/>
      <c r="O437" s="70"/>
      <c r="P437" s="2285"/>
      <c r="Q437" s="426"/>
    </row>
    <row r="438" spans="1:18" s="42" customFormat="1" ht="11.25" customHeight="1">
      <c r="A438" s="2621"/>
      <c r="B438" s="2622"/>
      <c r="C438" s="2622"/>
      <c r="D438" s="2622"/>
      <c r="E438" s="2622"/>
      <c r="F438" s="2622"/>
      <c r="G438" s="2622"/>
      <c r="H438" s="2622"/>
      <c r="I438" s="2622"/>
      <c r="J438" s="2622"/>
      <c r="K438" s="2622"/>
      <c r="L438" s="2622"/>
      <c r="M438" s="2622"/>
      <c r="N438" s="2622"/>
      <c r="O438" s="2622"/>
      <c r="P438" s="2623"/>
      <c r="Q438" s="445"/>
    </row>
    <row r="439" spans="1:18" s="42" customFormat="1" ht="3" customHeight="1" thickBot="1">
      <c r="A439" s="41"/>
      <c r="B439" s="41"/>
      <c r="C439" s="2297"/>
      <c r="D439" s="2297"/>
      <c r="E439" s="2297"/>
      <c r="F439" s="2297"/>
      <c r="G439" s="2297"/>
      <c r="H439" s="2297"/>
      <c r="I439" s="2297"/>
      <c r="J439" s="2297"/>
      <c r="K439" s="2297"/>
      <c r="L439" s="2297"/>
      <c r="M439" s="2297"/>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85">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85"/>
      <c r="N441" s="5"/>
      <c r="O441" s="5"/>
      <c r="P441" s="5"/>
      <c r="Q441" s="109"/>
    </row>
    <row r="442" spans="1:18" s="102" customFormat="1" ht="10.5" customHeight="1">
      <c r="A442" s="153"/>
      <c r="B442" s="86" t="s">
        <v>3655</v>
      </c>
      <c r="D442" s="44"/>
      <c r="E442" s="44"/>
      <c r="F442" s="38"/>
      <c r="G442" s="35"/>
      <c r="I442" s="35"/>
      <c r="J442" s="35"/>
      <c r="K442" s="35"/>
      <c r="L442" s="376"/>
      <c r="M442" s="2285"/>
      <c r="N442" s="5"/>
      <c r="O442" s="1147">
        <v>10</v>
      </c>
      <c r="P442" s="1147">
        <v>10</v>
      </c>
      <c r="Q442" s="109"/>
    </row>
    <row r="443" spans="1:18" s="102" customFormat="1" ht="10.5" customHeight="1">
      <c r="A443" s="153"/>
      <c r="B443" s="86" t="s">
        <v>3656</v>
      </c>
      <c r="D443" s="44"/>
      <c r="E443" s="44"/>
      <c r="F443" s="38"/>
      <c r="G443" s="35"/>
      <c r="I443" s="35"/>
      <c r="J443" s="35"/>
      <c r="K443" s="35"/>
      <c r="L443" s="376"/>
      <c r="M443" s="2285"/>
      <c r="N443" s="5"/>
      <c r="O443" s="4185"/>
      <c r="P443" s="1140"/>
      <c r="Q443" s="109"/>
    </row>
    <row r="444" spans="1:18" s="102" customFormat="1" ht="10.5" customHeight="1">
      <c r="A444" s="153"/>
      <c r="B444" s="86" t="s">
        <v>3657</v>
      </c>
      <c r="D444" s="44"/>
      <c r="E444" s="44"/>
      <c r="F444" s="38"/>
      <c r="G444" s="35"/>
      <c r="I444" s="35"/>
      <c r="J444" s="35"/>
      <c r="K444" s="35"/>
      <c r="L444" s="376"/>
      <c r="M444" s="2285"/>
      <c r="N444" s="5"/>
      <c r="O444" s="4186"/>
      <c r="P444" s="530"/>
      <c r="Q444" s="109"/>
    </row>
    <row r="445" spans="1:18" s="102" customFormat="1" ht="10.5" customHeight="1">
      <c r="A445" s="66"/>
      <c r="B445" s="66" t="s">
        <v>1867</v>
      </c>
      <c r="C445" s="49"/>
      <c r="D445" s="66"/>
      <c r="E445" s="2303"/>
      <c r="F445" s="2303"/>
      <c r="G445" s="2303"/>
      <c r="H445" s="2303"/>
      <c r="I445" s="2303"/>
      <c r="J445" s="2303"/>
      <c r="K445" s="2303"/>
      <c r="L445" s="2303"/>
      <c r="M445" s="2303"/>
      <c r="N445" s="93"/>
      <c r="O445" s="872"/>
      <c r="P445" s="2285"/>
    </row>
    <row r="446" spans="1:18" s="42" customFormat="1" ht="11.25" customHeight="1">
      <c r="A446" s="2621"/>
      <c r="B446" s="2622"/>
      <c r="C446" s="2622"/>
      <c r="D446" s="2622"/>
      <c r="E446" s="2622"/>
      <c r="F446" s="2622"/>
      <c r="G446" s="2622"/>
      <c r="H446" s="2622"/>
      <c r="I446" s="2622"/>
      <c r="J446" s="2622"/>
      <c r="K446" s="2622"/>
      <c r="L446" s="2622"/>
      <c r="M446" s="2622"/>
      <c r="N446" s="2622"/>
      <c r="O446" s="2622"/>
      <c r="P446" s="2623"/>
      <c r="Q446" s="445"/>
      <c r="R446" s="446"/>
    </row>
    <row r="447" spans="1:18" s="42" customFormat="1" ht="6" customHeight="1" thickBot="1">
      <c r="A447" s="153"/>
      <c r="B447" s="41"/>
      <c r="C447" s="2297"/>
      <c r="D447" s="2297"/>
      <c r="E447" s="2297"/>
      <c r="F447" s="2297"/>
      <c r="G447" s="2297"/>
      <c r="H447" s="2297"/>
      <c r="I447" s="2297"/>
      <c r="J447" s="2297"/>
      <c r="K447" s="2297"/>
      <c r="L447" s="2297"/>
      <c r="M447" s="2297"/>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53</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85"/>
      <c r="O449" s="2285"/>
      <c r="P449" s="461">
        <f>P228</f>
        <v>0</v>
      </c>
    </row>
    <row r="450" spans="1:19" s="41" customFormat="1" ht="11.25" customHeight="1">
      <c r="A450" s="53"/>
      <c r="B450" s="67"/>
      <c r="C450" s="53"/>
      <c r="D450" s="34"/>
      <c r="E450" s="34"/>
      <c r="F450" s="69"/>
      <c r="G450" s="69"/>
      <c r="H450" s="165" t="s">
        <v>4187</v>
      </c>
      <c r="J450" s="68"/>
      <c r="K450" s="68"/>
      <c r="L450" s="42"/>
      <c r="M450" s="34"/>
      <c r="N450" s="2285"/>
      <c r="O450" s="461"/>
      <c r="P450" s="461">
        <f>P342</f>
        <v>0</v>
      </c>
    </row>
    <row r="451" spans="1:19" s="42" customFormat="1" ht="11.25" customHeight="1">
      <c r="A451" s="41"/>
      <c r="D451" s="38"/>
      <c r="E451" s="35"/>
      <c r="F451" s="887"/>
      <c r="H451" s="165" t="s">
        <v>4194</v>
      </c>
      <c r="I451" s="887"/>
      <c r="J451" s="897"/>
      <c r="K451" s="897"/>
      <c r="L451" s="897"/>
      <c r="M451" s="59"/>
      <c r="N451" s="887"/>
      <c r="O451" s="2288"/>
      <c r="P451" s="1147">
        <f>P448-P449-P450</f>
        <v>20</v>
      </c>
    </row>
    <row r="452" spans="1:19" s="158" customFormat="1" ht="2.25" customHeight="1">
      <c r="A452" s="53"/>
      <c r="B452" s="67"/>
      <c r="C452" s="53"/>
      <c r="D452" s="147"/>
      <c r="E452" s="147"/>
      <c r="F452" s="39"/>
      <c r="G452" s="39"/>
      <c r="H452" s="69"/>
      <c r="I452" s="69"/>
      <c r="J452" s="479"/>
      <c r="K452" s="479"/>
      <c r="L452" s="42"/>
      <c r="M452" s="147"/>
      <c r="N452" s="2285"/>
      <c r="O452" s="2285"/>
      <c r="P452" s="2"/>
    </row>
    <row r="453" spans="1:19" s="42" customFormat="1" ht="22.5" customHeight="1">
      <c r="A453" s="2861" t="s">
        <v>3686</v>
      </c>
      <c r="B453" s="2861"/>
      <c r="C453" s="2861"/>
      <c r="D453" s="2861"/>
      <c r="E453" s="2861"/>
      <c r="F453" s="2861"/>
      <c r="G453" s="2861"/>
      <c r="H453" s="2861"/>
      <c r="I453" s="2861"/>
      <c r="J453" s="2861"/>
      <c r="K453" s="2861"/>
      <c r="L453" s="2861"/>
      <c r="M453" s="2861"/>
      <c r="N453" s="2861"/>
      <c r="O453" s="2861"/>
      <c r="P453" s="2861"/>
    </row>
    <row r="454" spans="1:19" s="42" customFormat="1" ht="84" customHeight="1">
      <c r="A454" s="3885" t="s">
        <v>5315</v>
      </c>
      <c r="B454" s="3886"/>
      <c r="C454" s="3886"/>
      <c r="D454" s="3886"/>
      <c r="E454" s="3886"/>
      <c r="F454" s="3886"/>
      <c r="G454" s="3886"/>
      <c r="H454" s="3886"/>
      <c r="I454" s="3886"/>
      <c r="J454" s="3886"/>
      <c r="K454" s="3886"/>
      <c r="L454" s="3886"/>
      <c r="M454" s="3886"/>
      <c r="N454" s="3886"/>
      <c r="O454" s="3886"/>
      <c r="P454" s="3887"/>
      <c r="Q454" s="445" t="s">
        <v>1254</v>
      </c>
      <c r="R454" s="446"/>
    </row>
    <row r="455" spans="1:19" s="158" customFormat="1">
      <c r="N455" s="120"/>
      <c r="O455" s="2281"/>
      <c r="P455" s="2281"/>
    </row>
    <row r="456" spans="1:19" s="158" customFormat="1">
      <c r="N456" s="120"/>
      <c r="O456" s="2281"/>
      <c r="P456" s="2281"/>
      <c r="Q456" s="482"/>
      <c r="R456" s="482"/>
      <c r="S456" s="482"/>
    </row>
    <row r="457" spans="1:19" s="158" customFormat="1">
      <c r="N457" s="120"/>
      <c r="O457" s="2281"/>
      <c r="P457" s="2281"/>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2283</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3763</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3764</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2490</v>
      </c>
      <c r="H498" s="1199"/>
      <c r="I498" s="1202"/>
      <c r="J498" s="2064" t="s">
        <v>3774</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2141</v>
      </c>
      <c r="H500" s="1199"/>
      <c r="I500" s="1202"/>
      <c r="J500" s="1199" t="s">
        <v>3971</v>
      </c>
      <c r="K500" s="451"/>
      <c r="L500" s="2062"/>
      <c r="M500" s="451"/>
      <c r="N500" s="452"/>
      <c r="O500" s="1193"/>
      <c r="P500" s="1193"/>
      <c r="Q500" s="1121"/>
    </row>
    <row r="501" spans="1:17" s="482" customFormat="1">
      <c r="C501" s="1200"/>
      <c r="D501" s="451"/>
      <c r="E501" s="451"/>
      <c r="F501" s="451"/>
      <c r="G501" s="1201" t="s">
        <v>2059</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1925</v>
      </c>
      <c r="H505" s="1202"/>
      <c r="I505" s="1199"/>
      <c r="J505" s="1199" t="s">
        <v>3769</v>
      </c>
      <c r="K505" s="451"/>
      <c r="L505" s="2063"/>
      <c r="M505" s="451"/>
      <c r="N505" s="452"/>
      <c r="O505" s="1193"/>
      <c r="P505" s="1193"/>
      <c r="Q505" s="1121"/>
    </row>
    <row r="506" spans="1:17" s="482" customFormat="1">
      <c r="C506" s="451"/>
      <c r="D506" s="451"/>
      <c r="E506" s="451"/>
      <c r="F506" s="451"/>
      <c r="G506" s="1201" t="s">
        <v>1929</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3616</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uRKOUDFS9pwP9SsZ7oN4hiL+fI6EQBPKsJZWBiIToPHlhrPrckRhgJ6j/DDCCK+WrchW/oWqa46GCXKTFB6Vw==" saltValue="r1Sj9W8DNFdYJSm6VWUCS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79" priority="79" operator="greaterThan">
      <formula>M153</formula>
    </cfRule>
  </conditionalFormatting>
  <conditionalFormatting sqref="Q92">
    <cfRule type="cellIs" dxfId="178" priority="77" stopIfTrue="1" operator="equal">
      <formula>"* * Check Score! * *"</formula>
    </cfRule>
  </conditionalFormatting>
  <conditionalFormatting sqref="N369:N372">
    <cfRule type="cellIs" dxfId="177" priority="76" stopIfTrue="1" operator="equal">
      <formula>"* * Check Score! * *"</formula>
    </cfRule>
  </conditionalFormatting>
  <conditionalFormatting sqref="R346">
    <cfRule type="cellIs" dxfId="176" priority="68" stopIfTrue="1" operator="equal">
      <formula>"* * Check Score! * *"</formula>
    </cfRule>
  </conditionalFormatting>
  <conditionalFormatting sqref="F63">
    <cfRule type="expression" dxfId="175"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4" priority="36" stopIfTrue="1" operator="equal">
      <formula>"* * Check Score! * *"</formula>
    </cfRule>
  </conditionalFormatting>
  <conditionalFormatting sqref="L359">
    <cfRule type="cellIs" dxfId="173" priority="44" stopIfTrue="1" operator="equal">
      <formula>"* * Check Score! * *"</formula>
    </cfRule>
  </conditionalFormatting>
  <conditionalFormatting sqref="L334">
    <cfRule type="cellIs" dxfId="172" priority="43" stopIfTrue="1" operator="equal">
      <formula>"* * Check Score! * *"</formula>
    </cfRule>
  </conditionalFormatting>
  <conditionalFormatting sqref="L331:L332">
    <cfRule type="cellIs" dxfId="171" priority="42" stopIfTrue="1" operator="equal">
      <formula>"* * Check Score! * *"</formula>
    </cfRule>
  </conditionalFormatting>
  <conditionalFormatting sqref="L317">
    <cfRule type="cellIs" dxfId="170" priority="41" stopIfTrue="1" operator="equal">
      <formula>"* * Check Score! * *"</formula>
    </cfRule>
  </conditionalFormatting>
  <conditionalFormatting sqref="L318">
    <cfRule type="cellIs" dxfId="169" priority="40" stopIfTrue="1" operator="equal">
      <formula>"* * Check Score! * *"</formula>
    </cfRule>
  </conditionalFormatting>
  <conditionalFormatting sqref="L210">
    <cfRule type="cellIs" dxfId="168" priority="39" stopIfTrue="1" operator="equal">
      <formula>"* * Check Score! * *"</formula>
    </cfRule>
  </conditionalFormatting>
  <conditionalFormatting sqref="L207:L208">
    <cfRule type="cellIs" dxfId="167" priority="37" stopIfTrue="1" operator="equal">
      <formula>"* * Check Score! * *"</formula>
    </cfRule>
  </conditionalFormatting>
  <conditionalFormatting sqref="L391">
    <cfRule type="cellIs" dxfId="166" priority="35" stopIfTrue="1" operator="equal">
      <formula>"* * Check Score! * *"</formula>
    </cfRule>
  </conditionalFormatting>
  <conditionalFormatting sqref="L411">
    <cfRule type="cellIs" dxfId="165" priority="34" stopIfTrue="1" operator="equal">
      <formula>"* * Check Score! * *"</formula>
    </cfRule>
  </conditionalFormatting>
  <conditionalFormatting sqref="L384">
    <cfRule type="cellIs" dxfId="164" priority="33" stopIfTrue="1" operator="equal">
      <formula>"* * Check Score! * *"</formula>
    </cfRule>
  </conditionalFormatting>
  <conditionalFormatting sqref="R347">
    <cfRule type="cellIs" dxfId="163" priority="32" stopIfTrue="1" operator="equal">
      <formula>"* * Check Score! * *"</formula>
    </cfRule>
  </conditionalFormatting>
  <conditionalFormatting sqref="L137">
    <cfRule type="cellIs" dxfId="162" priority="27" stopIfTrue="1" operator="equal">
      <formula>"* * Check Score! * *"</formula>
    </cfRule>
  </conditionalFormatting>
  <conditionalFormatting sqref="L115">
    <cfRule type="cellIs" dxfId="161" priority="28" stopIfTrue="1" operator="equal">
      <formula>"* * Check Score! * *"</formula>
    </cfRule>
  </conditionalFormatting>
  <conditionalFormatting sqref="F231:F235">
    <cfRule type="expression" dxfId="160" priority="117">
      <formula>AND($O$126&gt;0,$O$126&lt;4,OR($I$127="Statutory Redevelopment Plan",$I$127="Redevelopment Zone",$I$127="Local Redevelopment Plan"))</formula>
    </cfRule>
  </conditionalFormatting>
  <conditionalFormatting sqref="O52">
    <cfRule type="cellIs" dxfId="159" priority="26" operator="notEqual">
      <formula>$M52</formula>
    </cfRule>
  </conditionalFormatting>
  <conditionalFormatting sqref="L336">
    <cfRule type="cellIs" dxfId="158" priority="24" stopIfTrue="1" operator="equal">
      <formula>"* * Check Score! * *"</formula>
    </cfRule>
  </conditionalFormatting>
  <conditionalFormatting sqref="R348">
    <cfRule type="cellIs" dxfId="157" priority="23" stopIfTrue="1" operator="equal">
      <formula>"* * Check Score! * *"</formula>
    </cfRule>
  </conditionalFormatting>
  <conditionalFormatting sqref="R349">
    <cfRule type="cellIs" dxfId="156" priority="22" stopIfTrue="1" operator="equal">
      <formula>"* * Check Score! * *"</formula>
    </cfRule>
  </conditionalFormatting>
  <conditionalFormatting sqref="L52:L53">
    <cfRule type="containsText" dxfId="155" priority="21" operator="containsText" text="CHOOSE EITHER A OR B, NOT BOTH!">
      <formula>NOT(ISERROR(SEARCH("CHOOSE EITHER A OR B, NOT BOTH!",L52)))</formula>
    </cfRule>
  </conditionalFormatting>
  <conditionalFormatting sqref="O88">
    <cfRule type="cellIs" dxfId="154" priority="19" operator="notEqual">
      <formula>$M88</formula>
    </cfRule>
  </conditionalFormatting>
  <conditionalFormatting sqref="O87">
    <cfRule type="cellIs" dxfId="153" priority="20" operator="notEqual">
      <formula>$M87</formula>
    </cfRule>
  </conditionalFormatting>
  <conditionalFormatting sqref="O89">
    <cfRule type="cellIs" dxfId="152" priority="18" operator="notEqual">
      <formula>$M89</formula>
    </cfRule>
  </conditionalFormatting>
  <conditionalFormatting sqref="O53">
    <cfRule type="cellIs" dxfId="151" priority="7" operator="notEqual">
      <formula>$M53</formula>
    </cfRule>
  </conditionalFormatting>
  <conditionalFormatting sqref="O96">
    <cfRule type="cellIs" dxfId="150" priority="16" operator="notEqual">
      <formula>$M96</formula>
    </cfRule>
  </conditionalFormatting>
  <conditionalFormatting sqref="O95">
    <cfRule type="cellIs" dxfId="149" priority="17" operator="notEqual">
      <formula>$M95</formula>
    </cfRule>
  </conditionalFormatting>
  <conditionalFormatting sqref="O97">
    <cfRule type="cellIs" dxfId="148" priority="15" operator="notEqual">
      <formula>$M97</formula>
    </cfRule>
  </conditionalFormatting>
  <conditionalFormatting sqref="O100">
    <cfRule type="cellIs" dxfId="147" priority="14" operator="notEqual">
      <formula>$M100</formula>
    </cfRule>
  </conditionalFormatting>
  <conditionalFormatting sqref="O109">
    <cfRule type="cellIs" dxfId="146" priority="13" operator="notEqual">
      <formula>$M109</formula>
    </cfRule>
  </conditionalFormatting>
  <conditionalFormatting sqref="O115">
    <cfRule type="cellIs" dxfId="145" priority="12" operator="notEqual">
      <formula>$M115</formula>
    </cfRule>
  </conditionalFormatting>
  <conditionalFormatting sqref="O137">
    <cfRule type="cellIs" dxfId="144" priority="11" operator="notEqual">
      <formula>$M137</formula>
    </cfRule>
  </conditionalFormatting>
  <conditionalFormatting sqref="O206">
    <cfRule type="cellIs" dxfId="143" priority="10" operator="notEqual">
      <formula>$M206</formula>
    </cfRule>
  </conditionalFormatting>
  <conditionalFormatting sqref="O207">
    <cfRule type="cellIs" dxfId="142" priority="9" operator="notEqual">
      <formula>$M207</formula>
    </cfRule>
  </conditionalFormatting>
  <conditionalFormatting sqref="O210">
    <cfRule type="cellIs" dxfId="141" priority="8" operator="notEqual">
      <formula>$M210</formula>
    </cfRule>
  </conditionalFormatting>
  <conditionalFormatting sqref="F236">
    <cfRule type="expression" dxfId="140" priority="6">
      <formula>AND($O$126&gt;0,$O$126&lt;4,OR($I$127="Statutory Redevelopment Plan",$I$127="Redevelopment Zone",$I$127="Local Redevelopment Plan"))</formula>
    </cfRule>
  </conditionalFormatting>
  <conditionalFormatting sqref="R345">
    <cfRule type="cellIs" dxfId="139" priority="5" stopIfTrue="1" operator="equal">
      <formula>"* * Check Score! * *"</formula>
    </cfRule>
  </conditionalFormatting>
  <conditionalFormatting sqref="J49:K49">
    <cfRule type="containsText" dxfId="138" priority="4" operator="containsText" text="&lt;&lt; Select Election or Income Averaging &gt;&gt;">
      <formula>NOT(ISERROR(SEARCH("&lt;&lt; Select Election or Income Averaging &gt;&gt;",J49)))</formula>
    </cfRule>
  </conditionalFormatting>
  <conditionalFormatting sqref="O47">
    <cfRule type="containsText" dxfId="137" priority="3" operator="containsText" text="AorB?">
      <formula>NOT(ISERROR(SEARCH("AorB?",O47)))</formula>
    </cfRule>
  </conditionalFormatting>
  <conditionalFormatting sqref="H88">
    <cfRule type="containsText" dxfId="136" priority="2" operator="containsText" text="Pick A1 or A2!">
      <formula>NOT(ISERROR(SEARCH("Pick A1 or A2!",H88)))</formula>
    </cfRule>
  </conditionalFormatting>
  <conditionalFormatting sqref="F98">
    <cfRule type="containsText" dxfId="135"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2"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zoomScalePageLayoutView="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4199</v>
      </c>
    </row>
    <row r="2" spans="1:6" s="32" customFormat="1" ht="13.5" customHeight="1">
      <c r="A2" s="865" t="str">
        <f>'Part I-Project Information'!$F$34</f>
        <v>Abbington Sound</v>
      </c>
    </row>
    <row r="3" spans="1:6" s="32" customFormat="1" ht="13.5" customHeight="1">
      <c r="A3" s="865" t="str">
        <f>CONCATENATE('Part I-Project Information'!$F$38,", ", 'Part I-Project Information'!$J$39," County")</f>
        <v>Kingsland, Camden County</v>
      </c>
    </row>
    <row r="4" spans="1:6" ht="6.75" customHeight="1"/>
    <row r="5" spans="1:6" ht="113.25" customHeight="1">
      <c r="A5" s="2973" t="s">
        <v>4200</v>
      </c>
      <c r="B5" s="2974" t="s">
        <v>4201</v>
      </c>
      <c r="C5" s="2974"/>
      <c r="D5" s="2974"/>
      <c r="E5" s="2974"/>
      <c r="F5" s="2974"/>
    </row>
    <row r="6" spans="1:6" ht="6.4" customHeight="1">
      <c r="A6" s="2973"/>
      <c r="B6" s="2974"/>
      <c r="C6" s="2974"/>
      <c r="D6" s="2974"/>
      <c r="E6" s="2974"/>
      <c r="F6" s="2974"/>
    </row>
    <row r="7" spans="1:6" ht="134.25" customHeight="1">
      <c r="A7" s="2973"/>
      <c r="B7" s="2974"/>
      <c r="C7" s="2974"/>
      <c r="D7" s="2974"/>
      <c r="E7" s="2974"/>
      <c r="F7" s="2974"/>
    </row>
    <row r="8" spans="1:6" ht="6.4" customHeight="1">
      <c r="A8" s="2973"/>
    </row>
    <row r="9" spans="1:6" ht="111" customHeight="1">
      <c r="A9" s="2973"/>
    </row>
    <row r="10" spans="1:6" ht="6.4" customHeight="1">
      <c r="A10" s="2973"/>
    </row>
    <row r="11" spans="1:6" ht="111" customHeight="1">
      <c r="A11" s="2973"/>
    </row>
    <row r="12" spans="1:6" ht="6.4" customHeight="1">
      <c r="A12" s="2973"/>
    </row>
    <row r="13" spans="1:6" ht="111" customHeight="1">
      <c r="A13" s="2973"/>
    </row>
    <row r="14" spans="1:6" ht="6.4" customHeight="1">
      <c r="A14" s="2973"/>
    </row>
    <row r="15" spans="1:6" ht="111" customHeight="1">
      <c r="A15" s="2973"/>
    </row>
    <row r="16" spans="1:6" ht="6.4" customHeight="1">
      <c r="A16" s="2973"/>
    </row>
    <row r="17" spans="1:1" ht="111" customHeight="1">
      <c r="A17" s="2973"/>
    </row>
    <row r="18" spans="1:1" ht="6.4" customHeight="1">
      <c r="A18" s="2973"/>
    </row>
    <row r="19" spans="1:1" ht="105.75" customHeight="1">
      <c r="A19" s="2973"/>
    </row>
    <row r="20" spans="1:1" ht="6.4" customHeight="1">
      <c r="A20" s="2973"/>
    </row>
    <row r="21" spans="1:1" ht="105.75" customHeight="1">
      <c r="A21" s="2973"/>
    </row>
    <row r="22" spans="1:1" ht="6.4" customHeight="1">
      <c r="A22" s="2973"/>
    </row>
    <row r="23" spans="1:1" ht="105.75" customHeight="1">
      <c r="A23" s="2973"/>
    </row>
    <row r="24" spans="1:1" ht="6.4"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zoomScalePageLayoutView="120" workbookViewId="0">
      <selection activeCell="G17" sqref="G17"/>
    </sheetView>
  </sheetViews>
  <sheetFormatPr defaultColWidth="9.140625" defaultRowHeight="12.75"/>
  <cols>
    <col min="1" max="1" width="24.7109375" style="1231" customWidth="1"/>
    <col min="2" max="11" width="10.42578125" style="1231" customWidth="1"/>
    <col min="12" max="12" width="9.7109375" style="1231" customWidth="1"/>
    <col min="13" max="21" width="10.42578125" style="1231" customWidth="1"/>
    <col min="22" max="16384" width="9.140625" style="1231"/>
  </cols>
  <sheetData>
    <row r="1" spans="1:7" ht="3" customHeight="1"/>
    <row r="2" spans="1:7">
      <c r="A2" s="1230" t="s">
        <v>4202</v>
      </c>
    </row>
    <row r="3" spans="1:7" ht="3" customHeight="1"/>
    <row r="4" spans="1:7">
      <c r="A4" s="1231" t="s">
        <v>4203</v>
      </c>
      <c r="B4" s="1232">
        <f ca="1">+'Part IV-A-Uses of Funds'!$G$132</f>
        <v>15903809.932432491</v>
      </c>
    </row>
    <row r="5" spans="1:7">
      <c r="A5" s="1231" t="s">
        <v>4234</v>
      </c>
      <c r="B5" s="1232">
        <f>+B18+B26+B38</f>
        <v>4333987.8962043123</v>
      </c>
    </row>
    <row r="6" spans="1:7">
      <c r="A6" s="1231" t="s">
        <v>4204</v>
      </c>
      <c r="B6" s="1233">
        <f ca="1">+B5-B4</f>
        <v>-11569822.03622818</v>
      </c>
    </row>
    <row r="7" spans="1:7">
      <c r="A7" s="1231" t="s">
        <v>4205</v>
      </c>
      <c r="B7" s="1234">
        <f ca="1">+B6/B4</f>
        <v>-0.72748744391329467</v>
      </c>
    </row>
    <row r="8" spans="1:7" ht="9" customHeight="1"/>
    <row r="9" spans="1:7">
      <c r="A9" s="1231" t="s">
        <v>4206</v>
      </c>
      <c r="B9" s="1232">
        <f>+B18+B26+B33</f>
        <v>4333987.8962043123</v>
      </c>
    </row>
    <row r="10" spans="1:7">
      <c r="A10" s="1231" t="s">
        <v>4204</v>
      </c>
      <c r="B10" s="1233">
        <f ca="1">+B9-B4</f>
        <v>-11569822.03622818</v>
      </c>
    </row>
    <row r="11" spans="1:7">
      <c r="A11" s="1231" t="s">
        <v>4205</v>
      </c>
      <c r="B11" s="1234">
        <f ca="1">+B10/B4</f>
        <v>-0.72748744391329467</v>
      </c>
    </row>
    <row r="12" spans="1:7" ht="24" customHeight="1"/>
    <row r="13" spans="1:7">
      <c r="A13" s="1230" t="s">
        <v>4207</v>
      </c>
      <c r="D13" s="1301" t="s">
        <v>4468</v>
      </c>
      <c r="E13" s="1302"/>
    </row>
    <row r="14" spans="1:7">
      <c r="A14" s="1231" t="s">
        <v>4208</v>
      </c>
      <c r="B14" s="1235">
        <f ca="1">+SUM('Part III-Sources of Funds'!L49:M50)</f>
        <v>10949200</v>
      </c>
      <c r="D14" s="1302"/>
      <c r="E14" s="1302"/>
    </row>
    <row r="15" spans="1:7">
      <c r="A15" s="1231" t="s">
        <v>4209</v>
      </c>
      <c r="B15" s="1236">
        <f ca="1">+'Part IV-A-Uses of Funds'!J167</f>
        <v>1175380.9932432491</v>
      </c>
      <c r="D15" s="1302" t="s">
        <v>2046</v>
      </c>
      <c r="G15" s="1303">
        <f>'Part IV-A-Uses of Funds'!J155</f>
        <v>18451404.400000002</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8775487.9326400012</v>
      </c>
    </row>
    <row r="20" spans="1:7">
      <c r="A20" s="1231" t="s">
        <v>4212</v>
      </c>
      <c r="B20" s="1235">
        <f ca="1">+B18-B14</f>
        <v>-10949200</v>
      </c>
      <c r="D20" s="1302" t="s">
        <v>4473</v>
      </c>
      <c r="G20" s="1305">
        <f ca="1">+B14-G19</f>
        <v>2173712.0673599988</v>
      </c>
    </row>
    <row r="21" spans="1:7">
      <c r="A21" s="1231" t="s">
        <v>4213</v>
      </c>
      <c r="B21" s="1234">
        <f ca="1">+B20/B14</f>
        <v>-1</v>
      </c>
      <c r="D21" s="1302" t="s">
        <v>4474</v>
      </c>
      <c r="G21" s="1302" t="str">
        <f ca="1">+IF(G20&gt;(B28+B35),"No","Yes")</f>
        <v>No</v>
      </c>
    </row>
    <row r="22" spans="1:7" ht="24" customHeight="1"/>
    <row r="23" spans="1:7">
      <c r="A23" s="1230" t="s">
        <v>4214</v>
      </c>
    </row>
    <row r="24" spans="1:7">
      <c r="A24" s="1231" t="s">
        <v>4215</v>
      </c>
      <c r="B24" s="1238">
        <f>+SUM('Part III-Sources of Funds'!I38:J41)</f>
        <v>4150000</v>
      </c>
    </row>
    <row r="25" spans="1:7">
      <c r="A25" s="1231" t="s">
        <v>4216</v>
      </c>
      <c r="B25" s="1239">
        <f>IF('Part III-Sources of Funds'!E5="Yes","N/A",MAX(B46:P46))</f>
        <v>-11141.93913501731</v>
      </c>
    </row>
    <row r="26" spans="1:7">
      <c r="A26" s="1231" t="s">
        <v>4217</v>
      </c>
      <c r="B26" s="1229">
        <f>IFERROR(PV('Part III-Sources of Funds'!K38,'Part III-Sources of Funds'!L38,B25+B45),B24)</f>
        <v>4333987.8962043123</v>
      </c>
    </row>
    <row r="27" spans="1:7" ht="9" customHeight="1">
      <c r="B27" s="1229"/>
    </row>
    <row r="28" spans="1:7">
      <c r="A28" s="1231" t="s">
        <v>4218</v>
      </c>
      <c r="B28" s="1240">
        <f>+B26-B24</f>
        <v>183987.89620431233</v>
      </c>
      <c r="C28" s="1241"/>
    </row>
    <row r="29" spans="1:7">
      <c r="A29" s="1231" t="s">
        <v>4213</v>
      </c>
      <c r="B29" s="1242">
        <f>+B28/B24</f>
        <v>4.4334432820316225E-2</v>
      </c>
    </row>
    <row r="30" spans="1:7" ht="24" customHeight="1"/>
    <row r="31" spans="1:7">
      <c r="A31" s="1230" t="s">
        <v>4080</v>
      </c>
    </row>
    <row r="32" spans="1:7">
      <c r="A32" s="1231" t="s">
        <v>4219</v>
      </c>
      <c r="B32" s="1243">
        <f>+'Part III-Sources of Funds'!I43</f>
        <v>805706</v>
      </c>
    </row>
    <row r="33" spans="1:11">
      <c r="A33" s="1231" t="s">
        <v>4220</v>
      </c>
      <c r="B33" s="1229"/>
    </row>
    <row r="34" spans="1:11" ht="9" customHeight="1">
      <c r="B34" s="1229"/>
    </row>
    <row r="35" spans="1:11">
      <c r="A35" s="1231" t="s">
        <v>4221</v>
      </c>
      <c r="B35" s="1243">
        <f>+B33-B32</f>
        <v>-805706</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4224</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288203.16480000003</v>
      </c>
      <c r="C44" s="1232">
        <f>+'Part VII-Pro Forma'!C24</f>
        <v>290738.13809599995</v>
      </c>
      <c r="D44" s="1232">
        <f>+'Part VII-Pro Forma'!D24</f>
        <v>293226.78855791991</v>
      </c>
      <c r="E44" s="1232">
        <f>+'Part VII-Pro Forma'!E24</f>
        <v>295665.5432600783</v>
      </c>
      <c r="F44" s="1232">
        <f>+'Part VII-Pro Forma'!F24</f>
        <v>298049.67062420998</v>
      </c>
      <c r="G44" s="1232">
        <f>+'Part VII-Pro Forma'!G24</f>
        <v>300376.27463059203</v>
      </c>
      <c r="H44" s="1232">
        <f>+'Part VII-Pro Forma'!H24</f>
        <v>302639.28883491876</v>
      </c>
      <c r="I44" s="1232">
        <f>+'Part VII-Pro Forma'!I24</f>
        <v>304836.47018468333</v>
      </c>
      <c r="J44" s="1232">
        <f>+'Part VII-Pro Forma'!J24</f>
        <v>306961.39262863522</v>
      </c>
      <c r="K44" s="1232">
        <f>+'Part VII-Pro Forma'!K24</f>
        <v>309009.4405126741</v>
      </c>
    </row>
    <row r="45" spans="1:11">
      <c r="A45" s="1231" t="s">
        <v>4225</v>
      </c>
      <c r="B45" s="1232">
        <f>SUM('Part VII-Pro Forma'!B25:B28)</f>
        <v>-229027.36486498272</v>
      </c>
      <c r="C45" s="1232">
        <f>SUM('Part VII-Pro Forma'!C25:C28)</f>
        <v>-229027.36486498272</v>
      </c>
      <c r="D45" s="1232">
        <f>SUM('Part VII-Pro Forma'!D25:D28)</f>
        <v>-229027.36486498272</v>
      </c>
      <c r="E45" s="1232">
        <f>SUM('Part VII-Pro Forma'!E25:E28)</f>
        <v>-229027.36486498272</v>
      </c>
      <c r="F45" s="1232">
        <f>SUM('Part VII-Pro Forma'!F25:F28)</f>
        <v>-229027.36486498272</v>
      </c>
      <c r="G45" s="1232">
        <f>SUM('Part VII-Pro Forma'!G25:G28)</f>
        <v>-229027.36486498272</v>
      </c>
      <c r="H45" s="1232">
        <f>SUM('Part VII-Pro Forma'!H25:H28)</f>
        <v>-229027.36486498272</v>
      </c>
      <c r="I45" s="1232">
        <f>SUM('Part VII-Pro Forma'!I25:I28)</f>
        <v>-229027.36486498272</v>
      </c>
      <c r="J45" s="1232">
        <f>SUM('Part VII-Pro Forma'!J25:J28)</f>
        <v>-229027.36486498272</v>
      </c>
      <c r="K45" s="1232">
        <f>SUM('Part VII-Pro Forma'!K25:K28)</f>
        <v>-229027.36486498272</v>
      </c>
    </row>
    <row r="46" spans="1:11">
      <c r="A46" s="1231" t="s">
        <v>4226</v>
      </c>
      <c r="B46" s="1233">
        <f t="shared" ref="B46:K46" si="0">-B44/B48-B45</f>
        <v>-11141.93913501731</v>
      </c>
      <c r="C46" s="1233">
        <f t="shared" si="0"/>
        <v>-13254.416881683923</v>
      </c>
      <c r="D46" s="1233">
        <f t="shared" si="0"/>
        <v>-15328.292266617209</v>
      </c>
      <c r="E46" s="1233">
        <f t="shared" si="0"/>
        <v>-17360.587851749209</v>
      </c>
      <c r="F46" s="1233">
        <f t="shared" si="0"/>
        <v>-19347.360655192257</v>
      </c>
      <c r="G46" s="1233">
        <f t="shared" si="0"/>
        <v>-21286.197327177302</v>
      </c>
      <c r="H46" s="1233">
        <f t="shared" si="0"/>
        <v>-23172.042497449584</v>
      </c>
      <c r="I46" s="1233">
        <f t="shared" si="0"/>
        <v>-25003.026955586742</v>
      </c>
      <c r="J46" s="1233">
        <f t="shared" si="0"/>
        <v>-26773.795658879972</v>
      </c>
      <c r="K46" s="1233">
        <f t="shared" si="0"/>
        <v>-28480.502228912374</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288203.16480000003</v>
      </c>
      <c r="C51" s="1233">
        <f t="shared" ref="C51:K51" si="2">+C44</f>
        <v>290738.13809599995</v>
      </c>
      <c r="D51" s="1233">
        <f t="shared" si="2"/>
        <v>293226.78855791991</v>
      </c>
      <c r="E51" s="1233">
        <f t="shared" si="2"/>
        <v>295665.5432600783</v>
      </c>
      <c r="F51" s="1233">
        <f t="shared" si="2"/>
        <v>298049.67062420998</v>
      </c>
      <c r="G51" s="1233">
        <f t="shared" si="2"/>
        <v>300376.27463059203</v>
      </c>
      <c r="H51" s="1233">
        <f t="shared" si="2"/>
        <v>302639.28883491876</v>
      </c>
      <c r="I51" s="1233">
        <f t="shared" si="2"/>
        <v>304836.47018468333</v>
      </c>
      <c r="J51" s="1233">
        <f t="shared" si="2"/>
        <v>306961.39262863522</v>
      </c>
      <c r="K51" s="1233">
        <f t="shared" si="2"/>
        <v>309009.4405126741</v>
      </c>
    </row>
    <row r="52" spans="1:17">
      <c r="A52" s="1231" t="s">
        <v>4228</v>
      </c>
      <c r="B52" s="1233">
        <f>IF($B$25="N/A",B45,B45+$B$25)</f>
        <v>-240169.30400000003</v>
      </c>
      <c r="C52" s="1233">
        <f t="shared" ref="C52:K52" si="3">IF($B$25="N/A",C45,C45+$B$25)</f>
        <v>-240169.30400000003</v>
      </c>
      <c r="D52" s="1233">
        <f t="shared" si="3"/>
        <v>-240169.30400000003</v>
      </c>
      <c r="E52" s="1233">
        <f t="shared" si="3"/>
        <v>-240169.30400000003</v>
      </c>
      <c r="F52" s="1233">
        <f t="shared" si="3"/>
        <v>-240169.30400000003</v>
      </c>
      <c r="G52" s="1233">
        <f t="shared" si="3"/>
        <v>-240169.30400000003</v>
      </c>
      <c r="H52" s="1233">
        <f t="shared" si="3"/>
        <v>-240169.30400000003</v>
      </c>
      <c r="I52" s="1233">
        <f t="shared" si="3"/>
        <v>-240169.30400000003</v>
      </c>
      <c r="J52" s="1233">
        <f t="shared" si="3"/>
        <v>-240169.30400000003</v>
      </c>
      <c r="K52" s="1233">
        <f t="shared" si="3"/>
        <v>-240169.30400000003</v>
      </c>
    </row>
    <row r="53" spans="1:17">
      <c r="A53" s="1231" t="s">
        <v>4229</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4230</v>
      </c>
      <c r="B54" s="1233">
        <f>+SUM(B51:B53)</f>
        <v>43033.860799999995</v>
      </c>
      <c r="C54" s="1233">
        <f t="shared" ref="C54:K54" si="4">+SUM(C51:C53)</f>
        <v>45568.834095999919</v>
      </c>
      <c r="D54" s="1233">
        <f t="shared" si="4"/>
        <v>48057.484557919874</v>
      </c>
      <c r="E54" s="1233">
        <f t="shared" si="4"/>
        <v>50496.239260078262</v>
      </c>
      <c r="F54" s="1233">
        <f t="shared" si="4"/>
        <v>52880.366624209943</v>
      </c>
      <c r="G54" s="1233">
        <f t="shared" si="4"/>
        <v>55206.970630591997</v>
      </c>
      <c r="H54" s="1233">
        <f t="shared" si="4"/>
        <v>57469.984834918723</v>
      </c>
      <c r="I54" s="1233">
        <f t="shared" si="4"/>
        <v>59667.166184683301</v>
      </c>
      <c r="J54" s="1233">
        <f t="shared" si="4"/>
        <v>61792.088628635189</v>
      </c>
      <c r="K54" s="1233">
        <f t="shared" si="4"/>
        <v>63840.136512674071</v>
      </c>
    </row>
    <row r="55" spans="1:17">
      <c r="A55" s="1231" t="s">
        <v>4080</v>
      </c>
      <c r="B55" s="1233">
        <f>-B54</f>
        <v>-43033.860799999995</v>
      </c>
      <c r="C55" s="1233">
        <f t="shared" ref="C55:K55" si="5">-C54</f>
        <v>-45568.834095999919</v>
      </c>
      <c r="D55" s="1233">
        <f t="shared" si="5"/>
        <v>-48057.484557919874</v>
      </c>
      <c r="E55" s="1233">
        <f t="shared" si="5"/>
        <v>-50496.239260078262</v>
      </c>
      <c r="F55" s="1233">
        <f t="shared" si="5"/>
        <v>-52880.366624209943</v>
      </c>
      <c r="G55" s="1233">
        <f t="shared" si="5"/>
        <v>-55206.970630591997</v>
      </c>
      <c r="H55" s="1233">
        <f t="shared" si="5"/>
        <v>-57469.984834918723</v>
      </c>
      <c r="I55" s="1233">
        <f t="shared" si="5"/>
        <v>-59667.166184683301</v>
      </c>
      <c r="J55" s="1233">
        <f t="shared" si="5"/>
        <v>-61792.088628635189</v>
      </c>
      <c r="K55" s="1233">
        <f t="shared" si="5"/>
        <v>-63840.136512674071</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4136253.8256665571</v>
      </c>
      <c r="C58" s="1232">
        <f>IF($B$26="","",-FV('Part III-Sources of Funds'!$K$38/12,12,C52/12,B58))</f>
        <v>3936533.3263901165</v>
      </c>
      <c r="D58" s="1232">
        <f>IF($B$26="","",-FV('Part III-Sources of Funds'!$K$38/12,12,D52/12,C58))</f>
        <v>3734806.4427895765</v>
      </c>
      <c r="E58" s="1232">
        <f>IF($B$26="","",-FV('Part III-Sources of Funds'!$K$38/12,12,E52/12,D58))</f>
        <v>3531053.0188064924</v>
      </c>
      <c r="F58" s="1232">
        <f>IF($B$26="","",-FV('Part III-Sources of Funds'!$K$38/12,12,F52/12,E58))</f>
        <v>3325252.6958954455</v>
      </c>
      <c r="G58" s="1232">
        <f>IF($B$26="","",-FV('Part III-Sources of Funds'!$K$38/12,12,G52/12,F58))</f>
        <v>3117384.9109898647</v>
      </c>
      <c r="H58" s="1232">
        <f>IF($B$26="","",-FV('Part III-Sources of Funds'!$K$38/12,12,H52/12,G58))</f>
        <v>2907428.8944474179</v>
      </c>
      <c r="I58" s="1232">
        <f>IF($B$26="","",-FV('Part III-Sources of Funds'!$K$38/12,12,I52/12,H58))</f>
        <v>2695363.6679747575</v>
      </c>
      <c r="J58" s="1232">
        <f>IF($B$26="","",-FV('Part III-Sources of Funds'!$K$38/12,12,J52/12,I58))</f>
        <v>2481168.0425314214</v>
      </c>
      <c r="K58" s="1232">
        <f>IF($B$26="","",-FV('Part III-Sources of Funds'!$K$38/12,12,K52/12,J58))</f>
        <v>2264820.6162126763</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310975.80175533757</v>
      </c>
      <c r="C64" s="1232">
        <f>+'Part VII-Pro Forma'!C56</f>
        <v>312855.46079582651</v>
      </c>
      <c r="D64" s="1232">
        <f>+'Part VII-Pro Forma'!D56</f>
        <v>314642.19130728702</v>
      </c>
      <c r="E64" s="1232">
        <f>+'Part VII-Pro Forma'!E56</f>
        <v>316330.54866784276</v>
      </c>
      <c r="F64" s="1232">
        <f>+'Part VII-Pro Forma'!F56</f>
        <v>317914.86218164198</v>
      </c>
      <c r="G64" s="1232">
        <f>+'Part VII-Pro Forma'!G56</f>
        <v>319388.22704193025</v>
      </c>
      <c r="H64" s="1232">
        <f>+'Part VII-Pro Forma'!H56</f>
        <v>320745.49602792441</v>
      </c>
      <c r="I64" s="1232">
        <f>+'Part VII-Pro Forma'!I56</f>
        <v>321978.27092699305</v>
      </c>
      <c r="J64" s="1232">
        <f>+'Part VII-Pro Forma'!J56</f>
        <v>323079.89367339812</v>
      </c>
      <c r="K64" s="1232">
        <f>+'Part VII-Pro Forma'!K56</f>
        <v>324043.43719456717</v>
      </c>
    </row>
    <row r="65" spans="1:11">
      <c r="A65" s="1231" t="s">
        <v>4225</v>
      </c>
      <c r="B65" s="1232">
        <f>SUM('Part VII-Pro Forma'!B57:B60)</f>
        <v>-229027.36486498272</v>
      </c>
      <c r="C65" s="1232">
        <f>SUM('Part VII-Pro Forma'!C57:C60)</f>
        <v>-229027.36486498272</v>
      </c>
      <c r="D65" s="1232">
        <f>SUM('Part VII-Pro Forma'!D57:D60)</f>
        <v>-229027.36486498272</v>
      </c>
      <c r="E65" s="1232">
        <f>SUM('Part VII-Pro Forma'!E57:E60)</f>
        <v>-229027.36486498272</v>
      </c>
      <c r="F65" s="1232">
        <f>SUM('Part VII-Pro Forma'!F57:F60)</f>
        <v>-229027.36486498272</v>
      </c>
      <c r="G65" s="1232">
        <f>SUM('Part VII-Pro Forma'!G57:G60)</f>
        <v>-229027.36486498272</v>
      </c>
      <c r="H65" s="1232">
        <f>SUM('Part VII-Pro Forma'!H57:H60)</f>
        <v>-229027.36486498272</v>
      </c>
      <c r="I65" s="1232">
        <f>SUM('Part VII-Pro Forma'!I57:I60)</f>
        <v>-229027.36486498272</v>
      </c>
      <c r="J65" s="1232">
        <f>SUM('Part VII-Pro Forma'!J57:J60)</f>
        <v>-229027.36486498272</v>
      </c>
      <c r="K65" s="1232">
        <f>SUM('Part VII-Pro Forma'!K57:K60)</f>
        <v>-229027.36486498272</v>
      </c>
    </row>
    <row r="66" spans="1:11">
      <c r="A66" s="1231" t="s">
        <v>4226</v>
      </c>
      <c r="B66" s="1233">
        <f t="shared" ref="B66:K66" si="7">-B64/B68-B65</f>
        <v>-30119.136597798584</v>
      </c>
      <c r="C66" s="1233">
        <f t="shared" si="7"/>
        <v>-31685.519131539389</v>
      </c>
      <c r="D66" s="1233">
        <f t="shared" si="7"/>
        <v>-33174.461224423139</v>
      </c>
      <c r="E66" s="1233">
        <f t="shared" si="7"/>
        <v>-34581.425691552926</v>
      </c>
      <c r="F66" s="1233">
        <f t="shared" si="7"/>
        <v>-35901.686953052296</v>
      </c>
      <c r="G66" s="1233">
        <f t="shared" si="7"/>
        <v>-37129.491003292496</v>
      </c>
      <c r="H66" s="1233">
        <f t="shared" si="7"/>
        <v>-38260.548491620983</v>
      </c>
      <c r="I66" s="1233">
        <f t="shared" si="7"/>
        <v>-39287.860907511495</v>
      </c>
      <c r="J66" s="1233">
        <f t="shared" si="7"/>
        <v>-40205.879862849077</v>
      </c>
      <c r="K66" s="1233">
        <f t="shared" si="7"/>
        <v>-41008.832797156589</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310975.80175533757</v>
      </c>
      <c r="C71" s="1233">
        <f t="shared" si="9"/>
        <v>312855.46079582651</v>
      </c>
      <c r="D71" s="1233">
        <f t="shared" si="9"/>
        <v>314642.19130728702</v>
      </c>
      <c r="E71" s="1233">
        <f t="shared" si="9"/>
        <v>316330.54866784276</v>
      </c>
      <c r="F71" s="1233">
        <f t="shared" si="9"/>
        <v>317914.86218164198</v>
      </c>
      <c r="G71" s="1233">
        <f t="shared" si="9"/>
        <v>319388.22704193025</v>
      </c>
      <c r="H71" s="1233">
        <f>+H64</f>
        <v>320745.49602792441</v>
      </c>
      <c r="I71" s="1233">
        <f>+I64</f>
        <v>321978.27092699305</v>
      </c>
      <c r="J71" s="1233">
        <f>+J64</f>
        <v>323079.89367339812</v>
      </c>
      <c r="K71" s="1233">
        <f>+K64</f>
        <v>324043.43719456717</v>
      </c>
    </row>
    <row r="72" spans="1:11">
      <c r="A72" s="1231" t="s">
        <v>4228</v>
      </c>
      <c r="B72" s="1233">
        <f t="shared" ref="B72:G72" si="10">IF($B$25="N/A",B65,B65+$B$25)</f>
        <v>-240169.30400000003</v>
      </c>
      <c r="C72" s="1233">
        <f t="shared" si="10"/>
        <v>-240169.30400000003</v>
      </c>
      <c r="D72" s="1233">
        <f t="shared" si="10"/>
        <v>-240169.30400000003</v>
      </c>
      <c r="E72" s="1233">
        <f t="shared" si="10"/>
        <v>-240169.30400000003</v>
      </c>
      <c r="F72" s="1233">
        <f t="shared" si="10"/>
        <v>-240169.30400000003</v>
      </c>
      <c r="G72" s="1233">
        <f t="shared" si="10"/>
        <v>-240169.30400000003</v>
      </c>
      <c r="H72" s="1233">
        <f>IF($B$25="N/A",H65,H65+$B$25)</f>
        <v>-240169.30400000003</v>
      </c>
      <c r="I72" s="1233">
        <f>IF($B$25="N/A",I65,I65+$B$25)</f>
        <v>-240169.30400000003</v>
      </c>
      <c r="J72" s="1233">
        <f>IF($B$25="N/A",J65,J65+$B$25)</f>
        <v>-240169.30400000003</v>
      </c>
      <c r="K72" s="1233">
        <f>IF($B$25="N/A",K65,K65+$B$25)</f>
        <v>-240169.30400000003</v>
      </c>
    </row>
    <row r="73" spans="1:11">
      <c r="A73" s="1231" t="s">
        <v>4229</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4230</v>
      </c>
      <c r="B74" s="1233">
        <f t="shared" ref="B74:G74" si="11">+SUM(B71:B73)</f>
        <v>65806.497755337536</v>
      </c>
      <c r="C74" s="1233">
        <f t="shared" si="11"/>
        <v>67686.156795826479</v>
      </c>
      <c r="D74" s="1233">
        <f t="shared" si="11"/>
        <v>69472.88730728699</v>
      </c>
      <c r="E74" s="1233">
        <f t="shared" si="11"/>
        <v>71161.244667842722</v>
      </c>
      <c r="F74" s="1233">
        <f t="shared" si="11"/>
        <v>72745.558181641944</v>
      </c>
      <c r="G74" s="1233">
        <f t="shared" si="11"/>
        <v>74218.923041930218</v>
      </c>
      <c r="H74" s="1233">
        <f>+SUM(H71:H73)</f>
        <v>75576.192027924379</v>
      </c>
      <c r="I74" s="1233">
        <f>+SUM(I71:I73)</f>
        <v>76808.966926993016</v>
      </c>
      <c r="J74" s="1233">
        <f>+SUM(J71:J73)</f>
        <v>77910.589673398092</v>
      </c>
      <c r="K74" s="1233">
        <f>+SUM(K71:K73)</f>
        <v>78874.133194567141</v>
      </c>
    </row>
    <row r="75" spans="1:11">
      <c r="A75" s="1231" t="s">
        <v>4080</v>
      </c>
      <c r="B75" s="1233">
        <f t="shared" ref="B75:G75" si="12">-B74</f>
        <v>-65806.497755337536</v>
      </c>
      <c r="C75" s="1233">
        <f t="shared" si="12"/>
        <v>-67686.156795826479</v>
      </c>
      <c r="D75" s="1233">
        <f t="shared" si="12"/>
        <v>-69472.88730728699</v>
      </c>
      <c r="E75" s="1233">
        <f t="shared" si="12"/>
        <v>-71161.244667842722</v>
      </c>
      <c r="F75" s="1233">
        <f t="shared" si="12"/>
        <v>-72745.558181641944</v>
      </c>
      <c r="G75" s="1233">
        <f t="shared" si="12"/>
        <v>-74218.923041930218</v>
      </c>
      <c r="H75" s="1233">
        <f>-H74</f>
        <v>-75576.192027924379</v>
      </c>
      <c r="I75" s="1233">
        <f>-I74</f>
        <v>-76808.966926993016</v>
      </c>
      <c r="J75" s="1233">
        <f>-J74</f>
        <v>-77910.589673398092</v>
      </c>
      <c r="K75" s="1233">
        <f>-K74</f>
        <v>-78874.133194567141</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2046299.7721110908</v>
      </c>
      <c r="C78" s="1232">
        <f>IF($B$26="","",-FV('Part III-Sources of Funds'!$K$38/12,12,C72/12,B78))</f>
        <v>1825583.6761566275</v>
      </c>
      <c r="D78" s="1232">
        <f>IF($B$26="","",-FV('Part III-Sources of Funds'!$K$38/12,12,D72/12,C78))</f>
        <v>1602650.2749350343</v>
      </c>
      <c r="E78" s="1232">
        <f>IF($B$26="","",-FV('Part III-Sources of Funds'!$K$38/12,12,E72/12,D78))</f>
        <v>1377477.293484323</v>
      </c>
      <c r="F78" s="1232">
        <f>IF($B$26="","",-FV('Part III-Sources of Funds'!$K$38/12,12,F72/12,E78))</f>
        <v>1150042.2330691079</v>
      </c>
      <c r="G78" s="1232">
        <f>IF($B$26="","",-FV('Part III-Sources of Funds'!$K$38/12,12,G72/12,F78))</f>
        <v>920322.36893258791</v>
      </c>
      <c r="H78" s="1232">
        <f>IF($B$26="","",-FV('Part III-Sources of Funds'!$K$38/12,12,H72/12,G78))</f>
        <v>688294.74802594399</v>
      </c>
      <c r="I78" s="1232">
        <f>IF($B$26="","",-FV('Part III-Sources of Funds'!$K$38/12,12,I72/12,H78))</f>
        <v>453936.18671492627</v>
      </c>
      <c r="J78" s="1232">
        <f>IF($B$26="","",-FV('Part III-Sources of Funds'!$K$38/12,12,J72/12,I78))</f>
        <v>217223.26846340226</v>
      </c>
      <c r="K78" s="1232">
        <f>IF($B$26="","",-FV('Part III-Sources of Funds'!$K$38/12,12,K72/12,J78))</f>
        <v>-21867.658506366948</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zoomScalePageLayoutView="120" workbookViewId="0">
      <selection activeCell="A8" sqref="A8:J8"/>
    </sheetView>
  </sheetViews>
  <sheetFormatPr defaultColWidth="9.140625" defaultRowHeight="15"/>
  <cols>
    <col min="1" max="3" width="12.7109375" style="640" customWidth="1"/>
    <col min="4" max="4" width="15.42578125" style="640" customWidth="1"/>
    <col min="5" max="5" width="4.7109375" style="640" customWidth="1"/>
    <col min="6" max="9" width="12.7109375" style="640" customWidth="1"/>
    <col min="10" max="10" width="5.140625" style="640" customWidth="1"/>
    <col min="11" max="16384" width="9.140625" style="640"/>
  </cols>
  <sheetData>
    <row r="1" spans="1:16" ht="15.75">
      <c r="A1" s="2981" t="s">
        <v>2914</v>
      </c>
      <c r="B1" s="2981"/>
      <c r="C1" s="2981"/>
      <c r="D1" s="2981"/>
      <c r="E1" s="2981"/>
      <c r="F1" s="2981"/>
      <c r="G1" s="2981"/>
      <c r="H1" s="2981"/>
      <c r="I1" s="2981"/>
      <c r="J1" s="2981"/>
    </row>
    <row r="2" spans="1:16" ht="15.75">
      <c r="A2" s="2981" t="str">
        <f>Overview!C8</f>
        <v>Abbington Sound</v>
      </c>
      <c r="B2" s="2981"/>
      <c r="C2" s="2981"/>
      <c r="D2" s="2981"/>
      <c r="E2" s="2981"/>
      <c r="F2" s="2981"/>
      <c r="G2" s="2981"/>
      <c r="H2" s="2981"/>
      <c r="I2" s="2981"/>
      <c r="J2" s="2981"/>
    </row>
    <row r="3" spans="1:16" ht="15.75">
      <c r="A3" s="2981" t="str">
        <f>'Subsidy Layering Memo'!F14</f>
        <v>Kingsland, Camden</v>
      </c>
      <c r="B3" s="2981"/>
      <c r="C3" s="2981"/>
      <c r="D3" s="2981"/>
      <c r="E3" s="2981"/>
      <c r="F3" s="2981"/>
      <c r="G3" s="2981"/>
      <c r="H3" s="2981"/>
      <c r="I3" s="2981"/>
      <c r="J3" s="2981"/>
    </row>
    <row r="4" spans="1:16" ht="15.75">
      <c r="A4" s="2982" t="s">
        <v>2915</v>
      </c>
      <c r="B4" s="2981"/>
      <c r="C4" s="2981"/>
      <c r="D4" s="2981"/>
      <c r="E4" s="2981"/>
      <c r="F4" s="2981"/>
      <c r="G4" s="2981"/>
      <c r="H4" s="2981"/>
      <c r="I4" s="2981"/>
      <c r="J4" s="2981"/>
    </row>
    <row r="5" spans="1:16" ht="5.25" customHeight="1"/>
    <row r="6" spans="1:16" ht="5.25" customHeight="1"/>
    <row r="7" spans="1:16" ht="15.75">
      <c r="A7" s="2983" t="s">
        <v>2916</v>
      </c>
      <c r="B7" s="2983"/>
      <c r="C7" s="2984"/>
      <c r="M7" s="2975"/>
      <c r="N7" s="2975"/>
      <c r="O7" s="2975"/>
      <c r="P7" s="2975"/>
    </row>
    <row r="8" spans="1:16" ht="57" customHeight="1">
      <c r="A8" s="2976" t="s">
        <v>5059</v>
      </c>
      <c r="B8" s="2976"/>
      <c r="C8" s="2976"/>
      <c r="D8" s="2976"/>
      <c r="E8" s="2976"/>
      <c r="F8" s="2976"/>
      <c r="G8" s="2976"/>
      <c r="H8" s="2976"/>
      <c r="I8" s="2976"/>
      <c r="J8" s="2976"/>
      <c r="K8" s="641"/>
    </row>
    <row r="9" spans="1:16" ht="45.75" customHeight="1">
      <c r="A9" s="297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84 units (UNIT DESCRIPTION) set aside for Family.</v>
      </c>
      <c r="B9" s="2976"/>
      <c r="C9" s="2976"/>
      <c r="D9" s="2976"/>
      <c r="E9" s="2976"/>
      <c r="F9" s="2976"/>
      <c r="G9" s="2976"/>
      <c r="H9" s="2976"/>
      <c r="I9" s="2976"/>
      <c r="J9" s="2976"/>
      <c r="K9" s="641"/>
    </row>
    <row r="10" spans="1:16" ht="15.75">
      <c r="A10" s="642" t="s">
        <v>2917</v>
      </c>
    </row>
    <row r="11" spans="1:16" ht="16.5" customHeight="1">
      <c r="A11" s="2976" t="str">
        <f>'Subsidy Layering Memo'!A44</f>
        <v xml:space="preserve">Ownership entity:  (NAME) LP, a Georgia Limited Partnership, will be the ownership entity for the proposed project. </v>
      </c>
      <c r="B11" s="2978"/>
      <c r="C11" s="2978"/>
      <c r="D11" s="2978"/>
      <c r="E11" s="2978"/>
      <c r="F11" s="2978"/>
      <c r="G11" s="2978"/>
      <c r="H11" s="2978"/>
      <c r="I11" s="2978"/>
      <c r="J11" s="2976"/>
    </row>
    <row r="12" spans="1:16" ht="63.75" customHeight="1">
      <c r="A12" s="2976" t="s">
        <v>2947</v>
      </c>
      <c r="B12" s="2976"/>
      <c r="C12" s="2976"/>
      <c r="D12" s="2976"/>
      <c r="E12" s="2976"/>
      <c r="F12" s="2976"/>
      <c r="G12" s="2976"/>
      <c r="H12" s="2976"/>
      <c r="I12" s="2976"/>
      <c r="J12" s="2976"/>
    </row>
    <row r="13" spans="1:16" ht="48.75" customHeight="1">
      <c r="A13" s="2976" t="s">
        <v>2948</v>
      </c>
      <c r="B13" s="2976"/>
      <c r="C13" s="2976"/>
      <c r="D13" s="2976"/>
      <c r="E13" s="2976"/>
      <c r="F13" s="2976"/>
      <c r="G13" s="2976"/>
      <c r="H13" s="2976"/>
      <c r="I13" s="2976"/>
      <c r="J13" s="2976"/>
    </row>
    <row r="14" spans="1:16" ht="15.75">
      <c r="A14" s="642" t="s">
        <v>2918</v>
      </c>
      <c r="B14" s="643"/>
    </row>
    <row r="15" spans="1:16">
      <c r="A15" s="640" t="s">
        <v>2919</v>
      </c>
      <c r="D15" s="2225" t="s">
        <v>2920</v>
      </c>
    </row>
    <row r="16" spans="1:16">
      <c r="A16" s="640" t="s">
        <v>2921</v>
      </c>
      <c r="D16" s="2223">
        <f>Overview!C25</f>
        <v>4150000</v>
      </c>
    </row>
    <row r="17" spans="1:11">
      <c r="A17" s="644" t="s">
        <v>2922</v>
      </c>
      <c r="D17" s="2224">
        <f>Overview!C13</f>
        <v>84</v>
      </c>
    </row>
    <row r="18" spans="1:11" ht="14.25" customHeight="1"/>
    <row r="19" spans="1:11" ht="15.75">
      <c r="A19" s="642" t="s">
        <v>2923</v>
      </c>
      <c r="B19" s="643"/>
      <c r="C19" s="643"/>
    </row>
    <row r="20" spans="1:11" ht="48.75" customHeight="1">
      <c r="A20" s="2979" t="s">
        <v>2950</v>
      </c>
      <c r="B20" s="2979"/>
      <c r="C20" s="2979"/>
      <c r="D20" s="2979"/>
      <c r="E20" s="2979"/>
      <c r="F20" s="2979"/>
      <c r="G20" s="2979"/>
      <c r="H20" s="2979"/>
      <c r="I20" s="2979"/>
      <c r="J20" s="2979"/>
    </row>
    <row r="21" spans="1:11" ht="72.75" customHeight="1">
      <c r="A21" s="2976" t="s">
        <v>5058</v>
      </c>
      <c r="B21" s="2976"/>
      <c r="C21" s="2976"/>
      <c r="D21" s="2976"/>
      <c r="E21" s="2976"/>
      <c r="F21" s="2976"/>
      <c r="G21" s="2976"/>
      <c r="H21" s="2976"/>
      <c r="I21" s="2976"/>
      <c r="J21" s="2976"/>
    </row>
    <row r="22" spans="1:11" ht="15.75">
      <c r="A22" s="642" t="s">
        <v>2924</v>
      </c>
      <c r="B22" s="643"/>
      <c r="C22" s="643"/>
      <c r="D22" s="643"/>
      <c r="E22" s="643"/>
      <c r="F22" s="643"/>
    </row>
    <row r="23" spans="1:11" ht="102.75" customHeight="1">
      <c r="A23" s="2980" t="s">
        <v>2943</v>
      </c>
      <c r="B23" s="2980"/>
      <c r="C23" s="2980"/>
      <c r="D23" s="2980"/>
      <c r="E23" s="2980"/>
      <c r="F23" s="2980"/>
      <c r="G23" s="2980"/>
      <c r="H23" s="2980"/>
      <c r="I23" s="2980"/>
      <c r="J23" s="2980"/>
      <c r="K23" s="1862"/>
    </row>
    <row r="24" spans="1:11" ht="15" customHeight="1">
      <c r="A24" s="2977"/>
      <c r="B24" s="2977"/>
      <c r="C24" s="2977"/>
      <c r="D24" s="2977"/>
      <c r="E24" s="2977"/>
      <c r="F24" s="2977"/>
      <c r="G24" s="2977"/>
      <c r="H24" s="2977"/>
      <c r="I24" s="2977"/>
      <c r="J24" s="2977"/>
      <c r="K24" s="640" t="s">
        <v>243</v>
      </c>
    </row>
    <row r="25" spans="1:11" ht="15" customHeight="1">
      <c r="B25" s="1861"/>
      <c r="C25" s="1861"/>
      <c r="D25" s="1861"/>
      <c r="E25" s="1861"/>
      <c r="F25" s="1861"/>
      <c r="G25" s="1861"/>
      <c r="H25" s="1861"/>
      <c r="I25" s="1861" t="s">
        <v>243</v>
      </c>
      <c r="J25" s="1861"/>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workbookViewId="0">
      <selection activeCell="B32" sqref="B32"/>
    </sheetView>
  </sheetViews>
  <sheetFormatPr defaultColWidth="9.140625" defaultRowHeight="12.75"/>
  <cols>
    <col min="1" max="1" width="16.7109375" style="26" customWidth="1"/>
    <col min="2" max="3" width="26.140625" style="26" customWidth="1"/>
    <col min="4" max="4" width="9.42578125" style="26" customWidth="1"/>
    <col min="5" max="5" width="25.42578125" style="26" customWidth="1"/>
    <col min="6" max="6" width="8.42578125" style="26" customWidth="1"/>
    <col min="7" max="7" width="21.7109375" style="26" customWidth="1"/>
    <col min="8" max="8" width="6.42578125" style="26" customWidth="1"/>
    <col min="9" max="9" width="19.140625" style="26" customWidth="1"/>
    <col min="10" max="10" width="6.42578125" style="26" customWidth="1"/>
    <col min="11" max="11" width="18.7109375" style="26" customWidth="1"/>
    <col min="12" max="12" width="7.42578125" style="26" customWidth="1"/>
    <col min="13" max="17" width="10.7109375" style="26" customWidth="1"/>
    <col min="18" max="16384" width="9.140625" style="26"/>
  </cols>
  <sheetData>
    <row r="1" spans="1:14" s="246" customFormat="1" ht="18">
      <c r="A1" s="1244" t="s">
        <v>2986</v>
      </c>
      <c r="B1" s="703"/>
      <c r="C1" s="703"/>
      <c r="D1" s="703"/>
      <c r="E1" s="703"/>
      <c r="F1" s="703"/>
      <c r="G1" s="703"/>
      <c r="H1" s="703"/>
      <c r="I1" s="703"/>
      <c r="J1" s="703"/>
      <c r="K1" s="703"/>
      <c r="L1" s="643"/>
      <c r="M1" s="643"/>
    </row>
    <row r="2" spans="1:14" s="246" customFormat="1" ht="18">
      <c r="A2" s="1244" t="str">
        <f>+"Financial Analysis for:  "&amp;E8&amp;"  "&amp;C8</f>
        <v>Financial Analysis for:  2019-078  Abbington Sound</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298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6"/>
      <c r="J7" s="2986"/>
      <c r="K7" s="2986"/>
      <c r="L7" s="640"/>
      <c r="M7" s="640"/>
    </row>
    <row r="8" spans="1:14" ht="15.75">
      <c r="A8" s="643" t="s">
        <v>2988</v>
      </c>
      <c r="B8" s="643"/>
      <c r="C8" s="2986" t="str">
        <f>'Part I-Project Information'!F34</f>
        <v>Abbington Sound</v>
      </c>
      <c r="D8" s="2986"/>
      <c r="E8" s="1863" t="str">
        <f>'Part I-Project Information'!O6</f>
        <v>2019-078</v>
      </c>
      <c r="F8" s="679" t="s">
        <v>2989</v>
      </c>
      <c r="G8" s="678"/>
      <c r="H8" s="2986" t="str">
        <f>CONCATENATE('Part I-Project Information'!F38,", ",'Part I-Project Information'!J39)</f>
        <v>Kingsland, Camden</v>
      </c>
      <c r="I8" s="2986"/>
      <c r="J8" s="2986"/>
      <c r="K8" s="2986"/>
      <c r="L8" s="640"/>
      <c r="M8" s="680"/>
    </row>
    <row r="9" spans="1:14" ht="15.75">
      <c r="A9" s="643" t="s">
        <v>2991</v>
      </c>
      <c r="B9" s="643"/>
      <c r="C9" s="2986" t="s">
        <v>1771</v>
      </c>
      <c r="D9" s="2986"/>
      <c r="E9" s="678"/>
      <c r="F9" s="679" t="s">
        <v>2992</v>
      </c>
      <c r="G9" s="678"/>
      <c r="H9" s="2986" t="str">
        <f>'Part II-Development Team'!H5</f>
        <v>Kingsland Abbington Sound, LP</v>
      </c>
      <c r="I9" s="2986"/>
      <c r="J9" s="2986"/>
      <c r="K9" s="2986"/>
      <c r="L9" s="2986"/>
      <c r="M9" s="680"/>
    </row>
    <row r="10" spans="1:14" ht="15.75">
      <c r="A10" s="643" t="s">
        <v>2994</v>
      </c>
      <c r="B10" s="640"/>
      <c r="C10" s="1863" t="str">
        <f>'Part II-Development Team'!H14</f>
        <v>Abbington Sound Partner, LLC</v>
      </c>
      <c r="D10" s="678"/>
      <c r="E10" s="678"/>
      <c r="F10" s="679" t="s">
        <v>3560</v>
      </c>
      <c r="G10" s="678"/>
      <c r="H10" s="2986" t="str">
        <f>'Part II-Development Team'!H33</f>
        <v>Churchill Stateside Group, LLC</v>
      </c>
      <c r="I10" s="2986"/>
      <c r="J10" s="2986"/>
      <c r="K10" s="2986" t="str">
        <f>'Part II-Development Team'!H39</f>
        <v>Churchill Stateside Group, LLC</v>
      </c>
      <c r="L10" s="2986"/>
    </row>
    <row r="11" spans="1:14" ht="15.75">
      <c r="A11" s="643" t="s">
        <v>2995</v>
      </c>
      <c r="B11" s="640"/>
      <c r="C11" s="1863" t="str">
        <f>IF('Part II-Development Team'!H20="","",'Part II-Development Team'!H20)</f>
        <v/>
      </c>
      <c r="D11" s="678"/>
      <c r="E11" s="1246" t="str">
        <f>IF('Part II-Development Team'!H26="","",'Part II-Development Team'!H26)</f>
        <v/>
      </c>
      <c r="F11" s="679" t="s">
        <v>652</v>
      </c>
      <c r="G11" s="678"/>
      <c r="H11" s="2986" t="str">
        <f>'Part II-Development Team'!H54</f>
        <v>Rea Ventures Group, LLC</v>
      </c>
      <c r="I11" s="2986"/>
      <c r="J11" s="2986"/>
      <c r="K11" s="2986" t="str">
        <f>'Part II-Development Team'!H60</f>
        <v>Brady Development, LLC</v>
      </c>
      <c r="L11" s="2986"/>
      <c r="M11" s="2986" t="str">
        <f>'Part II-Development Team'!H66</f>
        <v>Paladin, Inc.</v>
      </c>
      <c r="N11" s="2986"/>
    </row>
    <row r="12" spans="1:14" ht="15.75">
      <c r="A12" s="643" t="s">
        <v>2996</v>
      </c>
      <c r="B12" s="640"/>
      <c r="C12" s="1863" t="str">
        <f>'Part II-Development Team'!H86</f>
        <v>Great Southern, LLC</v>
      </c>
      <c r="D12" s="678"/>
      <c r="E12" s="678"/>
      <c r="F12" s="679" t="s">
        <v>2997</v>
      </c>
      <c r="G12" s="678"/>
      <c r="H12" s="2986" t="str">
        <f>'Part II-Development Team'!H92</f>
        <v>Boyd Management</v>
      </c>
      <c r="I12" s="2986"/>
      <c r="J12" s="2986"/>
      <c r="K12" s="2986"/>
      <c r="L12" s="640"/>
      <c r="M12" s="640"/>
    </row>
    <row r="13" spans="1:14" ht="15.75">
      <c r="A13" s="643" t="s">
        <v>2998</v>
      </c>
      <c r="B13" s="679"/>
      <c r="C13" s="639">
        <f>'Part VI-Revenues &amp; Expenses'!$O$67</f>
        <v>84</v>
      </c>
      <c r="E13" s="1247">
        <f>'Part VI-Revenues &amp; Expenses'!$O$63</f>
        <v>84</v>
      </c>
      <c r="F13" s="679" t="s">
        <v>4240</v>
      </c>
      <c r="G13" s="678"/>
      <c r="H13" s="1864">
        <f>'Part I-Project Information'!H76</f>
        <v>5</v>
      </c>
      <c r="I13" s="1248"/>
      <c r="J13" s="1248"/>
      <c r="K13" s="1864">
        <f>'Part I-Project Information'!P75</f>
        <v>93810</v>
      </c>
      <c r="L13" s="640"/>
      <c r="M13" s="640"/>
    </row>
    <row r="14" spans="1:14" ht="15.75">
      <c r="A14" s="643" t="s">
        <v>3306</v>
      </c>
      <c r="B14" s="640"/>
      <c r="C14" s="1864" t="str">
        <f>'Part I-Project Information'!H82</f>
        <v>Family</v>
      </c>
      <c r="D14" s="2986" t="str">
        <f>IF('Part I-Project Information'!N74=0,"",'Part I-Project Information'!N74)</f>
        <v/>
      </c>
      <c r="E14" s="2986"/>
      <c r="F14" s="679" t="s">
        <v>2999</v>
      </c>
      <c r="G14" s="678"/>
      <c r="H14" s="2991" t="s">
        <v>3499</v>
      </c>
      <c r="I14" s="2991"/>
      <c r="J14" s="2991"/>
      <c r="K14" s="2991" t="s">
        <v>3499</v>
      </c>
      <c r="L14" s="2991"/>
      <c r="M14" s="640"/>
    </row>
    <row r="15" spans="1:14" ht="15.75">
      <c r="A15" s="643" t="s">
        <v>3000</v>
      </c>
      <c r="B15" s="640"/>
      <c r="C15" s="681" t="s">
        <v>1771</v>
      </c>
      <c r="D15" s="678"/>
      <c r="E15" s="678"/>
      <c r="F15" s="679" t="s">
        <v>3307</v>
      </c>
      <c r="G15" s="678"/>
      <c r="H15" s="1863" t="str">
        <f>'Part I-Project Information'!K40</f>
        <v>Rural</v>
      </c>
      <c r="I15" s="678"/>
      <c r="J15" s="678"/>
      <c r="K15" s="678"/>
      <c r="L15" s="640"/>
      <c r="M15" s="640"/>
    </row>
    <row r="16" spans="1:14" ht="15.75">
      <c r="A16" s="643" t="s">
        <v>3533</v>
      </c>
      <c r="B16" s="640"/>
      <c r="C16" s="1863" t="str">
        <f>'Part I-Project Information'!H100</f>
        <v>No</v>
      </c>
      <c r="D16" s="682" t="s">
        <v>2680</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6">
        <f ca="1">'Part IV-A-Uses of Funds'!G132</f>
        <v>15903809.932432491</v>
      </c>
      <c r="D18" s="1293">
        <f ca="1">IF(C18=0,"",$C$29/C18)</f>
        <v>0.26094376238343642</v>
      </c>
      <c r="E18" s="678" t="s">
        <v>3310</v>
      </c>
      <c r="F18" s="679" t="s">
        <v>3311</v>
      </c>
      <c r="G18" s="678"/>
      <c r="H18" s="2985">
        <f>'Part IV-A-Uses of Funds'!B44</f>
        <v>10836840</v>
      </c>
      <c r="I18" s="2985"/>
      <c r="J18" s="1292">
        <f>IF(H18=0,"",$C$29/H18)</f>
        <v>0.38295296414822033</v>
      </c>
      <c r="K18" s="2986" t="s">
        <v>3312</v>
      </c>
      <c r="L18" s="2986"/>
      <c r="M18" s="640"/>
    </row>
    <row r="19" spans="1:13" ht="15.75">
      <c r="A19" s="643" t="s">
        <v>3001</v>
      </c>
      <c r="B19" s="640"/>
      <c r="C19" s="1865">
        <f ca="1">C18/C13</f>
        <v>189331.07062419632</v>
      </c>
      <c r="D19" s="678"/>
      <c r="E19" s="640"/>
      <c r="F19" s="643" t="s">
        <v>3001</v>
      </c>
      <c r="G19" s="640"/>
      <c r="H19" s="2987">
        <f>H18/C13</f>
        <v>129010</v>
      </c>
      <c r="I19" s="2987"/>
      <c r="J19" s="640"/>
      <c r="K19" s="640"/>
      <c r="L19" s="640"/>
      <c r="M19" s="640"/>
    </row>
    <row r="20" spans="1:13" ht="15.75">
      <c r="A20" s="643" t="s">
        <v>3002</v>
      </c>
      <c r="B20" s="640"/>
      <c r="C20" s="1867">
        <f ca="1">C18/K13</f>
        <v>169.53213871050519</v>
      </c>
      <c r="D20" s="683"/>
      <c r="E20" s="684"/>
      <c r="F20" s="643" t="s">
        <v>3002</v>
      </c>
      <c r="G20" s="640"/>
      <c r="H20" s="2988">
        <f>H18/K13</f>
        <v>115.51902782219379</v>
      </c>
      <c r="I20" s="2987"/>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CDBG-DR Construction-to-Perm Loan</v>
      </c>
      <c r="C25" s="690">
        <f>'Part III-Sources of Funds'!I38</f>
        <v>4150000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4150000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10948104</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1" t="s">
        <v>3015</v>
      </c>
      <c r="H33" s="1251"/>
      <c r="I33" s="1251"/>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1" t="s">
        <v>3017</v>
      </c>
      <c r="H35" s="1251"/>
      <c r="I35" s="1251"/>
      <c r="K35" s="700" t="e">
        <f>(C36)/K25</f>
        <v>#DIV/0!</v>
      </c>
      <c r="L35" s="640"/>
      <c r="M35" s="678"/>
    </row>
    <row r="36" spans="1:13" ht="15.75">
      <c r="A36" s="640"/>
      <c r="B36" s="693" t="s">
        <v>3018</v>
      </c>
      <c r="C36" s="698">
        <f>C29+C34</f>
        <v>4150000</v>
      </c>
      <c r="D36" s="640"/>
      <c r="E36" s="640"/>
      <c r="F36" s="640"/>
      <c r="G36" s="640"/>
      <c r="H36" s="640"/>
      <c r="I36" s="640"/>
      <c r="K36" s="678"/>
      <c r="L36" s="640"/>
      <c r="M36" s="678"/>
    </row>
    <row r="37" spans="1:13" ht="15.75">
      <c r="A37" s="640"/>
      <c r="B37" s="693"/>
      <c r="C37" s="701"/>
      <c r="D37" s="640"/>
      <c r="E37" s="640"/>
      <c r="F37" s="640"/>
      <c r="G37" s="1251" t="s">
        <v>3019</v>
      </c>
      <c r="H37" s="1251"/>
      <c r="I37" s="1251"/>
      <c r="K37" s="1252" t="e">
        <f>+(C36)/K32</f>
        <v>#DIV/0!</v>
      </c>
      <c r="L37" s="640"/>
      <c r="M37" s="699"/>
    </row>
    <row r="38" spans="1:13" ht="15.75">
      <c r="A38" s="640"/>
      <c r="B38" s="693" t="s">
        <v>3020</v>
      </c>
      <c r="C38" s="702">
        <f ca="1">C36/C18</f>
        <v>0.26094376238343642</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0.38295296414822033</v>
      </c>
      <c r="D40" s="640"/>
      <c r="E40" s="640"/>
      <c r="F40" s="643"/>
      <c r="G40" s="643" t="s">
        <v>3022</v>
      </c>
      <c r="H40" s="640"/>
      <c r="I40" s="640"/>
      <c r="K40" s="692">
        <f ca="1">C30/C18</f>
        <v>0.68839504788557826</v>
      </c>
      <c r="L40" s="640"/>
      <c r="M40" s="640"/>
    </row>
    <row r="46" spans="1:13" ht="15.75">
      <c r="A46" s="703" t="s">
        <v>3023</v>
      </c>
      <c r="B46" s="673"/>
      <c r="C46" s="673"/>
      <c r="D46" s="673"/>
      <c r="E46" s="673"/>
      <c r="F46" s="673"/>
      <c r="G46" s="673"/>
      <c r="H46" s="673"/>
      <c r="I46" s="673"/>
      <c r="J46" s="673"/>
      <c r="K46" s="673"/>
      <c r="L46" s="673"/>
      <c r="M46" s="640"/>
    </row>
    <row r="47" spans="1:13" ht="15.75">
      <c r="A47" s="703" t="str">
        <f>C8</f>
        <v>Abbington Sound</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2989" t="s">
        <v>3026</v>
      </c>
      <c r="L50" s="2990"/>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678168</v>
      </c>
      <c r="D52" s="709"/>
      <c r="E52" s="709">
        <f>$C$52</f>
        <v>678168</v>
      </c>
      <c r="F52" s="709"/>
      <c r="G52" s="709">
        <f>$C$52</f>
        <v>678168</v>
      </c>
      <c r="H52" s="709"/>
      <c r="I52" s="709">
        <f>$C$52</f>
        <v>678168</v>
      </c>
      <c r="J52" s="709"/>
      <c r="K52" s="709">
        <f>$C$52</f>
        <v>678168</v>
      </c>
      <c r="L52" s="710"/>
      <c r="M52" s="26"/>
      <c r="N52" s="26"/>
    </row>
    <row r="53" spans="1:14" s="640" customFormat="1" ht="18.75" customHeight="1">
      <c r="B53" s="708" t="s">
        <v>3030</v>
      </c>
      <c r="C53" s="709">
        <f>'Part VII-Pro Forma'!B15</f>
        <v>13563.36</v>
      </c>
      <c r="D53" s="709"/>
      <c r="E53" s="709">
        <f>$C$53</f>
        <v>13563.36</v>
      </c>
      <c r="F53" s="709"/>
      <c r="G53" s="709">
        <f>$C$53</f>
        <v>13563.36</v>
      </c>
      <c r="H53" s="709"/>
      <c r="I53" s="709">
        <f>$C$53</f>
        <v>13563.36</v>
      </c>
      <c r="J53" s="709"/>
      <c r="K53" s="709">
        <f>$C$53</f>
        <v>13563.36</v>
      </c>
      <c r="L53" s="710"/>
      <c r="M53" s="26"/>
      <c r="N53" s="26"/>
    </row>
    <row r="54" spans="1:14" s="640" customFormat="1" ht="18.75" customHeight="1">
      <c r="B54" s="708" t="s">
        <v>3028</v>
      </c>
      <c r="C54" s="709">
        <f>'Part VII-Pro Forma'!B16</f>
        <v>-48421.195200000002</v>
      </c>
      <c r="D54" s="709"/>
      <c r="E54" s="709">
        <f>-($C$52+E53)*F50</f>
        <v>-69173.135999999999</v>
      </c>
      <c r="F54" s="711"/>
      <c r="G54" s="709">
        <f>-($C$52+G53)*0.07</f>
        <v>-48421.195200000002</v>
      </c>
      <c r="H54" s="709"/>
      <c r="I54" s="709">
        <f>-($C$52+I53)*0.07</f>
        <v>-48421.195200000002</v>
      </c>
      <c r="J54" s="709"/>
      <c r="K54" s="709">
        <f>-($C$52+K53)*L54</f>
        <v>-69173.135999999999</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643310.16480000003</v>
      </c>
      <c r="D56" s="709"/>
      <c r="E56" s="715">
        <f>SUM(E52:E55)</f>
        <v>622558.22399999993</v>
      </c>
      <c r="F56" s="709"/>
      <c r="G56" s="715">
        <f>SUM(G52:G55)</f>
        <v>643310.16480000003</v>
      </c>
      <c r="H56" s="709"/>
      <c r="I56" s="715">
        <f>SUM(I52:I55)</f>
        <v>643310.16480000003</v>
      </c>
      <c r="J56" s="709"/>
      <c r="K56" s="715">
        <f>SUM(K52:K55)</f>
        <v>622558.22399999993</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126498</v>
      </c>
      <c r="D58" s="709"/>
      <c r="E58" s="709">
        <f>$C$58</f>
        <v>126498</v>
      </c>
      <c r="F58" s="709"/>
      <c r="G58" s="709">
        <f>$C$58</f>
        <v>126498</v>
      </c>
      <c r="H58" s="709"/>
      <c r="I58" s="709">
        <f>$C$58</f>
        <v>126498</v>
      </c>
      <c r="J58" s="709"/>
      <c r="K58" s="709">
        <f>$C$58</f>
        <v>126498</v>
      </c>
      <c r="L58" s="710"/>
      <c r="M58" s="26"/>
      <c r="N58" s="26"/>
    </row>
    <row r="59" spans="1:14" s="640" customFormat="1" ht="18.75" customHeight="1">
      <c r="B59" s="708" t="s">
        <v>3033</v>
      </c>
      <c r="C59" s="709">
        <f>+'Part VI-Revenues &amp; Expenses'!F239</f>
        <v>47400</v>
      </c>
      <c r="D59" s="709"/>
      <c r="E59" s="709">
        <f>$C$59</f>
        <v>47400</v>
      </c>
      <c r="F59" s="709"/>
      <c r="G59" s="709">
        <f>$C$59</f>
        <v>47400</v>
      </c>
      <c r="H59" s="709"/>
      <c r="I59" s="709">
        <f>$C$59</f>
        <v>47400</v>
      </c>
      <c r="J59" s="709"/>
      <c r="K59" s="709">
        <f>$C$59*(1+$L$59)</f>
        <v>49296</v>
      </c>
      <c r="L59" s="717">
        <v>0.04</v>
      </c>
      <c r="M59" s="26"/>
      <c r="N59" s="26"/>
    </row>
    <row r="60" spans="1:14" s="640" customFormat="1" ht="18.75" customHeight="1">
      <c r="B60" s="708" t="s">
        <v>1375</v>
      </c>
      <c r="C60" s="709">
        <f>+'Part VI-Revenues &amp; Expenses'!K236</f>
        <v>35200</v>
      </c>
      <c r="D60" s="709"/>
      <c r="E60" s="709">
        <f>$C$60</f>
        <v>35200</v>
      </c>
      <c r="F60" s="709"/>
      <c r="G60" s="709">
        <f>$C$60</f>
        <v>35200</v>
      </c>
      <c r="H60" s="709"/>
      <c r="I60" s="709">
        <f>$C$60*(1+$J$50)</f>
        <v>36256</v>
      </c>
      <c r="J60" s="711"/>
      <c r="K60" s="709">
        <f>$C$60*(1+$J$50)</f>
        <v>36256</v>
      </c>
      <c r="L60" s="712">
        <v>0.03</v>
      </c>
      <c r="M60" s="26"/>
      <c r="N60" s="26"/>
    </row>
    <row r="61" spans="1:14" s="640" customFormat="1" ht="18.75" customHeight="1">
      <c r="B61" s="708" t="s">
        <v>1376</v>
      </c>
      <c r="C61" s="709">
        <f>+'Part VI-Revenues &amp; Expenses'!P218</f>
        <v>92843</v>
      </c>
      <c r="D61" s="709"/>
      <c r="E61" s="709">
        <f>$C$61</f>
        <v>92843</v>
      </c>
      <c r="F61" s="709"/>
      <c r="G61" s="709">
        <f>$C$61*(1+H50)</f>
        <v>97485.150000000009</v>
      </c>
      <c r="H61" s="711"/>
      <c r="I61" s="709">
        <f>$C$61</f>
        <v>92843</v>
      </c>
      <c r="J61" s="709"/>
      <c r="K61" s="709">
        <f>$C$61*(1+$L$61)</f>
        <v>97485.150000000009</v>
      </c>
      <c r="L61" s="712">
        <v>0.05</v>
      </c>
      <c r="M61" s="26"/>
      <c r="N61" s="26"/>
    </row>
    <row r="62" spans="1:14" s="640" customFormat="1" ht="18.75" customHeight="1">
      <c r="B62" s="714" t="s">
        <v>3034</v>
      </c>
      <c r="C62" s="715">
        <f>SUM(C58:C61)</f>
        <v>301941</v>
      </c>
      <c r="D62" s="709"/>
      <c r="E62" s="715">
        <f>SUM(E58:E61)</f>
        <v>301941</v>
      </c>
      <c r="F62" s="709"/>
      <c r="G62" s="715">
        <f>SUM(G58:G61)</f>
        <v>306583.15000000002</v>
      </c>
      <c r="H62" s="709"/>
      <c r="I62" s="715">
        <f>SUM(I58:I61)</f>
        <v>302997</v>
      </c>
      <c r="J62" s="709"/>
      <c r="K62" s="715">
        <f>SUM(K58:K61)</f>
        <v>309535.15000000002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341369.16480000003</v>
      </c>
      <c r="D64" s="721"/>
      <c r="E64" s="721">
        <f>E56-E62</f>
        <v>320617.22399999993</v>
      </c>
      <c r="F64" s="721"/>
      <c r="G64" s="721">
        <f>G56-G62</f>
        <v>336727.0148</v>
      </c>
      <c r="H64" s="721"/>
      <c r="I64" s="721">
        <f>I56-I62</f>
        <v>340313.16480000003</v>
      </c>
      <c r="J64" s="721"/>
      <c r="K64" s="721">
        <f>K56-K62</f>
        <v>313023.07399999991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21000</v>
      </c>
      <c r="D66" s="716"/>
      <c r="E66" s="716">
        <f>$C$66</f>
        <v>21000</v>
      </c>
      <c r="F66" s="716"/>
      <c r="G66" s="716">
        <f>$C$66</f>
        <v>21000</v>
      </c>
      <c r="H66" s="716"/>
      <c r="I66" s="716">
        <f>$C$66</f>
        <v>21000</v>
      </c>
      <c r="J66" s="716"/>
      <c r="K66" s="716">
        <f>$C$66</f>
        <v>21000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32166</v>
      </c>
      <c r="D68" s="716"/>
      <c r="E68" s="716">
        <f>$C$68</f>
        <v>32166</v>
      </c>
      <c r="F68" s="716"/>
      <c r="G68" s="716">
        <f>$C$68</f>
        <v>32166</v>
      </c>
      <c r="H68" s="716"/>
      <c r="I68" s="716">
        <f>$C$68</f>
        <v>32166</v>
      </c>
      <c r="J68" s="716"/>
      <c r="K68" s="716">
        <f>$C$68</f>
        <v>32166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288203.16480000003</v>
      </c>
      <c r="D70" s="725"/>
      <c r="E70" s="724">
        <f>E64-E66-E68</f>
        <v>267451.22399999993</v>
      </c>
      <c r="F70" s="725"/>
      <c r="G70" s="724">
        <f>G64-G66-G68</f>
        <v>283561.0148</v>
      </c>
      <c r="H70" s="725"/>
      <c r="I70" s="724">
        <f>I64-I66-I68</f>
        <v>287147.16480000003</v>
      </c>
      <c r="J70" s="725"/>
      <c r="K70" s="724">
        <f>K64-K66-K68</f>
        <v>259857.07399999991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1.2583787311612431</v>
      </c>
      <c r="D72" s="727"/>
      <c r="E72" s="1294">
        <f>-E70/E75</f>
        <v>1.1677697298646781</v>
      </c>
      <c r="F72" s="727"/>
      <c r="G72" s="1294">
        <f>-G70/G75</f>
        <v>1.2381097558676721</v>
      </c>
      <c r="H72" s="727"/>
      <c r="I72" s="1294">
        <f>-I70/I75</f>
        <v>1.2537679284275935</v>
      </c>
      <c r="J72" s="727"/>
      <c r="K72" s="1294">
        <f>-K70/K75</f>
        <v>1.1346114651111323</v>
      </c>
      <c r="L72" s="728"/>
      <c r="M72" s="246"/>
      <c r="N72" s="246"/>
    </row>
    <row r="73" spans="1:14" s="640" customFormat="1" ht="18.75" customHeight="1">
      <c r="A73" s="26"/>
      <c r="B73" s="708" t="s">
        <v>3040</v>
      </c>
      <c r="C73" s="1295">
        <f>C76/C62</f>
        <v>0.19598464579178485</v>
      </c>
      <c r="D73" s="729"/>
      <c r="E73" s="1295">
        <f>E76/E62</f>
        <v>0.12725618294639418</v>
      </c>
      <c r="F73" s="729"/>
      <c r="G73" s="1295">
        <f>G76/G62</f>
        <v>0.17787556144236003</v>
      </c>
      <c r="H73" s="729"/>
      <c r="I73" s="1295">
        <f>I76/I62</f>
        <v>0.19181642041016017</v>
      </c>
      <c r="J73" s="729"/>
      <c r="K73" s="1295">
        <f>K76/K62</f>
        <v>9.9600026475239342E-2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-229027.36486498272</v>
      </c>
      <c r="D75" s="709"/>
      <c r="E75" s="709">
        <f>$C$75</f>
        <v>-229027.36486498272</v>
      </c>
      <c r="F75" s="709"/>
      <c r="G75" s="709">
        <f>$C$75</f>
        <v>-229027.36486498272</v>
      </c>
      <c r="H75" s="709"/>
      <c r="I75" s="709">
        <f>$C$75</f>
        <v>-229027.36486498272</v>
      </c>
      <c r="J75" s="709"/>
      <c r="K75" s="709">
        <f>$C$75</f>
        <v>-229027.36486498272</v>
      </c>
      <c r="L75" s="32"/>
      <c r="M75" s="26"/>
      <c r="N75" s="26"/>
    </row>
    <row r="76" spans="1:14" s="640" customFormat="1" ht="18.75" customHeight="1">
      <c r="A76" s="26"/>
      <c r="B76" s="708" t="s">
        <v>1164</v>
      </c>
      <c r="C76" s="709">
        <f>C70+C75</f>
        <v>59175.799935017305</v>
      </c>
      <c r="D76" s="709"/>
      <c r="E76" s="709">
        <f>E70+E75</f>
        <v>38423.859135017206</v>
      </c>
      <c r="F76" s="709"/>
      <c r="G76" s="709">
        <f>G70+G75</f>
        <v>54533.649935017282</v>
      </c>
      <c r="H76" s="709"/>
      <c r="I76" s="709">
        <f>I70+I75</f>
        <v>58119.799935017305</v>
      </c>
      <c r="J76" s="709"/>
      <c r="K76" s="709">
        <f>K70+K75</f>
        <v>30829.709135017183</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zoomScalePageLayoutView="120" workbookViewId="0">
      <selection activeCell="K22" sqref="K22:N22"/>
    </sheetView>
  </sheetViews>
  <sheetFormatPr defaultColWidth="9.140625" defaultRowHeight="14.25"/>
  <cols>
    <col min="1" max="1" width="9.140625" style="649"/>
    <col min="2" max="2" width="7.7109375" style="649" customWidth="1"/>
    <col min="3" max="3" width="14.7109375" style="649" customWidth="1"/>
    <col min="4" max="4" width="20.140625" style="649" customWidth="1"/>
    <col min="5" max="5" width="8" style="649" customWidth="1"/>
    <col min="6" max="6" width="5.140625" style="649" customWidth="1"/>
    <col min="7" max="7" width="5.42578125" style="649" customWidth="1"/>
    <col min="8" max="8" width="8.42578125" style="649" customWidth="1"/>
    <col min="9" max="9" width="28.42578125" style="649" customWidth="1"/>
    <col min="10" max="10" width="4.140625" style="649" hidden="1" customWidth="1"/>
    <col min="11" max="11" width="9.140625" style="649"/>
    <col min="12" max="12" width="16.140625" style="649" customWidth="1"/>
    <col min="13" max="13" width="11.140625" style="649" customWidth="1"/>
    <col min="14" max="14" width="10.7109375" style="649" bestFit="1" customWidth="1"/>
    <col min="15" max="15" width="28.42578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2"/>
    </row>
    <row r="12" spans="1:10" ht="15">
      <c r="A12" s="650" t="s">
        <v>2937</v>
      </c>
      <c r="D12" s="649" t="s">
        <v>617</v>
      </c>
      <c r="F12" s="2222" t="str">
        <f>Overview!$C$8</f>
        <v>Abbington Sound</v>
      </c>
    </row>
    <row r="13" spans="1:10" ht="15">
      <c r="A13" s="650"/>
      <c r="D13" s="649" t="s">
        <v>2938</v>
      </c>
      <c r="F13" s="2222" t="str">
        <f>Overview!E8</f>
        <v>2019-078</v>
      </c>
    </row>
    <row r="14" spans="1:10" ht="15">
      <c r="A14" s="650"/>
      <c r="D14" s="649" t="s">
        <v>2939</v>
      </c>
      <c r="F14" s="2222" t="str">
        <f>Overview!H8</f>
        <v>Kingsland, Camden</v>
      </c>
    </row>
    <row r="15" spans="1:10" ht="15">
      <c r="A15" s="650"/>
      <c r="D15" s="649" t="s">
        <v>3303</v>
      </c>
      <c r="F15" s="2992">
        <f>Overview!$C$25</f>
        <v>4150000</v>
      </c>
      <c r="G15" s="2992"/>
      <c r="H15" s="2992"/>
    </row>
    <row r="16" spans="1:10" ht="15">
      <c r="A16" s="650"/>
      <c r="D16" s="652" t="s">
        <v>2940</v>
      </c>
      <c r="F16" s="653">
        <f>Overview!C13</f>
        <v>84</v>
      </c>
      <c r="G16" s="654" t="s">
        <v>3304</v>
      </c>
      <c r="H16" s="1249">
        <f>Overview!E13</f>
        <v>84</v>
      </c>
    </row>
    <row r="17" spans="1:18" ht="15">
      <c r="A17" s="650"/>
      <c r="D17" s="652" t="s">
        <v>2904</v>
      </c>
      <c r="F17" s="653" t="str">
        <f>Overview!C14</f>
        <v>Family</v>
      </c>
    </row>
    <row r="18" spans="1:18" ht="15">
      <c r="A18" s="650"/>
      <c r="D18" s="652" t="s">
        <v>3308</v>
      </c>
      <c r="F18" s="2222" t="str">
        <f>Overview!H15</f>
        <v>Rural</v>
      </c>
    </row>
    <row r="19" spans="1:18" ht="15">
      <c r="A19" s="650"/>
      <c r="D19" s="652" t="s">
        <v>3305</v>
      </c>
      <c r="F19" s="2222" t="str">
        <f>Overview!E16</f>
        <v>No</v>
      </c>
    </row>
    <row r="20" spans="1:18" ht="15">
      <c r="A20" s="650"/>
      <c r="D20" s="652"/>
    </row>
    <row r="21" spans="1:18" ht="15">
      <c r="A21" s="655" t="s">
        <v>2941</v>
      </c>
    </row>
    <row r="22" spans="1:18" ht="111.75" customHeight="1">
      <c r="A22" s="2999" t="s">
        <v>3498</v>
      </c>
      <c r="B22" s="2999"/>
      <c r="C22" s="2999"/>
      <c r="D22" s="2999"/>
      <c r="E22" s="2999"/>
      <c r="F22" s="2999"/>
      <c r="G22" s="2999"/>
      <c r="H22" s="2999"/>
      <c r="I22" s="2999"/>
      <c r="J22" s="2999"/>
      <c r="K22" s="3006" t="s">
        <v>5060</v>
      </c>
      <c r="L22" s="3006"/>
      <c r="M22" s="3006"/>
      <c r="N22" s="3006"/>
      <c r="O22" s="2226"/>
      <c r="P22" s="2226"/>
      <c r="Q22" s="2226"/>
      <c r="R22" s="2226"/>
    </row>
    <row r="23" spans="1:18" ht="0.75" hidden="1" customHeight="1">
      <c r="A23" s="2216"/>
      <c r="B23" s="2216"/>
      <c r="C23" s="2216"/>
      <c r="D23" s="2216"/>
      <c r="E23" s="2216"/>
      <c r="F23" s="2216"/>
      <c r="G23" s="2216"/>
      <c r="H23" s="2216"/>
      <c r="I23" s="2216"/>
      <c r="J23" s="2216"/>
    </row>
    <row r="24" spans="1:18" ht="9.75" hidden="1" customHeight="1">
      <c r="A24" s="3007"/>
      <c r="B24" s="3007"/>
      <c r="C24" s="3007"/>
      <c r="D24" s="3007"/>
      <c r="E24" s="3007"/>
      <c r="F24" s="3007"/>
      <c r="G24" s="3007"/>
      <c r="H24" s="3007"/>
      <c r="I24" s="3007"/>
      <c r="J24" s="3007"/>
    </row>
    <row r="25" spans="1:18" ht="10.5" hidden="1" customHeight="1">
      <c r="A25" s="3008"/>
      <c r="B25" s="3008"/>
      <c r="C25" s="3008"/>
      <c r="D25" s="3008"/>
      <c r="E25" s="3008"/>
      <c r="F25" s="3008"/>
      <c r="G25" s="3008"/>
      <c r="H25" s="3008"/>
      <c r="I25" s="3008"/>
      <c r="J25" s="3008"/>
    </row>
    <row r="26" spans="1:18" ht="15">
      <c r="A26" s="655" t="s">
        <v>2942</v>
      </c>
    </row>
    <row r="27" spans="1:18" ht="14.25" customHeight="1">
      <c r="A27" s="3009" t="s">
        <v>2943</v>
      </c>
      <c r="B27" s="3009"/>
      <c r="C27" s="3009"/>
      <c r="D27" s="3009"/>
      <c r="E27" s="3009"/>
      <c r="F27" s="3009"/>
      <c r="G27" s="3009"/>
      <c r="H27" s="3009"/>
      <c r="I27" s="3009"/>
      <c r="J27" s="3009"/>
    </row>
    <row r="28" spans="1:18" ht="14.25" customHeight="1">
      <c r="A28" s="3009"/>
      <c r="B28" s="3009"/>
      <c r="C28" s="3009"/>
      <c r="D28" s="3009"/>
      <c r="E28" s="3009"/>
      <c r="F28" s="3009"/>
      <c r="G28" s="3009"/>
      <c r="H28" s="3009"/>
      <c r="I28" s="3009"/>
      <c r="J28" s="3009"/>
    </row>
    <row r="29" spans="1:18" ht="6.75" customHeight="1">
      <c r="A29" s="3009"/>
      <c r="B29" s="3009"/>
      <c r="C29" s="3009"/>
      <c r="D29" s="3009"/>
      <c r="E29" s="3009"/>
      <c r="F29" s="3009"/>
      <c r="G29" s="3009"/>
      <c r="H29" s="3009"/>
      <c r="I29" s="3009"/>
      <c r="J29" s="3009"/>
    </row>
    <row r="30" spans="1:18" ht="14.25" customHeight="1">
      <c r="A30" s="3009"/>
      <c r="B30" s="3009"/>
      <c r="C30" s="3009"/>
      <c r="D30" s="3009"/>
      <c r="E30" s="3009"/>
      <c r="F30" s="3009"/>
      <c r="G30" s="3009"/>
      <c r="H30" s="3009"/>
      <c r="I30" s="3009"/>
      <c r="J30" s="3009"/>
    </row>
    <row r="31" spans="1:18" ht="14.25" customHeight="1">
      <c r="A31" s="3009"/>
      <c r="B31" s="3009"/>
      <c r="C31" s="3009"/>
      <c r="D31" s="3009"/>
      <c r="E31" s="3009"/>
      <c r="F31" s="3009"/>
      <c r="G31" s="3009"/>
      <c r="H31" s="3009"/>
      <c r="I31" s="3009"/>
      <c r="J31" s="3009"/>
    </row>
    <row r="32" spans="1:18" ht="54.75" customHeight="1">
      <c r="A32" s="3009"/>
      <c r="B32" s="3009"/>
      <c r="C32" s="3009"/>
      <c r="D32" s="3009"/>
      <c r="E32" s="3009"/>
      <c r="F32" s="3009"/>
      <c r="G32" s="3009"/>
      <c r="H32" s="3009"/>
      <c r="I32" s="3009"/>
      <c r="J32" s="3009"/>
    </row>
    <row r="33" spans="1:10" ht="0.75" hidden="1" customHeight="1">
      <c r="A33" s="3009"/>
      <c r="B33" s="3009"/>
      <c r="C33" s="3009"/>
      <c r="D33" s="3009"/>
      <c r="E33" s="3009"/>
      <c r="F33" s="3009"/>
      <c r="G33" s="3009"/>
      <c r="H33" s="3009"/>
      <c r="I33" s="3009"/>
      <c r="J33" s="3009"/>
    </row>
    <row r="34" spans="1:10" ht="3.75" hidden="1" customHeight="1">
      <c r="A34" s="3009"/>
      <c r="B34" s="3009"/>
      <c r="C34" s="3009"/>
      <c r="D34" s="3009"/>
      <c r="E34" s="3009"/>
      <c r="F34" s="3009"/>
      <c r="G34" s="3009"/>
      <c r="H34" s="3009"/>
      <c r="I34" s="3009"/>
      <c r="J34" s="3009"/>
    </row>
    <row r="35" spans="1:10" ht="5.25" customHeight="1">
      <c r="A35" s="2218"/>
      <c r="B35" s="2218"/>
      <c r="C35" s="2218"/>
      <c r="D35" s="2218"/>
      <c r="E35" s="2218"/>
      <c r="F35" s="2218"/>
      <c r="G35" s="2218"/>
      <c r="H35" s="2218"/>
      <c r="I35" s="2218"/>
      <c r="J35" s="2218"/>
    </row>
    <row r="36" spans="1:10" ht="19.5" customHeight="1">
      <c r="A36" s="3007" t="s">
        <v>2944</v>
      </c>
      <c r="B36" s="3007"/>
      <c r="C36" s="3007"/>
      <c r="D36" s="2216"/>
      <c r="E36" s="2216"/>
      <c r="F36" s="2216"/>
      <c r="G36" s="2216"/>
      <c r="H36" s="2216"/>
      <c r="I36" s="2216"/>
      <c r="J36" s="2216"/>
    </row>
    <row r="37" spans="1:10" ht="15" customHeight="1">
      <c r="A37" s="2976"/>
      <c r="B37" s="2976"/>
      <c r="C37" s="2976"/>
      <c r="D37" s="2976"/>
      <c r="E37" s="2976"/>
      <c r="F37" s="2976"/>
      <c r="G37" s="2976"/>
      <c r="H37" s="2976"/>
      <c r="I37" s="2976"/>
      <c r="J37" s="2976"/>
    </row>
    <row r="38" spans="1:10" ht="33.75" customHeight="1">
      <c r="A38" s="2976"/>
      <c r="B38" s="2976"/>
      <c r="C38" s="2976"/>
      <c r="D38" s="2976"/>
      <c r="E38" s="2976"/>
      <c r="F38" s="2976"/>
      <c r="G38" s="2976"/>
      <c r="H38" s="2976"/>
      <c r="I38" s="2976"/>
      <c r="J38" s="2976"/>
    </row>
    <row r="39" spans="1:10" ht="2.25" customHeight="1">
      <c r="A39" s="2216"/>
      <c r="B39" s="2216"/>
      <c r="C39" s="2216"/>
      <c r="D39" s="2216"/>
      <c r="E39" s="2216"/>
      <c r="F39" s="2216"/>
      <c r="G39" s="2216"/>
      <c r="H39" s="2216"/>
      <c r="I39" s="2216"/>
      <c r="J39" s="2216"/>
    </row>
    <row r="40" spans="1:10" ht="15">
      <c r="A40" s="655" t="s">
        <v>2945</v>
      </c>
    </row>
    <row r="41" spans="1:10" ht="135" customHeight="1">
      <c r="A41" s="3008" t="s">
        <v>5057</v>
      </c>
      <c r="B41" s="3008"/>
      <c r="C41" s="3008"/>
      <c r="D41" s="3008"/>
      <c r="E41" s="3008"/>
      <c r="F41" s="3008"/>
      <c r="G41" s="3008"/>
      <c r="H41" s="3008"/>
      <c r="I41" s="3008"/>
      <c r="J41" s="3008"/>
    </row>
    <row r="42" spans="1:10" ht="6" customHeight="1">
      <c r="A42" s="2217"/>
      <c r="B42" s="2217"/>
      <c r="C42" s="2217"/>
      <c r="D42" s="2217"/>
      <c r="E42" s="2217"/>
      <c r="F42" s="2217"/>
      <c r="G42" s="2217"/>
      <c r="H42" s="2217"/>
      <c r="I42" s="2217"/>
      <c r="J42" s="2217"/>
    </row>
    <row r="43" spans="1:10" ht="15">
      <c r="A43" s="655" t="s">
        <v>2946</v>
      </c>
    </row>
    <row r="44" spans="1:10" ht="33" customHeight="1">
      <c r="A44" s="2976" t="s">
        <v>4241</v>
      </c>
      <c r="B44" s="2978"/>
      <c r="C44" s="2978"/>
      <c r="D44" s="2978"/>
      <c r="E44" s="2978"/>
      <c r="F44" s="2978"/>
      <c r="G44" s="2978"/>
      <c r="H44" s="2978"/>
      <c r="I44" s="2978"/>
      <c r="J44" s="2976"/>
    </row>
    <row r="45" spans="1:10" ht="3" customHeight="1"/>
    <row r="46" spans="1:10" ht="72.75" customHeight="1">
      <c r="A46" s="2976" t="s">
        <v>4242</v>
      </c>
      <c r="B46" s="2976"/>
      <c r="C46" s="2976"/>
      <c r="D46" s="2976"/>
      <c r="E46" s="2976"/>
      <c r="F46" s="2976"/>
      <c r="G46" s="2976"/>
      <c r="H46" s="2976"/>
      <c r="I46" s="2976"/>
      <c r="J46" s="2976"/>
    </row>
    <row r="47" spans="1:10" ht="3" customHeight="1">
      <c r="A47" s="2216"/>
      <c r="B47" s="2216"/>
      <c r="C47" s="2216"/>
      <c r="D47" s="2216"/>
      <c r="E47" s="2216"/>
      <c r="F47" s="2216"/>
      <c r="G47" s="2216"/>
      <c r="H47" s="2216"/>
      <c r="I47" s="2216"/>
      <c r="J47" s="2216"/>
    </row>
    <row r="48" spans="1:10" ht="56.25" customHeight="1">
      <c r="A48" s="2976" t="s">
        <v>4243</v>
      </c>
      <c r="B48" s="2976"/>
      <c r="C48" s="2976"/>
      <c r="D48" s="2976"/>
      <c r="E48" s="2976"/>
      <c r="F48" s="2976"/>
      <c r="G48" s="2976"/>
      <c r="H48" s="2976"/>
      <c r="I48" s="2976"/>
      <c r="J48" s="2976"/>
    </row>
    <row r="49" spans="1:17" ht="3" customHeight="1">
      <c r="A49" s="2216"/>
      <c r="B49" s="2216"/>
      <c r="C49" s="2216"/>
      <c r="D49" s="2216"/>
      <c r="E49" s="2216"/>
      <c r="F49" s="2216"/>
      <c r="G49" s="2216"/>
      <c r="H49" s="2216"/>
      <c r="I49" s="2216"/>
      <c r="J49" s="2216"/>
    </row>
    <row r="50" spans="1:17" ht="49.5" customHeight="1">
      <c r="A50" s="2976" t="s">
        <v>4244</v>
      </c>
      <c r="B50" s="2976"/>
      <c r="C50" s="2976"/>
      <c r="D50" s="2976"/>
      <c r="E50" s="2976"/>
      <c r="F50" s="2976"/>
      <c r="G50" s="2976"/>
      <c r="H50" s="2976"/>
      <c r="I50" s="2976"/>
      <c r="J50" s="2216"/>
    </row>
    <row r="51" spans="1:17" ht="3" customHeight="1">
      <c r="A51" s="2216"/>
      <c r="B51" s="2216"/>
      <c r="C51" s="2216"/>
      <c r="D51" s="2216"/>
      <c r="E51" s="2216"/>
      <c r="F51" s="2216"/>
      <c r="G51" s="2216"/>
      <c r="H51" s="2216"/>
      <c r="I51" s="2216"/>
      <c r="J51" s="2216"/>
    </row>
    <row r="52" spans="1:17" ht="54.75" customHeight="1">
      <c r="A52" s="2998" t="s">
        <v>3313</v>
      </c>
      <c r="B52" s="2996"/>
      <c r="C52" s="2996"/>
      <c r="D52" s="2996"/>
      <c r="E52" s="2996"/>
      <c r="F52" s="2996"/>
      <c r="G52" s="2996"/>
      <c r="H52" s="2996"/>
      <c r="I52" s="2996"/>
      <c r="J52" s="2216"/>
    </row>
    <row r="53" spans="1:17" ht="3" customHeight="1">
      <c r="A53" s="2216"/>
      <c r="B53" s="2216"/>
      <c r="C53" s="2216"/>
      <c r="D53" s="2216"/>
      <c r="E53" s="2216"/>
      <c r="F53" s="2216"/>
      <c r="G53" s="2216"/>
      <c r="H53" s="2216"/>
      <c r="I53" s="2216"/>
      <c r="J53" s="2216"/>
    </row>
    <row r="54" spans="1:17" ht="62.25" customHeight="1">
      <c r="A54" s="2996" t="s">
        <v>4245</v>
      </c>
      <c r="B54" s="2996"/>
      <c r="C54" s="2996"/>
      <c r="D54" s="2996"/>
      <c r="E54" s="2996"/>
      <c r="F54" s="2996"/>
      <c r="G54" s="2996"/>
      <c r="H54" s="2996"/>
      <c r="I54" s="2996"/>
      <c r="J54" s="2996"/>
    </row>
    <row r="55" spans="1:17" ht="3" customHeight="1"/>
    <row r="56" spans="1:17" ht="73.5" customHeight="1">
      <c r="A56" s="2976" t="s">
        <v>4246</v>
      </c>
      <c r="B56" s="2976"/>
      <c r="C56" s="2976"/>
      <c r="D56" s="2976"/>
      <c r="E56" s="2976"/>
      <c r="F56" s="2976"/>
      <c r="G56" s="2976"/>
      <c r="H56" s="2976"/>
      <c r="I56" s="2976"/>
      <c r="J56" s="2976"/>
    </row>
    <row r="57" spans="1:17" ht="6" customHeight="1">
      <c r="A57" s="2216" t="s">
        <v>243</v>
      </c>
      <c r="B57" s="2216"/>
      <c r="C57" s="2216"/>
      <c r="D57" s="2216"/>
      <c r="E57" s="2216"/>
      <c r="F57" s="2216"/>
      <c r="G57" s="2216"/>
      <c r="H57" s="2216"/>
      <c r="I57" s="2216"/>
      <c r="J57" s="2216"/>
    </row>
    <row r="58" spans="1:17" ht="15">
      <c r="A58" s="655" t="s">
        <v>2949</v>
      </c>
      <c r="L58" s="656" t="s">
        <v>3490</v>
      </c>
    </row>
    <row r="59" spans="1:17" ht="73.5" customHeight="1">
      <c r="A59" s="2999" t="s">
        <v>2950</v>
      </c>
      <c r="B59" s="2999"/>
      <c r="C59" s="2999"/>
      <c r="D59" s="2999"/>
      <c r="E59" s="2999"/>
      <c r="F59" s="2999"/>
      <c r="G59" s="2999"/>
      <c r="H59" s="2999"/>
      <c r="I59" s="2999"/>
      <c r="J59" s="2999"/>
      <c r="L59" s="657">
        <f>'Closing term sheet'!C133</f>
        <v>497147</v>
      </c>
      <c r="M59" s="658"/>
      <c r="N59" s="658"/>
      <c r="O59" s="658"/>
    </row>
    <row r="60" spans="1:17" ht="7.5" customHeight="1">
      <c r="A60" s="2216"/>
      <c r="B60" s="2216"/>
      <c r="C60" s="2216"/>
      <c r="D60" s="2216"/>
      <c r="E60" s="2216"/>
      <c r="F60" s="2216"/>
      <c r="G60" s="2216"/>
      <c r="H60" s="2216"/>
      <c r="I60" s="2216"/>
      <c r="J60" s="2216"/>
      <c r="L60" s="659" t="s">
        <v>3491</v>
      </c>
      <c r="M60" s="660" t="s">
        <v>3496</v>
      </c>
      <c r="N60" s="661" t="s">
        <v>3493</v>
      </c>
      <c r="O60" s="659" t="s">
        <v>3492</v>
      </c>
      <c r="P60" s="660" t="s">
        <v>3495</v>
      </c>
      <c r="Q60" s="661" t="s">
        <v>3494</v>
      </c>
    </row>
    <row r="61" spans="1:17" ht="78.75" customHeight="1">
      <c r="A61" s="2996" t="s">
        <v>3390</v>
      </c>
      <c r="B61" s="2996"/>
      <c r="C61" s="2996"/>
      <c r="D61" s="2996"/>
      <c r="E61" s="2996"/>
      <c r="F61" s="2996"/>
      <c r="G61" s="2996"/>
      <c r="H61" s="2996"/>
      <c r="I61" s="2996"/>
      <c r="J61" s="662"/>
      <c r="L61" s="663">
        <f>'Part III-Sources of Funds'!I49</f>
        <v>7063293</v>
      </c>
      <c r="M61" s="664">
        <f ca="1">'Part IV-A-Uses of Funds'!$J$175</f>
        <v>883000</v>
      </c>
      <c r="N61" s="665">
        <f>'Part IV-A-Uses of Funds'!N168</f>
        <v>0.8</v>
      </c>
      <c r="O61" s="663">
        <f>'Part III-Sources of Funds'!I50</f>
        <v>3884811</v>
      </c>
      <c r="P61" s="664">
        <f ca="1">M61</f>
        <v>883000</v>
      </c>
      <c r="Q61" s="665">
        <f>'Part IV-A-Uses of Funds'!Q168</f>
        <v>0.44</v>
      </c>
    </row>
    <row r="62" spans="1:17" ht="18.75" customHeight="1">
      <c r="A62" s="666" t="s">
        <v>2951</v>
      </c>
    </row>
    <row r="63" spans="1:17" ht="159.75" customHeight="1">
      <c r="A63" s="2996" t="s">
        <v>4247</v>
      </c>
      <c r="B63" s="2996"/>
      <c r="C63" s="2996"/>
      <c r="D63" s="2996"/>
      <c r="E63" s="2996"/>
      <c r="F63" s="2996"/>
      <c r="G63" s="2996"/>
      <c r="H63" s="2996"/>
      <c r="I63" s="2996"/>
      <c r="J63" s="2996"/>
      <c r="L63" s="667">
        <f>'Part VII-Pro Forma'!K71</f>
        <v>6.5864878706634045E-7</v>
      </c>
      <c r="M63" s="3000" t="s">
        <v>3497</v>
      </c>
      <c r="N63" s="3001"/>
    </row>
    <row r="64" spans="1:17" ht="6" customHeight="1">
      <c r="A64" s="655"/>
    </row>
    <row r="65" spans="1:10" ht="15">
      <c r="A65" s="655" t="s">
        <v>2952</v>
      </c>
    </row>
    <row r="66" spans="1:10" ht="66.75" customHeight="1">
      <c r="A66" s="2996" t="s">
        <v>2953</v>
      </c>
      <c r="B66" s="2996"/>
      <c r="C66" s="2996"/>
      <c r="D66" s="2996"/>
      <c r="E66" s="2996"/>
      <c r="F66" s="2996"/>
      <c r="G66" s="2996"/>
      <c r="H66" s="2996"/>
      <c r="I66" s="2996"/>
      <c r="J66" s="2996"/>
    </row>
    <row r="67" spans="1:10" ht="36" customHeight="1">
      <c r="A67" s="2996" t="s">
        <v>2954</v>
      </c>
      <c r="B67" s="2996"/>
      <c r="C67" s="2996"/>
      <c r="D67" s="2996"/>
      <c r="E67" s="2996"/>
      <c r="F67" s="2996"/>
      <c r="G67" s="2996"/>
      <c r="H67" s="2996"/>
      <c r="I67" s="2996"/>
      <c r="J67" s="2996"/>
    </row>
    <row r="68" spans="1:10" ht="6" customHeight="1">
      <c r="A68" s="655"/>
    </row>
    <row r="69" spans="1:10" ht="15">
      <c r="A69" s="655" t="s">
        <v>2955</v>
      </c>
    </row>
    <row r="70" spans="1:10" ht="105.75" customHeight="1">
      <c r="A70" s="2976" t="s">
        <v>2956</v>
      </c>
      <c r="B70" s="2976"/>
      <c r="C70" s="2976"/>
      <c r="D70" s="2976"/>
      <c r="E70" s="2976"/>
      <c r="F70" s="2976"/>
      <c r="G70" s="2976"/>
      <c r="H70" s="2976"/>
      <c r="I70" s="2976"/>
      <c r="J70" s="2976"/>
    </row>
    <row r="71" spans="1:10" ht="6" customHeight="1">
      <c r="A71" s="655"/>
    </row>
    <row r="72" spans="1:10" ht="15">
      <c r="A72" s="655" t="s">
        <v>2957</v>
      </c>
    </row>
    <row r="73" spans="1:10" ht="66" customHeight="1">
      <c r="A73" s="2976" t="s">
        <v>2958</v>
      </c>
      <c r="B73" s="2976"/>
      <c r="C73" s="2976"/>
      <c r="D73" s="2976"/>
      <c r="E73" s="2976"/>
      <c r="F73" s="2976"/>
      <c r="G73" s="2976"/>
      <c r="H73" s="2976"/>
      <c r="I73" s="2976"/>
      <c r="J73" s="2976"/>
    </row>
    <row r="74" spans="1:10" s="2218" customFormat="1" ht="6" customHeight="1">
      <c r="A74" s="2976"/>
      <c r="B74" s="2976"/>
      <c r="C74" s="2976"/>
      <c r="D74" s="2976"/>
      <c r="E74" s="2976"/>
      <c r="F74" s="2976"/>
      <c r="G74" s="2976"/>
      <c r="H74" s="2976"/>
      <c r="I74" s="2976"/>
      <c r="J74" s="2976"/>
    </row>
    <row r="75" spans="1:10" ht="16.5" customHeight="1">
      <c r="A75" s="2220" t="s">
        <v>2959</v>
      </c>
      <c r="B75" s="654"/>
      <c r="C75" s="654"/>
      <c r="D75" s="2222"/>
      <c r="E75" s="654"/>
      <c r="F75" s="654"/>
      <c r="G75" s="654"/>
      <c r="H75" s="654"/>
      <c r="I75" s="654"/>
      <c r="J75" s="668"/>
    </row>
    <row r="76" spans="1:10" s="2218" customFormat="1" ht="63" customHeight="1">
      <c r="A76" s="2976" t="s">
        <v>4458</v>
      </c>
      <c r="B76" s="2976"/>
      <c r="C76" s="2976"/>
      <c r="D76" s="2976"/>
      <c r="E76" s="2976"/>
      <c r="F76" s="2976"/>
      <c r="G76" s="2976"/>
      <c r="H76" s="2976"/>
      <c r="I76" s="2976"/>
      <c r="J76" s="2976"/>
    </row>
    <row r="77" spans="1:10" s="2218" customFormat="1" ht="6" customHeight="1">
      <c r="A77" s="2216"/>
      <c r="B77" s="2216"/>
      <c r="C77" s="2216"/>
      <c r="D77" s="2216"/>
      <c r="E77" s="2216"/>
      <c r="F77" s="2216"/>
      <c r="G77" s="2216"/>
      <c r="H77" s="2216"/>
      <c r="I77" s="2216"/>
      <c r="J77" s="2216"/>
    </row>
    <row r="78" spans="1:10" ht="16.5" customHeight="1">
      <c r="A78" s="3003" t="s">
        <v>2960</v>
      </c>
      <c r="B78" s="3004"/>
      <c r="C78" s="3004"/>
      <c r="D78" s="654"/>
      <c r="E78" s="654"/>
      <c r="F78" s="654"/>
      <c r="G78" s="654"/>
      <c r="H78" s="654"/>
      <c r="I78" s="654"/>
      <c r="J78" s="668"/>
    </row>
    <row r="79" spans="1:10" ht="41.25" customHeight="1">
      <c r="A79" s="2996" t="s">
        <v>4248</v>
      </c>
      <c r="B79" s="3005"/>
      <c r="C79" s="3005"/>
      <c r="D79" s="3005"/>
      <c r="E79" s="3005"/>
      <c r="F79" s="3005"/>
      <c r="G79" s="3005"/>
      <c r="H79" s="3005"/>
      <c r="I79" s="3005"/>
      <c r="J79" s="3005"/>
    </row>
    <row r="80" spans="1:10" ht="6" customHeight="1">
      <c r="A80" s="669"/>
      <c r="B80" s="654"/>
      <c r="C80" s="654"/>
      <c r="D80" s="654"/>
      <c r="E80" s="654"/>
      <c r="F80" s="654"/>
      <c r="G80" s="654"/>
      <c r="H80" s="654"/>
      <c r="I80" s="654"/>
      <c r="J80" s="668"/>
    </row>
    <row r="81" spans="1:15" ht="15">
      <c r="A81" s="655" t="s">
        <v>2961</v>
      </c>
    </row>
    <row r="82" spans="1:15" ht="139.5" customHeight="1">
      <c r="A82" s="2996" t="s">
        <v>2962</v>
      </c>
      <c r="B82" s="2996"/>
      <c r="C82" s="2996"/>
      <c r="D82" s="2996"/>
      <c r="E82" s="2996"/>
      <c r="F82" s="2996"/>
      <c r="G82" s="2996"/>
      <c r="H82" s="2996"/>
      <c r="I82" s="2996"/>
      <c r="J82" s="2996"/>
      <c r="L82" s="3006" t="s">
        <v>2963</v>
      </c>
      <c r="M82" s="3006"/>
      <c r="N82" s="3006"/>
    </row>
    <row r="83" spans="1:15" ht="6" customHeight="1">
      <c r="A83" s="2219"/>
      <c r="B83" s="2219"/>
      <c r="C83" s="2219"/>
      <c r="D83" s="2219"/>
      <c r="E83" s="2219"/>
      <c r="F83" s="2219"/>
      <c r="G83" s="2219"/>
      <c r="H83" s="2219"/>
      <c r="I83" s="2219"/>
      <c r="J83" s="2219"/>
      <c r="L83" s="2221"/>
      <c r="M83" s="2221"/>
      <c r="N83" s="2221"/>
    </row>
    <row r="84" spans="1:15" ht="17.25" customHeight="1">
      <c r="A84" s="655" t="s">
        <v>2964</v>
      </c>
    </row>
    <row r="85" spans="1:15" ht="111" customHeight="1">
      <c r="A85" s="2996" t="s">
        <v>2965</v>
      </c>
      <c r="B85" s="2996"/>
      <c r="C85" s="2996"/>
      <c r="D85" s="2996"/>
      <c r="E85" s="2996"/>
      <c r="F85" s="2996"/>
      <c r="G85" s="2996"/>
      <c r="H85" s="2996"/>
      <c r="I85" s="2996"/>
      <c r="J85" s="2996"/>
      <c r="L85" s="3006" t="s">
        <v>2966</v>
      </c>
      <c r="M85" s="3006"/>
      <c r="N85" s="670" t="e">
        <f ca="1">'After-Tax Analysis'!G66</f>
        <v>#VALUE!</v>
      </c>
      <c r="O85" s="671" t="s">
        <v>2967</v>
      </c>
    </row>
    <row r="86" spans="1:15" ht="6" customHeight="1">
      <c r="A86" s="655"/>
    </row>
    <row r="87" spans="1:15" ht="15">
      <c r="A87" s="655" t="s">
        <v>2968</v>
      </c>
    </row>
    <row r="88" spans="1:15" ht="118.5" customHeight="1">
      <c r="A88" s="2976" t="s">
        <v>2969</v>
      </c>
      <c r="B88" s="2976"/>
      <c r="C88" s="2976"/>
      <c r="D88" s="2976"/>
      <c r="E88" s="2976"/>
      <c r="F88" s="2976"/>
      <c r="G88" s="2976"/>
      <c r="H88" s="2976"/>
      <c r="I88" s="2976"/>
      <c r="J88" s="2976"/>
    </row>
    <row r="89" spans="1:15" ht="20.25" customHeight="1">
      <c r="A89" s="2978" t="s">
        <v>2970</v>
      </c>
      <c r="B89" s="2978"/>
      <c r="C89" s="2978"/>
      <c r="D89" s="2976"/>
      <c r="E89" s="2216"/>
      <c r="F89" s="2216"/>
      <c r="G89" s="2216"/>
      <c r="H89" s="2216"/>
      <c r="I89" s="2216"/>
      <c r="J89" s="2216"/>
    </row>
    <row r="90" spans="1:15" ht="109.5" customHeight="1">
      <c r="A90" s="2994" t="s">
        <v>2971</v>
      </c>
      <c r="B90" s="2995"/>
      <c r="C90" s="2995"/>
      <c r="D90" s="2995"/>
      <c r="E90" s="2995"/>
      <c r="F90" s="2995"/>
      <c r="G90" s="2995"/>
      <c r="H90" s="2995"/>
      <c r="I90" s="2995"/>
      <c r="J90" s="2995"/>
    </row>
    <row r="91" spans="1:15" ht="11.25" customHeight="1">
      <c r="A91" s="655"/>
    </row>
    <row r="92" spans="1:15" ht="15">
      <c r="A92" s="655" t="s">
        <v>2972</v>
      </c>
    </row>
    <row r="93" spans="1:15" ht="122.25" customHeight="1">
      <c r="A93" s="2999" t="s">
        <v>2973</v>
      </c>
      <c r="B93" s="2999"/>
      <c r="C93" s="2999"/>
      <c r="D93" s="2999"/>
      <c r="E93" s="2999"/>
      <c r="F93" s="2999"/>
      <c r="G93" s="2999"/>
      <c r="H93" s="2999"/>
      <c r="I93" s="2999"/>
      <c r="J93" s="2999"/>
      <c r="L93" s="1253">
        <f>'Part VII-Pro Forma'!K71</f>
        <v>6.5864878706634045E-7</v>
      </c>
      <c r="M93" s="3002" t="s">
        <v>2974</v>
      </c>
      <c r="N93" s="3002"/>
    </row>
    <row r="94" spans="1:15" ht="11.25" hidden="1" customHeight="1">
      <c r="A94" s="2216"/>
      <c r="B94" s="2216"/>
      <c r="C94" s="2216"/>
      <c r="D94" s="2216"/>
      <c r="E94" s="2216"/>
      <c r="F94" s="2216"/>
      <c r="G94" s="2216"/>
      <c r="H94" s="2216"/>
      <c r="I94" s="2216"/>
      <c r="J94" s="2216"/>
    </row>
    <row r="95" spans="1:15" ht="12" hidden="1" customHeight="1">
      <c r="A95" s="2216"/>
      <c r="B95" s="2216"/>
      <c r="C95" s="2216"/>
      <c r="D95" s="2216"/>
      <c r="E95" s="2216"/>
      <c r="F95" s="2216"/>
      <c r="G95" s="2216"/>
      <c r="H95" s="2216"/>
      <c r="I95" s="2216"/>
      <c r="J95" s="668"/>
    </row>
    <row r="96" spans="1:15" ht="6" customHeight="1">
      <c r="A96" s="2216"/>
      <c r="B96" s="2216"/>
      <c r="C96" s="2216"/>
      <c r="D96" s="2216"/>
      <c r="E96" s="2216"/>
      <c r="F96" s="2216"/>
      <c r="G96" s="2216"/>
      <c r="H96" s="2216"/>
      <c r="I96" s="2216"/>
      <c r="J96" s="668"/>
    </row>
    <row r="97" spans="1:10" ht="17.25" customHeight="1">
      <c r="A97" s="2978" t="s">
        <v>2975</v>
      </c>
      <c r="B97" s="2978"/>
      <c r="C97" s="2978"/>
      <c r="D97" s="2216"/>
      <c r="E97" s="2216"/>
      <c r="F97" s="2216"/>
      <c r="G97" s="2216"/>
      <c r="H97" s="2216"/>
      <c r="I97" s="2216"/>
      <c r="J97" s="668"/>
    </row>
    <row r="98" spans="1:10" ht="37.5" customHeight="1">
      <c r="A98" s="2996" t="s">
        <v>2976</v>
      </c>
      <c r="B98" s="2996"/>
      <c r="C98" s="2996"/>
      <c r="D98" s="2996"/>
      <c r="E98" s="2996"/>
      <c r="F98" s="2996"/>
      <c r="G98" s="2996"/>
      <c r="H98" s="2996"/>
      <c r="I98" s="2996"/>
      <c r="J98" s="2996"/>
    </row>
    <row r="99" spans="1:10" ht="6" customHeight="1">
      <c r="A99" s="655"/>
    </row>
    <row r="100" spans="1:10" ht="15">
      <c r="A100" s="655" t="s">
        <v>2977</v>
      </c>
    </row>
    <row r="101" spans="1:10" ht="43.5" customHeight="1">
      <c r="A101" s="2976" t="s">
        <v>2978</v>
      </c>
      <c r="B101" s="2976"/>
      <c r="C101" s="2976"/>
      <c r="D101" s="2976"/>
      <c r="E101" s="2976"/>
      <c r="F101" s="2976"/>
      <c r="G101" s="2976"/>
      <c r="H101" s="2976"/>
      <c r="I101" s="2976"/>
      <c r="J101" s="2976"/>
    </row>
    <row r="102" spans="1:10" ht="6" customHeight="1">
      <c r="A102" s="2216"/>
      <c r="B102" s="2216"/>
      <c r="C102" s="2216"/>
      <c r="D102" s="2216"/>
      <c r="E102" s="2216"/>
      <c r="F102" s="2216"/>
      <c r="G102" s="2216"/>
      <c r="H102" s="2216"/>
      <c r="I102" s="2216"/>
      <c r="J102" s="2216"/>
    </row>
    <row r="103" spans="1:10" ht="15">
      <c r="A103" s="655" t="s">
        <v>2979</v>
      </c>
    </row>
    <row r="105" spans="1:10">
      <c r="A105" s="2997" t="s">
        <v>2980</v>
      </c>
      <c r="B105" s="2997"/>
      <c r="C105" s="2997"/>
      <c r="D105" s="2997"/>
      <c r="E105" s="2997"/>
      <c r="F105" s="2997"/>
      <c r="G105" s="2997"/>
      <c r="H105" s="2997"/>
      <c r="I105" s="2997"/>
      <c r="J105" s="2997"/>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2993" t="s">
        <v>5061</v>
      </c>
      <c r="B116" s="2993"/>
      <c r="C116" s="2993"/>
      <c r="D116" s="2993"/>
      <c r="E116" s="2993"/>
      <c r="H116" s="2993" t="s">
        <v>2984</v>
      </c>
      <c r="I116" s="2993"/>
      <c r="J116" s="2993"/>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fitToHeight="0" orientation="landscape"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zoomScalePageLayoutView="120" workbookViewId="0">
      <selection activeCell="E3" sqref="E3"/>
    </sheetView>
  </sheetViews>
  <sheetFormatPr defaultColWidth="9.140625" defaultRowHeight="14.25"/>
  <cols>
    <col min="1" max="1" width="22.7109375" style="649" customWidth="1"/>
    <col min="2" max="2" width="1.7109375" style="649" customWidth="1"/>
    <col min="3" max="3" width="13" style="649" customWidth="1"/>
    <col min="4" max="4" width="11.140625" style="649" customWidth="1"/>
    <col min="5" max="5" width="14.7109375" style="649" customWidth="1"/>
    <col min="6" max="6" width="15.140625" style="649" customWidth="1"/>
    <col min="7" max="7" width="11.7109375" style="649" customWidth="1"/>
    <col min="8" max="8" width="11.42578125" style="649" customWidth="1"/>
    <col min="9" max="9" width="10.42578125" style="649" customWidth="1"/>
    <col min="10" max="10" width="6" style="649" customWidth="1"/>
    <col min="11" max="11" width="12.7109375" style="649" customWidth="1"/>
    <col min="12" max="12" width="10.7109375" style="649" customWidth="1"/>
    <col min="13" max="13" width="26.140625" style="649" customWidth="1"/>
    <col min="14" max="14" width="9.140625" style="649"/>
    <col min="15" max="15" width="12.42578125" style="649" customWidth="1"/>
    <col min="16" max="16" width="9.140625" style="649"/>
    <col min="17" max="17" width="11.7109375" style="649" bestFit="1" customWidth="1"/>
    <col min="18" max="16384" width="9.140625" style="649"/>
  </cols>
  <sheetData>
    <row r="1" spans="1:15" ht="13.5" customHeight="1">
      <c r="A1" s="650" t="s">
        <v>3046</v>
      </c>
      <c r="B1" s="734"/>
      <c r="C1" s="649" t="str">
        <f>Overview!C8</f>
        <v>Abbington Sound</v>
      </c>
    </row>
    <row r="2" spans="1:15" ht="13.5" customHeight="1"/>
    <row r="3" spans="1:15" ht="13.5" customHeight="1">
      <c r="A3" s="650" t="s">
        <v>3047</v>
      </c>
      <c r="C3" s="649" t="s">
        <v>3048</v>
      </c>
      <c r="E3" s="735">
        <f>SUM('Part IV-A-Uses of Funds'!J149,'Part IV-A-Uses of Funds'!M149,'Part IV-A-Uses of Funds'!P149)</f>
        <v>14193388</v>
      </c>
      <c r="F3" s="1868" t="s">
        <v>3049</v>
      </c>
      <c r="H3" s="1296">
        <v>27.5</v>
      </c>
      <c r="I3" s="649" t="s">
        <v>2470</v>
      </c>
      <c r="K3" s="654" t="s">
        <v>3070</v>
      </c>
      <c r="M3" s="1868"/>
      <c r="O3" s="736"/>
    </row>
    <row r="4" spans="1:15" ht="13.5" customHeight="1">
      <c r="C4" s="649" t="s">
        <v>3555</v>
      </c>
      <c r="E4" s="735">
        <f>SUM('Part IV-A-Uses of Funds'!G85:H89)</f>
        <v>0</v>
      </c>
      <c r="F4" s="1868" t="s">
        <v>4460</v>
      </c>
      <c r="H4" s="650">
        <f>'Part III-Sources of Funds'!M38</f>
        <v>20</v>
      </c>
      <c r="I4" s="649" t="s">
        <v>2470</v>
      </c>
      <c r="K4" s="737" t="s">
        <v>3314</v>
      </c>
      <c r="M4" s="1868"/>
    </row>
    <row r="5" spans="1:15" ht="13.5" customHeight="1">
      <c r="C5" s="649" t="s">
        <v>3556</v>
      </c>
      <c r="E5" s="735">
        <f ca="1">SUM('Part IV-A-Uses of Funds'!G96:H102)</f>
        <v>151840</v>
      </c>
      <c r="F5" s="1868" t="s">
        <v>4459</v>
      </c>
      <c r="H5" s="1296">
        <v>15</v>
      </c>
      <c r="I5" s="649" t="s">
        <v>2470</v>
      </c>
      <c r="K5" s="736">
        <f>-E6</f>
        <v>-10948104</v>
      </c>
    </row>
    <row r="6" spans="1:15" ht="13.5" customHeight="1">
      <c r="C6" s="649" t="s">
        <v>3050</v>
      </c>
      <c r="E6" s="738">
        <f>'Part III-Sources of Funds'!$I$49+'Part III-Sources of Funds'!$I$50</f>
        <v>10948104</v>
      </c>
      <c r="F6" s="1868" t="s">
        <v>3051</v>
      </c>
      <c r="H6" s="739">
        <v>0.35</v>
      </c>
      <c r="K6" s="736" t="e">
        <f ca="1">C24</f>
        <v>#VALUE!</v>
      </c>
      <c r="M6" s="649" t="s">
        <v>3052</v>
      </c>
      <c r="O6" s="740">
        <f>Overview!K32</f>
        <v>0</v>
      </c>
    </row>
    <row r="7" spans="1:15" ht="13.5" customHeight="1">
      <c r="K7" s="736" t="e">
        <f ca="1">D24</f>
        <v>#VALUE!</v>
      </c>
      <c r="O7" s="741"/>
    </row>
    <row r="8" spans="1:15" ht="13.5" customHeight="1">
      <c r="A8" s="650" t="s">
        <v>2481</v>
      </c>
      <c r="C8" s="742">
        <v>1</v>
      </c>
      <c r="D8" s="742">
        <v>2</v>
      </c>
      <c r="E8" s="742">
        <v>3</v>
      </c>
      <c r="F8" s="742">
        <v>4</v>
      </c>
      <c r="G8" s="742">
        <v>5</v>
      </c>
      <c r="H8" s="742">
        <v>6</v>
      </c>
      <c r="I8" s="742">
        <v>7</v>
      </c>
      <c r="K8" s="736" t="e">
        <f ca="1">E24</f>
        <v>#VALUE!</v>
      </c>
      <c r="M8" s="649" t="s">
        <v>3053</v>
      </c>
      <c r="O8" s="1259" t="e">
        <f>'Part VII-Pro Forma'!$K$71+'Part VII-Pro Forma'!$K$72+'Part VII-Pro Forma'!$K$73</f>
        <v>#VALUE!</v>
      </c>
    </row>
    <row r="9" spans="1:15" ht="13.5" customHeight="1">
      <c r="A9" s="649" t="s">
        <v>3054</v>
      </c>
      <c r="C9" s="743">
        <f>'Part VII-Pro Forma'!B32</f>
        <v>462.06660168397502</v>
      </c>
      <c r="D9" s="743">
        <f>'Part VII-Pro Forma'!C32</f>
        <v>2997.0398976838987</v>
      </c>
      <c r="E9" s="743">
        <f>'Part VII-Pro Forma'!D32</f>
        <v>5485.6903596038537</v>
      </c>
      <c r="F9" s="743">
        <f>'Part VII-Pro Forma'!E32</f>
        <v>7924.4450617622424</v>
      </c>
      <c r="G9" s="743">
        <f>'Part VII-Pro Forma'!F32</f>
        <v>10308.572425893923</v>
      </c>
      <c r="H9" s="743">
        <f>'Part VII-Pro Forma'!G32</f>
        <v>12635.176432275977</v>
      </c>
      <c r="I9" s="743">
        <f>'Part VII-Pro Forma'!H32</f>
        <v>14898.190636602703</v>
      </c>
      <c r="K9" s="736" t="e">
        <f ca="1">F24</f>
        <v>#VALUE!</v>
      </c>
      <c r="N9" s="744" t="s">
        <v>3056</v>
      </c>
    </row>
    <row r="10" spans="1:15" ht="13.5" customHeight="1">
      <c r="A10" s="649" t="s">
        <v>3055</v>
      </c>
      <c r="C10" s="1256">
        <f>'Part III-Sources of Funds'!I38-'Part VII-Pro Forma'!B39</f>
        <v>188389.25727096573</v>
      </c>
      <c r="D10" s="745">
        <f>'Part VII-Pro Forma'!B39-'Part VII-Pro Forma'!C39</f>
        <v>190281.80838107504</v>
      </c>
      <c r="E10" s="745">
        <f>'Part VII-Pro Forma'!C39-'Part VII-Pro Forma'!D39</f>
        <v>192193.37198561337</v>
      </c>
      <c r="F10" s="745">
        <f>'Part VII-Pro Forma'!D39-'Part VII-Pro Forma'!E39</f>
        <v>194124.13908335567</v>
      </c>
      <c r="G10" s="745">
        <f>'Part VII-Pro Forma'!E39-'Part VII-Pro Forma'!F39</f>
        <v>196074.30259184446</v>
      </c>
      <c r="H10" s="745">
        <f>'Part VII-Pro Forma'!F39-'Part VII-Pro Forma'!G39</f>
        <v>198044.05736666359</v>
      </c>
      <c r="I10" s="745">
        <f>'Part VII-Pro Forma'!G39-'Part VII-Pro Forma'!H39</f>
        <v>200033.60022090748</v>
      </c>
      <c r="K10" s="736" t="e">
        <f ca="1">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 ca="1">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 ca="1">I24</f>
        <v>#VALUE!</v>
      </c>
      <c r="M12" s="649" t="s">
        <v>3059</v>
      </c>
      <c r="N12" s="746">
        <v>0.06</v>
      </c>
      <c r="O12" s="741">
        <f>N12*O6</f>
        <v>0</v>
      </c>
    </row>
    <row r="13" spans="1:15" ht="13.5" customHeight="1">
      <c r="A13" s="747" t="s">
        <v>3558</v>
      </c>
      <c r="B13" s="748"/>
      <c r="C13" s="1257">
        <f>'Part VII-Pro Forma'!B22</f>
        <v>-21000</v>
      </c>
      <c r="D13" s="1257">
        <f>'Part VII-Pro Forma'!C22</f>
        <v>-21630</v>
      </c>
      <c r="E13" s="1257">
        <f>'Part VII-Pro Forma'!D22</f>
        <v>-22278.899999999998</v>
      </c>
      <c r="F13" s="1257">
        <f>'Part VII-Pro Forma'!E22</f>
        <v>-22947.267</v>
      </c>
      <c r="G13" s="1257">
        <f>'Part VII-Pro Forma'!F22</f>
        <v>-23635.685009999997</v>
      </c>
      <c r="H13" s="1257">
        <f>'Part VII-Pro Forma'!G22</f>
        <v>-24344.755560299996</v>
      </c>
      <c r="I13" s="1257">
        <f>'Part VII-Pro Forma'!H22</f>
        <v>-25075.098227109</v>
      </c>
      <c r="K13" s="736" t="e">
        <f ca="1">C44</f>
        <v>#VALUE!</v>
      </c>
      <c r="O13" s="741"/>
    </row>
    <row r="14" spans="1:15" ht="13.5" customHeight="1">
      <c r="A14" s="747" t="s">
        <v>3559</v>
      </c>
      <c r="B14" s="748"/>
      <c r="C14" s="1257">
        <f>'Part VII-Pro Forma'!B31</f>
        <v>-53713.73333333333</v>
      </c>
      <c r="D14" s="1257">
        <f>'Part VII-Pro Forma'!C31</f>
        <v>-53713.73333333333</v>
      </c>
      <c r="E14" s="1257">
        <f>'Part VII-Pro Forma'!D31</f>
        <v>-53713.73333333333</v>
      </c>
      <c r="F14" s="1257">
        <f>'Part VII-Pro Forma'!E31</f>
        <v>-53713.73333333333</v>
      </c>
      <c r="G14" s="1257">
        <f>'Part VII-Pro Forma'!F31</f>
        <v>-53713.73333333333</v>
      </c>
      <c r="H14" s="1257">
        <f>'Part VII-Pro Forma'!G31</f>
        <v>-53713.73333333333</v>
      </c>
      <c r="I14" s="1257">
        <f>'Part VII-Pro Forma'!H31</f>
        <v>-53713.73333333333</v>
      </c>
      <c r="K14" s="736" t="e">
        <f ca="1">D44</f>
        <v>#VALUE!</v>
      </c>
      <c r="M14" s="649" t="s">
        <v>3062</v>
      </c>
      <c r="O14" s="741" t="e">
        <f>O6-O8-O12</f>
        <v>#VALUE!</v>
      </c>
    </row>
    <row r="15" spans="1:15" ht="13.5" customHeight="1">
      <c r="A15" s="749" t="s">
        <v>3058</v>
      </c>
      <c r="C15" s="750">
        <f t="shared" ref="C15:I15" si="0">$E$3/$H$3</f>
        <v>516123.2</v>
      </c>
      <c r="D15" s="750">
        <f t="shared" si="0"/>
        <v>516123.2</v>
      </c>
      <c r="E15" s="750">
        <f t="shared" si="0"/>
        <v>516123.2</v>
      </c>
      <c r="F15" s="750">
        <f t="shared" si="0"/>
        <v>516123.2</v>
      </c>
      <c r="G15" s="750">
        <f t="shared" si="0"/>
        <v>516123.2</v>
      </c>
      <c r="H15" s="750">
        <f t="shared" si="0"/>
        <v>516123.2</v>
      </c>
      <c r="I15" s="750">
        <f t="shared" si="0"/>
        <v>516123.2</v>
      </c>
      <c r="K15" s="736" t="e">
        <f ca="1">E44</f>
        <v>#VALUE!</v>
      </c>
      <c r="O15" s="741"/>
    </row>
    <row r="16" spans="1:15" ht="13.5" customHeight="1">
      <c r="A16" s="749" t="s">
        <v>3060</v>
      </c>
      <c r="C16" s="750">
        <f ca="1">IF(C$8&lt;=$H$4,($E$4/$H$4),0)+IF(C$8&lt;=$H$5,($E$5/$H$5),0)</f>
        <v>10122.666666666666</v>
      </c>
      <c r="D16" s="750">
        <f t="shared" ref="D16:I16" ca="1" si="1">IF(D$8&lt;=$H$4,($E$4/$H$4),0)+IF(D$8&lt;=$H$5,($E$5/$H$5),0)</f>
        <v>10122.666666666666</v>
      </c>
      <c r="E16" s="750">
        <f t="shared" ca="1" si="1"/>
        <v>10122.666666666666</v>
      </c>
      <c r="F16" s="750">
        <f t="shared" ca="1" si="1"/>
        <v>10122.666666666666</v>
      </c>
      <c r="G16" s="750">
        <f t="shared" ca="1" si="1"/>
        <v>10122.666666666666</v>
      </c>
      <c r="H16" s="750">
        <f t="shared" ca="1" si="1"/>
        <v>10122.666666666666</v>
      </c>
      <c r="I16" s="750">
        <f t="shared" ca="1" si="1"/>
        <v>10122.666666666666</v>
      </c>
      <c r="K16" s="736" t="e">
        <f ca="1">F44</f>
        <v>#VALUE!</v>
      </c>
      <c r="M16" s="649" t="s">
        <v>3064</v>
      </c>
      <c r="O16" s="741">
        <f>E3</f>
        <v>14193388</v>
      </c>
    </row>
    <row r="17" spans="1:17" ht="13.5" customHeight="1">
      <c r="A17" s="749" t="s">
        <v>3061</v>
      </c>
      <c r="C17" s="745" t="e">
        <f t="shared" ref="C17:I17" ca="1" si="2">C9+C10+C11+C12+C13+C14-C15-C16</f>
        <v>#VALUE!</v>
      </c>
      <c r="D17" s="745" t="e">
        <f t="shared" ca="1" si="2"/>
        <v>#VALUE!</v>
      </c>
      <c r="E17" s="745" t="e">
        <f t="shared" ca="1" si="2"/>
        <v>#VALUE!</v>
      </c>
      <c r="F17" s="745" t="e">
        <f t="shared" ca="1" si="2"/>
        <v>#VALUE!</v>
      </c>
      <c r="G17" s="745" t="e">
        <f t="shared" ca="1" si="2"/>
        <v>#VALUE!</v>
      </c>
      <c r="H17" s="745" t="e">
        <f t="shared" ca="1" si="2"/>
        <v>#VALUE!</v>
      </c>
      <c r="I17" s="745" t="e">
        <f t="shared" ca="1" si="2"/>
        <v>#VALUE!</v>
      </c>
      <c r="K17" s="736" t="e">
        <f ca="1">G44</f>
        <v>#VALUE!</v>
      </c>
      <c r="M17" s="649" t="s">
        <v>3058</v>
      </c>
      <c r="O17" s="741">
        <f>20*(E3/H3)</f>
        <v>10322464</v>
      </c>
    </row>
    <row r="18" spans="1:17" ht="13.5" customHeight="1">
      <c r="A18" s="749" t="s">
        <v>3063</v>
      </c>
      <c r="C18" s="751" t="e">
        <f t="shared" ref="C18:I18" ca="1" si="3">C17*$H$6</f>
        <v>#VALUE!</v>
      </c>
      <c r="D18" s="751" t="e">
        <f t="shared" ca="1" si="3"/>
        <v>#VALUE!</v>
      </c>
      <c r="E18" s="751" t="e">
        <f t="shared" ca="1" si="3"/>
        <v>#VALUE!</v>
      </c>
      <c r="F18" s="751" t="e">
        <f t="shared" ca="1" si="3"/>
        <v>#VALUE!</v>
      </c>
      <c r="G18" s="751" t="e">
        <f t="shared" ca="1" si="3"/>
        <v>#VALUE!</v>
      </c>
      <c r="H18" s="751" t="e">
        <f t="shared" ca="1" si="3"/>
        <v>#VALUE!</v>
      </c>
      <c r="I18" s="751" t="e">
        <f t="shared" ca="1" si="3"/>
        <v>#VALUE!</v>
      </c>
      <c r="K18" s="736" t="e">
        <f ca="1">H44</f>
        <v>#VALUE!</v>
      </c>
      <c r="O18" s="741"/>
    </row>
    <row r="19" spans="1:17" ht="13.5" customHeight="1">
      <c r="A19" s="749"/>
      <c r="C19" s="743"/>
      <c r="D19" s="743"/>
      <c r="E19" s="743"/>
      <c r="F19" s="743"/>
      <c r="G19" s="743"/>
      <c r="H19" s="743"/>
      <c r="I19" s="743"/>
      <c r="K19" s="736" t="e">
        <f ca="1">I44</f>
        <v>#VALUE!</v>
      </c>
      <c r="M19" s="649" t="s">
        <v>3068</v>
      </c>
      <c r="O19" s="741">
        <f>O16-O17</f>
        <v>3870924</v>
      </c>
    </row>
    <row r="20" spans="1:17" ht="13.5" customHeight="1">
      <c r="A20" s="649" t="s">
        <v>3065</v>
      </c>
      <c r="C20" s="745" t="e">
        <f t="shared" ref="C20:I20" ca="1" si="4">C9-C18</f>
        <v>#VALUE!</v>
      </c>
      <c r="D20" s="745" t="e">
        <f t="shared" ca="1" si="4"/>
        <v>#VALUE!</v>
      </c>
      <c r="E20" s="745" t="e">
        <f t="shared" ca="1" si="4"/>
        <v>#VALUE!</v>
      </c>
      <c r="F20" s="745" t="e">
        <f t="shared" ca="1" si="4"/>
        <v>#VALUE!</v>
      </c>
      <c r="G20" s="745" t="e">
        <f t="shared" ca="1" si="4"/>
        <v>#VALUE!</v>
      </c>
      <c r="H20" s="745" t="e">
        <f t="shared" ca="1" si="4"/>
        <v>#VALUE!</v>
      </c>
      <c r="I20" s="745" t="e">
        <f t="shared" ca="1" si="4"/>
        <v>#VALUE!</v>
      </c>
      <c r="K20" s="736" t="e">
        <f ca="1">C64</f>
        <v>#VALUE!</v>
      </c>
      <c r="O20" s="741"/>
    </row>
    <row r="21" spans="1:17" ht="13.5" customHeight="1">
      <c r="A21" s="649" t="s">
        <v>3066</v>
      </c>
      <c r="C21" s="751">
        <f ca="1">'Part IV-A-Uses of Funds'!$J$175</f>
        <v>883000</v>
      </c>
      <c r="D21" s="751">
        <f t="shared" ref="D21:I21" ca="1" si="5">C21</f>
        <v>883000</v>
      </c>
      <c r="E21" s="751">
        <f t="shared" ca="1" si="5"/>
        <v>883000</v>
      </c>
      <c r="F21" s="751">
        <f t="shared" ca="1" si="5"/>
        <v>883000</v>
      </c>
      <c r="G21" s="751">
        <f t="shared" ca="1" si="5"/>
        <v>883000</v>
      </c>
      <c r="H21" s="751">
        <f t="shared" ca="1" si="5"/>
        <v>883000</v>
      </c>
      <c r="I21" s="751">
        <f t="shared" ca="1" si="5"/>
        <v>883000</v>
      </c>
      <c r="J21" s="649" t="s">
        <v>243</v>
      </c>
      <c r="K21" s="736" t="e">
        <f>D64</f>
        <v>#VALUE!</v>
      </c>
      <c r="O21" s="741"/>
    </row>
    <row r="22" spans="1:17" ht="13.5" customHeight="1">
      <c r="A22" s="649" t="s">
        <v>3067</v>
      </c>
      <c r="C22" s="751">
        <f ca="1">C21</f>
        <v>883000</v>
      </c>
      <c r="D22" s="751">
        <f t="shared" ref="D22:I22" ca="1" si="6">D21</f>
        <v>883000</v>
      </c>
      <c r="E22" s="751">
        <f t="shared" ca="1" si="6"/>
        <v>883000</v>
      </c>
      <c r="F22" s="751">
        <f t="shared" ca="1" si="6"/>
        <v>883000</v>
      </c>
      <c r="G22" s="751">
        <f t="shared" ca="1" si="6"/>
        <v>883000</v>
      </c>
      <c r="H22" s="751">
        <f t="shared" ca="1" si="6"/>
        <v>883000</v>
      </c>
      <c r="I22" s="751">
        <f t="shared" ca="1" si="6"/>
        <v>883000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3870924</v>
      </c>
    </row>
    <row r="24" spans="1:17" ht="13.5" customHeight="1">
      <c r="A24" s="649" t="s">
        <v>3070</v>
      </c>
      <c r="C24" s="745" t="e">
        <f t="shared" ref="C24:I24" ca="1" si="7">SUM(C20:C23)</f>
        <v>#VALUE!</v>
      </c>
      <c r="D24" s="745" t="e">
        <f t="shared" ca="1" si="7"/>
        <v>#VALUE!</v>
      </c>
      <c r="E24" s="745" t="e">
        <f t="shared" ca="1" si="7"/>
        <v>#VALUE!</v>
      </c>
      <c r="F24" s="745" t="e">
        <f t="shared" ca="1" si="7"/>
        <v>#VALUE!</v>
      </c>
      <c r="G24" s="745" t="e">
        <f t="shared" ca="1" si="7"/>
        <v>#VALUE!</v>
      </c>
      <c r="H24" s="745" t="e">
        <f t="shared" ca="1" si="7"/>
        <v>#VALUE!</v>
      </c>
      <c r="I24" s="745" t="e">
        <f t="shared" ca="1" si="7"/>
        <v>#VALUE!</v>
      </c>
      <c r="K24" s="736" t="e">
        <f>G64</f>
        <v>#VALUE!</v>
      </c>
      <c r="O24" s="741"/>
    </row>
    <row r="25" spans="1:17" ht="13.5" customHeight="1">
      <c r="K25" s="736" t="e">
        <f>H64</f>
        <v>#VALUE!</v>
      </c>
      <c r="M25" s="649" t="s">
        <v>3072</v>
      </c>
      <c r="O25" s="741">
        <f>O22-O23</f>
        <v>-3870924</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3054</v>
      </c>
      <c r="C29" s="743">
        <f>'Part VII-Pro Forma'!I32</f>
        <v>17095.371986367281</v>
      </c>
      <c r="D29" s="743">
        <f>'Part VII-Pro Forma'!J32</f>
        <v>19220.294430319169</v>
      </c>
      <c r="E29" s="743">
        <f>'Part VII-Pro Forma'!K32</f>
        <v>21268.342314358051</v>
      </c>
      <c r="F29" s="743">
        <f>'Part VII-Pro Forma'!B64</f>
        <v>23234.703557021516</v>
      </c>
      <c r="G29" s="743">
        <f>'Part VII-Pro Forma'!C64</f>
        <v>25114.362597510459</v>
      </c>
      <c r="H29" s="743">
        <f>'Part VII-Pro Forma'!D64</f>
        <v>26901.09310897097</v>
      </c>
      <c r="I29" s="743">
        <f>'Part VII-Pro Forma'!E64</f>
        <v>28589.450469526702</v>
      </c>
      <c r="N29" s="754"/>
      <c r="O29" s="754"/>
    </row>
    <row r="30" spans="1:17" ht="13.5" customHeight="1">
      <c r="A30" s="649" t="s">
        <v>3055</v>
      </c>
      <c r="C30" s="745">
        <f>'Part VII-Pro Forma'!H39-'Part VII-Pro Forma'!I39</f>
        <v>202043.12994484883</v>
      </c>
      <c r="D30" s="745">
        <f>'Part VII-Pro Forma'!I39-'Part VII-Pro Forma'!J39</f>
        <v>204072.84732579812</v>
      </c>
      <c r="E30" s="745">
        <f>'Part VII-Pro Forma'!J39-'Part VII-Pro Forma'!K39</f>
        <v>206122.95516816899</v>
      </c>
      <c r="F30" s="1254">
        <f>'Part VII-Pro Forma'!K39-'Part VII-Pro Forma'!B71</f>
        <v>208193.65831373842</v>
      </c>
      <c r="G30" s="1254">
        <f>'Part VII-Pro Forma'!B71-'Part VII-Pro Forma'!C71</f>
        <v>210285.16366211744</v>
      </c>
      <c r="H30" s="1254">
        <f>'Part VII-Pro Forma'!C71-'Part VII-Pro Forma'!D71</f>
        <v>212397.68019142142</v>
      </c>
      <c r="I30" s="1254">
        <f>'Part VII-Pro Forma'!D71-'Part VII-Pro Forma'!E71</f>
        <v>214531.41897915234</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-774184.8</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-25827.35117392227</v>
      </c>
      <c r="D33" s="1257">
        <f>'Part VII-Pro Forma'!J22</f>
        <v>-26602.171709139933</v>
      </c>
      <c r="E33" s="1257">
        <f>'Part VII-Pro Forma'!K22</f>
        <v>-27400.236860414134</v>
      </c>
      <c r="F33" s="1257">
        <f>'Part VII-Pro Forma'!B54</f>
        <v>-28222.243966226557</v>
      </c>
      <c r="G33" s="1257">
        <f>'Part VII-Pro Forma'!C54</f>
        <v>-29068.911285213355</v>
      </c>
      <c r="H33" s="1257">
        <f>'Part VII-Pro Forma'!D54</f>
        <v>-29940.978623769752</v>
      </c>
      <c r="I33" s="1257">
        <f>'Part VII-Pro Forma'!E54</f>
        <v>-30839.207982482843</v>
      </c>
      <c r="K33" s="649" t="s">
        <v>243</v>
      </c>
      <c r="M33" s="649" t="s">
        <v>3075</v>
      </c>
      <c r="O33" s="743" t="e">
        <f>O14-O31</f>
        <v>#VALUE!</v>
      </c>
    </row>
    <row r="34" spans="1:15" ht="13.5" customHeight="1">
      <c r="A34" s="747" t="s">
        <v>3559</v>
      </c>
      <c r="B34" s="748"/>
      <c r="C34" s="1257">
        <f>'Part VII-Pro Forma'!I31</f>
        <v>-53713.73333333333</v>
      </c>
      <c r="D34" s="1257">
        <f>'Part VII-Pro Forma'!J31</f>
        <v>-53713.73333333333</v>
      </c>
      <c r="E34" s="1257">
        <f>'Part VII-Pro Forma'!K31</f>
        <v>-53713.73333333333</v>
      </c>
      <c r="F34" s="1257">
        <f>'Part VII-Pro Forma'!B63</f>
        <v>-53713.73333333333</v>
      </c>
      <c r="G34" s="1257">
        <f>'Part VII-Pro Forma'!C63</f>
        <v>-53713.73333333333</v>
      </c>
      <c r="H34" s="1257">
        <f>'Part VII-Pro Forma'!D63</f>
        <v>-53713.73333333333</v>
      </c>
      <c r="I34" s="1257">
        <f>'Part VII-Pro Forma'!E63</f>
        <v>-53713.73333333333</v>
      </c>
    </row>
    <row r="35" spans="1:15" ht="13.5" customHeight="1">
      <c r="A35" s="749" t="s">
        <v>3058</v>
      </c>
      <c r="C35" s="750">
        <f t="shared" ref="C35:I35" si="8">$E$3/$H$3</f>
        <v>516123.2</v>
      </c>
      <c r="D35" s="750">
        <f t="shared" si="8"/>
        <v>516123.2</v>
      </c>
      <c r="E35" s="750">
        <f t="shared" si="8"/>
        <v>516123.2</v>
      </c>
      <c r="F35" s="750">
        <f t="shared" si="8"/>
        <v>516123.2</v>
      </c>
      <c r="G35" s="750">
        <f t="shared" si="8"/>
        <v>516123.2</v>
      </c>
      <c r="H35" s="750">
        <f t="shared" si="8"/>
        <v>516123.2</v>
      </c>
      <c r="I35" s="750">
        <f t="shared" si="8"/>
        <v>516123.2</v>
      </c>
    </row>
    <row r="36" spans="1:15" ht="13.5" customHeight="1">
      <c r="A36" s="749" t="s">
        <v>3060</v>
      </c>
      <c r="C36" s="743">
        <f ca="1">IF(C$28&lt;=$H$4,($E$4/$H$4),0)+IF(C$28&lt;=$H$5,($E$5/$H$5),0)</f>
        <v>10122.666666666666</v>
      </c>
      <c r="D36" s="743">
        <f t="shared" ref="D36:I36" ca="1" si="9">IF(D$28&lt;=$H$4,($E$4/$H$4),0)+IF(D$28&lt;=$H$5,($E$5/$H$5),0)</f>
        <v>10122.666666666666</v>
      </c>
      <c r="E36" s="743">
        <f t="shared" ca="1" si="9"/>
        <v>10122.666666666666</v>
      </c>
      <c r="F36" s="743">
        <f t="shared" ca="1" si="9"/>
        <v>10122.666666666666</v>
      </c>
      <c r="G36" s="743">
        <f t="shared" ca="1" si="9"/>
        <v>10122.666666666666</v>
      </c>
      <c r="H36" s="743">
        <f t="shared" ca="1" si="9"/>
        <v>10122.666666666666</v>
      </c>
      <c r="I36" s="743">
        <f t="shared" ca="1" si="9"/>
        <v>10122.666666666666</v>
      </c>
    </row>
    <row r="37" spans="1:15" ht="13.5" customHeight="1">
      <c r="A37" s="749" t="s">
        <v>3061</v>
      </c>
      <c r="C37" s="745" t="e">
        <f t="shared" ref="C37:I37" ca="1" si="10">C29+C30+C31+C32+C33+C34-C35-C36</f>
        <v>#VALUE!</v>
      </c>
      <c r="D37" s="745" t="e">
        <f t="shared" ca="1" si="10"/>
        <v>#VALUE!</v>
      </c>
      <c r="E37" s="745" t="e">
        <f t="shared" ca="1" si="10"/>
        <v>#VALUE!</v>
      </c>
      <c r="F37" s="745" t="e">
        <f t="shared" ca="1" si="10"/>
        <v>#VALUE!</v>
      </c>
      <c r="G37" s="745" t="e">
        <f t="shared" ca="1" si="10"/>
        <v>#VALUE!</v>
      </c>
      <c r="H37" s="745" t="e">
        <f t="shared" ca="1" si="10"/>
        <v>#VALUE!</v>
      </c>
      <c r="I37" s="745" t="e">
        <f t="shared" ca="1" si="10"/>
        <v>#VALUE!</v>
      </c>
    </row>
    <row r="38" spans="1:15" ht="13.5" customHeight="1">
      <c r="A38" s="649" t="s">
        <v>3063</v>
      </c>
      <c r="C38" s="751" t="e">
        <f t="shared" ref="C38:I38" ca="1" si="11">C37*$H$6</f>
        <v>#VALUE!</v>
      </c>
      <c r="D38" s="751" t="e">
        <f t="shared" ca="1" si="11"/>
        <v>#VALUE!</v>
      </c>
      <c r="E38" s="751" t="e">
        <f t="shared" ca="1" si="11"/>
        <v>#VALUE!</v>
      </c>
      <c r="F38" s="751" t="e">
        <f t="shared" ca="1" si="11"/>
        <v>#VALUE!</v>
      </c>
      <c r="G38" s="751" t="e">
        <f t="shared" ca="1" si="11"/>
        <v>#VALUE!</v>
      </c>
      <c r="H38" s="751" t="e">
        <f t="shared" ca="1" si="11"/>
        <v>#VALUE!</v>
      </c>
      <c r="I38" s="751" t="e">
        <f t="shared" ca="1" si="11"/>
        <v>#VALUE!</v>
      </c>
    </row>
    <row r="39" spans="1:15" ht="13.5" customHeight="1">
      <c r="C39" s="745"/>
      <c r="D39" s="745"/>
      <c r="E39" s="745"/>
      <c r="F39" s="745"/>
      <c r="G39" s="745"/>
      <c r="H39" s="745"/>
      <c r="I39" s="745"/>
    </row>
    <row r="40" spans="1:15" ht="13.5" customHeight="1">
      <c r="A40" s="649" t="s">
        <v>3065</v>
      </c>
      <c r="C40" s="745" t="e">
        <f t="shared" ref="C40:I40" ca="1" si="12">C29-C38</f>
        <v>#VALUE!</v>
      </c>
      <c r="D40" s="745" t="e">
        <f t="shared" ca="1" si="12"/>
        <v>#VALUE!</v>
      </c>
      <c r="E40" s="745" t="e">
        <f t="shared" ca="1" si="12"/>
        <v>#VALUE!</v>
      </c>
      <c r="F40" s="745" t="e">
        <f t="shared" ca="1" si="12"/>
        <v>#VALUE!</v>
      </c>
      <c r="G40" s="745" t="e">
        <f t="shared" ca="1" si="12"/>
        <v>#VALUE!</v>
      </c>
      <c r="H40" s="745" t="e">
        <f t="shared" ca="1" si="12"/>
        <v>#VALUE!</v>
      </c>
      <c r="I40" s="745" t="e">
        <f t="shared" ca="1" si="12"/>
        <v>#VALUE!</v>
      </c>
    </row>
    <row r="41" spans="1:15" ht="13.5" customHeight="1">
      <c r="A41" s="649" t="s">
        <v>3066</v>
      </c>
      <c r="C41" s="751">
        <f ca="1">C21</f>
        <v>883000</v>
      </c>
      <c r="D41" s="751">
        <f ca="1">C41</f>
        <v>883000</v>
      </c>
      <c r="E41" s="751">
        <f ca="1">D41</f>
        <v>883000</v>
      </c>
      <c r="F41" s="751">
        <v>0</v>
      </c>
      <c r="G41" s="751">
        <v>0</v>
      </c>
      <c r="H41" s="751">
        <v>0</v>
      </c>
      <c r="I41" s="751">
        <v>0</v>
      </c>
    </row>
    <row r="42" spans="1:15" ht="13.5" customHeight="1">
      <c r="A42" s="649" t="s">
        <v>3067</v>
      </c>
      <c r="C42" s="751">
        <f ca="1">C22</f>
        <v>883000</v>
      </c>
      <c r="D42" s="751">
        <f ca="1">C42</f>
        <v>883000</v>
      </c>
      <c r="E42" s="751">
        <f ca="1">D42</f>
        <v>883000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ca="1" si="13">SUM(C40:C43)</f>
        <v>#VALUE!</v>
      </c>
      <c r="D44" s="745" t="e">
        <f t="shared" ca="1" si="13"/>
        <v>#VALUE!</v>
      </c>
      <c r="E44" s="745" t="e">
        <f t="shared" ca="1" si="13"/>
        <v>#VALUE!</v>
      </c>
      <c r="F44" s="745" t="e">
        <f t="shared" ca="1" si="13"/>
        <v>#VALUE!</v>
      </c>
      <c r="G44" s="745" t="e">
        <f t="shared" ca="1" si="13"/>
        <v>#VALUE!</v>
      </c>
      <c r="H44" s="745" t="e">
        <f t="shared" ca="1" si="13"/>
        <v>#VALUE!</v>
      </c>
      <c r="I44" s="745" t="e">
        <f t="shared" ca="1"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3054</v>
      </c>
      <c r="C49" s="743">
        <f>'Part VII-Pro Forma'!F64</f>
        <v>30173.763983325924</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216686.59322328819</v>
      </c>
      <c r="D50" s="1255">
        <f>'Part VII-Pro Forma'!F71-'Part VII-Pro Forma'!G71</f>
        <v>218863.41826358577</v>
      </c>
      <c r="E50" s="1255">
        <f>'Part VII-Pro Forma'!G71-'Part VII-Pro Forma'!H71</f>
        <v>221062.11160309636</v>
      </c>
      <c r="F50" s="1255">
        <f>'Part VII-Pro Forma'!H71-'Part VII-Pro Forma'!I71</f>
        <v>223282.89292989857</v>
      </c>
      <c r="G50" s="1255">
        <f>'Part VII-Pro Forma'!I71-'Part VII-Pro Forma'!J71</f>
        <v>225525.9841390489</v>
      </c>
      <c r="H50" s="1255">
        <f>'Part VII-Pro Forma'!J71-'Part VII-Pro Forma'!K71</f>
        <v>227791.60935475267</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-31764.384221957331</v>
      </c>
      <c r="D53" s="1257">
        <f>'Part VII-Pro Forma'!G54</f>
        <v>-32717.315748616053</v>
      </c>
      <c r="E53" s="1257">
        <f>'Part VII-Pro Forma'!H54</f>
        <v>-33698.835221074529</v>
      </c>
      <c r="F53" s="1257">
        <f>'Part VII-Pro Forma'!I54</f>
        <v>-34709.800277706767</v>
      </c>
      <c r="G53" s="1257">
        <f>'Part VII-Pro Forma'!J54</f>
        <v>-35751.094286037966</v>
      </c>
      <c r="H53" s="1257">
        <f>'Part VII-Pro Forma'!K54</f>
        <v>-36823.627114619107</v>
      </c>
    </row>
    <row r="54" spans="1:10" ht="13.5" customHeight="1">
      <c r="A54" s="747" t="s">
        <v>3559</v>
      </c>
      <c r="C54" s="1258">
        <f>'Part VII-Pro Forma'!F63</f>
        <v>-53713.73333333333</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516123.2</v>
      </c>
      <c r="D55" s="750">
        <f t="shared" si="14"/>
        <v>516123.2</v>
      </c>
      <c r="E55" s="750">
        <f t="shared" si="14"/>
        <v>516123.2</v>
      </c>
      <c r="F55" s="750">
        <f t="shared" si="14"/>
        <v>516123.2</v>
      </c>
      <c r="G55" s="750">
        <f t="shared" si="14"/>
        <v>516123.2</v>
      </c>
      <c r="H55" s="750">
        <f t="shared" si="14"/>
        <v>516123.2</v>
      </c>
    </row>
    <row r="56" spans="1:10" ht="13.5" customHeight="1">
      <c r="A56" s="749" t="s">
        <v>3060</v>
      </c>
      <c r="C56" s="743">
        <f t="shared" ref="C56:H56" ca="1" si="15">IF(C$48&lt;=$H$4,($E$4/$H$4),0)+IF(C$48&lt;=$H$5,($E$5/$H$5),0)</f>
        <v>10122.666666666666</v>
      </c>
      <c r="D56" s="743">
        <f t="shared" si="15"/>
        <v>0</v>
      </c>
      <c r="E56" s="743">
        <f t="shared" si="15"/>
        <v>0</v>
      </c>
      <c r="F56" s="743">
        <f t="shared" si="15"/>
        <v>0</v>
      </c>
      <c r="G56" s="743">
        <f t="shared" si="15"/>
        <v>0</v>
      </c>
      <c r="H56" s="743">
        <f t="shared" si="15"/>
        <v>0</v>
      </c>
    </row>
    <row r="57" spans="1:10" ht="13.5" customHeight="1">
      <c r="A57" s="749" t="s">
        <v>3061</v>
      </c>
      <c r="C57" s="743" t="e">
        <f t="shared" ref="C57:H57" ca="1"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ca="1"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ca="1"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ca="1"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3010" t="e">
        <f ca="1">IRR(K5:K25)</f>
        <v>#VALUE!</v>
      </c>
      <c r="H66" s="3011"/>
      <c r="I66" s="756"/>
      <c r="J66" s="756"/>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2" workbookViewId="0">
      <selection activeCell="A2" sqref="A1:XFD1048576"/>
    </sheetView>
  </sheetViews>
  <sheetFormatPr defaultColWidth="9.140625" defaultRowHeight="12.75"/>
  <cols>
    <col min="1" max="1" width="3.140625" style="312" customWidth="1"/>
    <col min="2" max="2" width="2.140625" style="332" customWidth="1"/>
    <col min="3" max="16" width="8.7109375" style="312" customWidth="1"/>
    <col min="17" max="16384" width="9.140625" style="312"/>
  </cols>
  <sheetData>
    <row r="1" spans="1:16" s="294" customFormat="1" ht="13.9" customHeight="1">
      <c r="A1" s="2337" t="str">
        <f>CONCATENATE("PART ONE - PROJECT INFORMATION"," - ",$O$6," ",$F$34,", ",'Part I-Project Information'!F38,", ",'Part I-Project Information'!J39," County")</f>
        <v>PART ONE - PROJECT INFORMATION - 2019-078 Abbington Sound, Kingsland, Camden County</v>
      </c>
      <c r="B1" s="2338"/>
      <c r="C1" s="2338"/>
      <c r="D1" s="2338"/>
      <c r="E1" s="2338"/>
      <c r="F1" s="2338"/>
      <c r="G1" s="2338"/>
      <c r="H1" s="2338"/>
      <c r="I1" s="2338"/>
      <c r="J1" s="2338"/>
      <c r="K1" s="2338"/>
      <c r="L1" s="2338"/>
      <c r="M1" s="2338"/>
      <c r="N1" s="2338"/>
      <c r="O1" s="2338"/>
      <c r="P1" s="233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46" t="s">
        <v>4456</v>
      </c>
      <c r="B3" s="2346"/>
      <c r="C3" s="2346"/>
      <c r="D3" s="2346"/>
      <c r="E3" s="2346"/>
      <c r="F3" s="2346"/>
      <c r="G3" s="2346"/>
      <c r="H3" s="2346"/>
      <c r="I3" s="2346"/>
      <c r="J3" s="2346"/>
      <c r="K3" s="2346"/>
      <c r="L3" s="2346"/>
      <c r="M3" s="2346"/>
      <c r="N3" s="2346"/>
      <c r="O3" s="2346"/>
      <c r="P3" s="2346"/>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1" t="s">
        <v>2365</v>
      </c>
      <c r="F5" s="295"/>
      <c r="G5" s="270" t="s">
        <v>4863</v>
      </c>
      <c r="L5" s="878"/>
      <c r="P5" s="1079" t="s">
        <v>3866</v>
      </c>
    </row>
    <row r="6" spans="1:16" s="294" customFormat="1" ht="12" customHeight="1" thickBot="1">
      <c r="B6" s="2347" t="s">
        <v>5064</v>
      </c>
      <c r="C6" s="2347"/>
      <c r="D6" s="2347"/>
      <c r="E6" s="1289"/>
      <c r="F6" s="297"/>
      <c r="G6" s="270" t="s">
        <v>4862</v>
      </c>
      <c r="H6" s="2270"/>
      <c r="I6" s="2270"/>
      <c r="J6" s="2270"/>
      <c r="O6" s="3271" t="s">
        <v>5324</v>
      </c>
      <c r="P6" s="3272"/>
    </row>
    <row r="7" spans="1:16" s="294" customFormat="1" ht="12" customHeight="1">
      <c r="B7" s="2347"/>
      <c r="C7" s="2347"/>
      <c r="D7" s="2347"/>
      <c r="E7" s="1289"/>
      <c r="F7" s="521"/>
      <c r="G7" s="172" t="s">
        <v>3318</v>
      </c>
      <c r="H7" s="2270"/>
      <c r="I7" s="2270"/>
      <c r="J7" s="2270"/>
    </row>
    <row r="8" spans="1:16" s="294" customFormat="1" ht="6" customHeight="1">
      <c r="A8" s="480"/>
      <c r="B8" s="2347"/>
      <c r="C8" s="2347"/>
      <c r="D8" s="2347"/>
      <c r="E8" s="2270"/>
      <c r="H8" s="2270"/>
      <c r="I8" s="2270"/>
      <c r="M8" s="2270"/>
    </row>
    <row r="9" spans="1:16" s="294" customFormat="1" ht="13.15" customHeight="1">
      <c r="A9" s="296" t="s">
        <v>616</v>
      </c>
      <c r="B9" s="296" t="s">
        <v>2376</v>
      </c>
      <c r="D9" s="271"/>
      <c r="E9" s="298"/>
      <c r="F9" s="2259" t="s">
        <v>3794</v>
      </c>
      <c r="I9" s="2340">
        <f ca="1">'Part IV-A-Uses of Funds'!$J$175</f>
        <v>883000</v>
      </c>
      <c r="J9" s="2341"/>
      <c r="L9" s="294" t="s">
        <v>3795</v>
      </c>
      <c r="O9" s="2342">
        <f>'Part III-Sources of Funds'!$H$5</f>
        <v>0</v>
      </c>
      <c r="P9" s="2343"/>
    </row>
    <row r="10" spans="1:16" s="294" customFormat="1" ht="6" customHeight="1">
      <c r="A10" s="296"/>
      <c r="B10" s="296"/>
      <c r="D10" s="271"/>
      <c r="E10" s="298"/>
      <c r="F10" s="298"/>
      <c r="I10" s="299"/>
      <c r="N10" s="300"/>
    </row>
    <row r="11" spans="1:16" s="294" customFormat="1" ht="13.15" customHeight="1">
      <c r="A11" s="299" t="s">
        <v>740</v>
      </c>
      <c r="B11" s="296" t="s">
        <v>2041</v>
      </c>
      <c r="F11" s="3273" t="s">
        <v>5293</v>
      </c>
      <c r="G11" s="3274"/>
      <c r="H11" s="3275"/>
      <c r="I11" s="3276" t="s">
        <v>3712</v>
      </c>
      <c r="J11" s="502" t="s">
        <v>5065</v>
      </c>
      <c r="K11" s="304"/>
      <c r="L11" s="2270"/>
      <c r="O11" s="3277" t="s">
        <v>5209</v>
      </c>
      <c r="P11" s="3278"/>
    </row>
    <row r="12" spans="1:16" s="294" customFormat="1" ht="12.75" customHeight="1">
      <c r="A12" s="480"/>
      <c r="B12" s="2214"/>
      <c r="C12" s="2214"/>
      <c r="D12" s="2214"/>
      <c r="E12" s="2214"/>
      <c r="H12" s="2270"/>
      <c r="J12" s="1221" t="s">
        <v>5044</v>
      </c>
      <c r="K12" s="2261"/>
      <c r="M12" s="2270"/>
      <c r="O12" s="3279" t="s">
        <v>2993</v>
      </c>
      <c r="P12" s="3280"/>
    </row>
    <row r="13" spans="1:16" s="294" customFormat="1" ht="3" customHeight="1">
      <c r="A13" s="480"/>
      <c r="B13" s="2214"/>
      <c r="C13" s="2214"/>
      <c r="D13" s="2214"/>
      <c r="E13" s="2214"/>
      <c r="H13" s="2270"/>
      <c r="J13" s="503"/>
      <c r="K13" s="2261"/>
      <c r="M13" s="2270"/>
    </row>
    <row r="14" spans="1:16" s="294" customFormat="1" ht="12.75" customHeight="1">
      <c r="A14" s="480"/>
      <c r="B14" s="2214" t="s">
        <v>5045</v>
      </c>
      <c r="C14" s="2214"/>
      <c r="D14" s="2214"/>
      <c r="E14" s="2214"/>
      <c r="F14" s="3281" t="s">
        <v>2990</v>
      </c>
      <c r="G14" s="2257" t="s">
        <v>5046</v>
      </c>
      <c r="N14" s="3273" t="s">
        <v>5129</v>
      </c>
      <c r="O14" s="3274"/>
      <c r="P14" s="3275"/>
    </row>
    <row r="15" spans="1:16" s="294" customFormat="1" ht="12.75" customHeight="1">
      <c r="A15" s="480"/>
      <c r="B15" s="294" t="s">
        <v>3867</v>
      </c>
      <c r="D15" s="304"/>
      <c r="F15" s="3282" t="s">
        <v>5141</v>
      </c>
      <c r="G15" s="3283"/>
      <c r="H15" s="3283"/>
      <c r="I15" s="3283"/>
      <c r="J15" s="3283"/>
      <c r="K15" s="3284"/>
      <c r="L15" s="294" t="s">
        <v>5032</v>
      </c>
      <c r="O15" s="3285" t="s">
        <v>5292</v>
      </c>
      <c r="P15" s="3286"/>
    </row>
    <row r="16" spans="1:16" s="294" customFormat="1" ht="12.75" customHeight="1">
      <c r="A16" s="480"/>
      <c r="B16" s="294" t="s">
        <v>3793</v>
      </c>
      <c r="F16" s="3281" t="s">
        <v>2990</v>
      </c>
      <c r="G16" s="294" t="s">
        <v>5033</v>
      </c>
      <c r="H16" s="2270"/>
      <c r="I16" s="172"/>
      <c r="J16" s="503"/>
      <c r="N16" s="3287" t="s">
        <v>2886</v>
      </c>
      <c r="O16" s="3288"/>
      <c r="P16" s="3289"/>
    </row>
    <row r="17" spans="1:16" s="294" customFormat="1" ht="6" customHeight="1">
      <c r="I17" s="271"/>
      <c r="J17" s="271"/>
      <c r="K17" s="271"/>
      <c r="L17" s="271"/>
      <c r="M17" s="271"/>
      <c r="N17" s="271"/>
      <c r="O17" s="271"/>
      <c r="P17" s="271"/>
    </row>
    <row r="18" spans="1:16" s="294" customFormat="1" ht="13.15" customHeight="1">
      <c r="A18" s="299" t="s">
        <v>742</v>
      </c>
      <c r="B18" s="296" t="s">
        <v>4476</v>
      </c>
      <c r="D18" s="2259"/>
      <c r="E18" s="298"/>
      <c r="G18" s="301"/>
      <c r="H18" s="301"/>
      <c r="I18" s="301"/>
      <c r="L18" s="300"/>
    </row>
    <row r="19" spans="1:16" s="294" customFormat="1" ht="1.5" customHeight="1">
      <c r="A19" s="299"/>
      <c r="B19" s="298"/>
      <c r="C19" s="296"/>
      <c r="D19" s="2259"/>
      <c r="E19" s="298"/>
      <c r="G19" s="301"/>
      <c r="H19" s="301"/>
      <c r="I19" s="301"/>
      <c r="K19" s="300"/>
      <c r="L19" s="300"/>
      <c r="O19" s="878"/>
    </row>
    <row r="20" spans="1:16" s="294" customFormat="1" ht="13.15" customHeight="1">
      <c r="B20" s="294" t="s">
        <v>3875</v>
      </c>
      <c r="F20" s="3290" t="s">
        <v>5130</v>
      </c>
      <c r="G20" s="3291"/>
      <c r="H20" s="3292"/>
      <c r="I20" s="294" t="s">
        <v>1797</v>
      </c>
      <c r="J20" s="3290" t="s">
        <v>5133</v>
      </c>
      <c r="K20" s="3291"/>
      <c r="L20" s="3292"/>
      <c r="M20" s="327" t="s">
        <v>1981</v>
      </c>
      <c r="N20" s="3285" t="s">
        <v>5134</v>
      </c>
      <c r="O20" s="3293"/>
      <c r="P20" s="3286"/>
    </row>
    <row r="21" spans="1:16" s="294" customFormat="1" ht="13.15" customHeight="1">
      <c r="B21" s="2259" t="s">
        <v>1982</v>
      </c>
      <c r="F21" s="3294" t="s">
        <v>5131</v>
      </c>
      <c r="G21" s="3295"/>
      <c r="H21" s="3295"/>
      <c r="I21" s="3296"/>
      <c r="J21" s="3295"/>
      <c r="K21" s="3296"/>
      <c r="L21" s="3297"/>
      <c r="M21" s="2344" t="s">
        <v>3874</v>
      </c>
      <c r="N21" s="2345"/>
      <c r="O21" s="2345"/>
      <c r="P21" s="2345"/>
    </row>
    <row r="22" spans="1:16" s="294" customFormat="1" ht="13.15" customHeight="1">
      <c r="B22" s="2259" t="s">
        <v>618</v>
      </c>
      <c r="F22" s="3294" t="s">
        <v>1205</v>
      </c>
      <c r="G22" s="3295"/>
      <c r="H22" s="3298"/>
      <c r="I22" s="2259" t="s">
        <v>1799</v>
      </c>
      <c r="J22" s="3299" t="s">
        <v>848</v>
      </c>
      <c r="M22" s="2344"/>
      <c r="N22" s="2344"/>
      <c r="O22" s="2344"/>
      <c r="P22" s="2344"/>
    </row>
    <row r="23" spans="1:16" s="294" customFormat="1" ht="13.15" customHeight="1">
      <c r="B23" s="2257" t="s">
        <v>2230</v>
      </c>
      <c r="F23" s="3300">
        <v>303052119</v>
      </c>
      <c r="G23" s="3301"/>
      <c r="H23" s="3302"/>
      <c r="I23" s="2259" t="s">
        <v>1720</v>
      </c>
      <c r="J23" s="3303">
        <v>4042504093</v>
      </c>
      <c r="K23" s="3304"/>
      <c r="L23" s="2262" t="s">
        <v>1719</v>
      </c>
      <c r="M23" s="3305">
        <v>703</v>
      </c>
      <c r="N23" s="2257" t="s">
        <v>1721</v>
      </c>
      <c r="O23" s="3306"/>
      <c r="P23" s="3304"/>
    </row>
    <row r="24" spans="1:16" s="294" customFormat="1" ht="13.15" customHeight="1">
      <c r="B24" s="2257" t="s">
        <v>1985</v>
      </c>
      <c r="F24" s="3307" t="s">
        <v>5132</v>
      </c>
      <c r="G24" s="3308"/>
      <c r="H24" s="3308"/>
      <c r="I24" s="3293"/>
      <c r="J24" s="3308"/>
      <c r="K24" s="3309"/>
      <c r="N24" s="2257" t="s">
        <v>1980</v>
      </c>
      <c r="O24" s="3310">
        <v>4042731892</v>
      </c>
      <c r="P24" s="3311"/>
    </row>
    <row r="25" spans="1:16" s="294" customFormat="1" ht="13.5" customHeight="1">
      <c r="A25" s="480"/>
      <c r="B25" s="296" t="s">
        <v>4475</v>
      </c>
      <c r="C25" s="302"/>
      <c r="D25" s="2269"/>
      <c r="E25" s="2269"/>
      <c r="F25" s="2269"/>
      <c r="H25" s="2270"/>
      <c r="I25" s="2269"/>
      <c r="J25" s="302"/>
      <c r="K25" s="2269"/>
      <c r="P25" s="303"/>
    </row>
    <row r="26" spans="1:16" s="294" customFormat="1" ht="13.15" customHeight="1">
      <c r="B26" s="294" t="s">
        <v>3875</v>
      </c>
      <c r="F26" s="3290" t="s">
        <v>5130</v>
      </c>
      <c r="G26" s="3291"/>
      <c r="H26" s="3292"/>
      <c r="I26" s="294" t="s">
        <v>1797</v>
      </c>
      <c r="J26" s="3290" t="s">
        <v>5136</v>
      </c>
      <c r="K26" s="3291"/>
      <c r="L26" s="3292"/>
      <c r="M26" s="327" t="s">
        <v>1981</v>
      </c>
      <c r="N26" s="3285" t="s">
        <v>5233</v>
      </c>
      <c r="O26" s="3293"/>
      <c r="P26" s="3286"/>
    </row>
    <row r="27" spans="1:16" s="294" customFormat="1" ht="13.15" customHeight="1">
      <c r="B27" s="2259" t="s">
        <v>1982</v>
      </c>
      <c r="F27" s="3294" t="s">
        <v>5131</v>
      </c>
      <c r="G27" s="3295"/>
      <c r="H27" s="3295"/>
      <c r="I27" s="3296"/>
      <c r="J27" s="3295"/>
      <c r="K27" s="3296"/>
      <c r="L27" s="3297"/>
      <c r="M27" s="2344" t="s">
        <v>3874</v>
      </c>
      <c r="N27" s="2345"/>
      <c r="O27" s="2345"/>
      <c r="P27" s="2345"/>
    </row>
    <row r="28" spans="1:16" s="294" customFormat="1" ht="13.15" customHeight="1">
      <c r="B28" s="2259" t="s">
        <v>618</v>
      </c>
      <c r="F28" s="3294" t="s">
        <v>1205</v>
      </c>
      <c r="G28" s="3295"/>
      <c r="H28" s="3298"/>
      <c r="I28" s="2259" t="s">
        <v>1799</v>
      </c>
      <c r="J28" s="3299" t="s">
        <v>848</v>
      </c>
      <c r="M28" s="2344"/>
      <c r="N28" s="2344"/>
      <c r="O28" s="2344"/>
      <c r="P28" s="2344"/>
    </row>
    <row r="29" spans="1:16" s="294" customFormat="1" ht="13.15" customHeight="1">
      <c r="B29" s="2257" t="s">
        <v>2230</v>
      </c>
      <c r="F29" s="3300">
        <v>303052119</v>
      </c>
      <c r="G29" s="3301"/>
      <c r="H29" s="3302"/>
      <c r="I29" s="2259" t="s">
        <v>1720</v>
      </c>
      <c r="J29" s="3303">
        <v>4042504093</v>
      </c>
      <c r="K29" s="3304"/>
      <c r="L29" s="2262" t="s">
        <v>1719</v>
      </c>
      <c r="M29" s="3305">
        <v>704</v>
      </c>
      <c r="N29" s="2257" t="s">
        <v>1721</v>
      </c>
      <c r="O29" s="3306"/>
      <c r="P29" s="3304"/>
    </row>
    <row r="30" spans="1:16" s="294" customFormat="1" ht="13.15" customHeight="1">
      <c r="B30" s="2257" t="s">
        <v>1985</v>
      </c>
      <c r="F30" s="3307" t="s">
        <v>5135</v>
      </c>
      <c r="G30" s="3308"/>
      <c r="H30" s="3308"/>
      <c r="I30" s="3293"/>
      <c r="J30" s="3308"/>
      <c r="K30" s="3309"/>
      <c r="N30" s="2257" t="s">
        <v>1980</v>
      </c>
      <c r="O30" s="3310">
        <v>6785917002</v>
      </c>
      <c r="P30" s="3311"/>
    </row>
    <row r="31" spans="1:16" s="294" customFormat="1" ht="6" customHeight="1">
      <c r="A31" s="480"/>
      <c r="B31" s="480"/>
      <c r="C31" s="302"/>
      <c r="D31" s="2269"/>
      <c r="E31" s="2269"/>
      <c r="F31" s="2269"/>
      <c r="H31" s="2270"/>
      <c r="I31" s="2269"/>
      <c r="J31" s="302"/>
      <c r="K31" s="2269"/>
      <c r="P31" s="303"/>
    </row>
    <row r="32" spans="1:16" s="294" customFormat="1" ht="13.15" customHeight="1">
      <c r="A32" s="299" t="s">
        <v>1792</v>
      </c>
      <c r="B32" s="296" t="s">
        <v>1474</v>
      </c>
      <c r="D32" s="271"/>
      <c r="E32" s="298"/>
      <c r="F32" s="298"/>
      <c r="G32" s="2259"/>
      <c r="H32" s="298"/>
      <c r="I32" s="298"/>
      <c r="J32" s="301"/>
      <c r="L32" s="300"/>
      <c r="M32" s="300"/>
    </row>
    <row r="33" spans="1:16" s="294" customFormat="1" ht="1.5" customHeight="1">
      <c r="A33" s="299"/>
      <c r="B33" s="296"/>
      <c r="D33" s="271"/>
      <c r="E33" s="298"/>
      <c r="F33" s="298"/>
      <c r="G33" s="2259"/>
      <c r="H33" s="298"/>
      <c r="I33" s="298"/>
      <c r="J33" s="301"/>
      <c r="L33" s="300"/>
    </row>
    <row r="34" spans="1:16" s="294" customFormat="1" ht="13.15" customHeight="1">
      <c r="A34" s="296"/>
      <c r="B34" s="294" t="s">
        <v>617</v>
      </c>
      <c r="D34" s="304"/>
      <c r="F34" s="3312" t="s">
        <v>5141</v>
      </c>
      <c r="G34" s="3313"/>
      <c r="H34" s="3313"/>
      <c r="I34" s="3313"/>
      <c r="J34" s="3313"/>
      <c r="K34" s="3314"/>
      <c r="L34" s="2257" t="s">
        <v>2193</v>
      </c>
      <c r="O34" s="3290" t="s">
        <v>2993</v>
      </c>
      <c r="P34" s="3292"/>
    </row>
    <row r="35" spans="1:16" s="294" customFormat="1" ht="13.15" customHeight="1">
      <c r="A35" s="305"/>
      <c r="B35" s="294" t="s">
        <v>2700</v>
      </c>
      <c r="D35" s="306"/>
      <c r="F35" s="3315" t="s">
        <v>5212</v>
      </c>
      <c r="G35" s="3316"/>
      <c r="H35" s="3316"/>
      <c r="I35" s="3316"/>
      <c r="J35" s="3316"/>
      <c r="K35" s="3317"/>
      <c r="L35" s="294" t="s">
        <v>3680</v>
      </c>
      <c r="O35" s="3318"/>
      <c r="P35" s="3298"/>
    </row>
    <row r="36" spans="1:16" s="294" customFormat="1" ht="13.15" customHeight="1">
      <c r="A36" s="305"/>
      <c r="B36" s="294" t="s">
        <v>2735</v>
      </c>
      <c r="D36" s="306"/>
      <c r="F36" s="3318" t="s">
        <v>5210</v>
      </c>
      <c r="G36" s="3295"/>
      <c r="H36" s="3295"/>
      <c r="I36" s="3296"/>
      <c r="J36" s="3295"/>
      <c r="K36" s="3298"/>
      <c r="L36" s="2257" t="s">
        <v>2051</v>
      </c>
      <c r="N36" s="3305" t="s">
        <v>2993</v>
      </c>
      <c r="O36" s="2270" t="s">
        <v>3679</v>
      </c>
      <c r="P36" s="3319"/>
    </row>
    <row r="37" spans="1:16" s="294" customFormat="1" ht="13.15" customHeight="1">
      <c r="A37" s="305"/>
      <c r="B37" s="294" t="s">
        <v>3733</v>
      </c>
      <c r="D37" s="306"/>
      <c r="F37" s="294" t="s">
        <v>3714</v>
      </c>
      <c r="G37" s="3320">
        <v>30.797778999999998</v>
      </c>
      <c r="H37" s="3321"/>
      <c r="I37" s="2262" t="s">
        <v>3715</v>
      </c>
      <c r="J37" s="3320">
        <v>-81.611445000000003</v>
      </c>
      <c r="K37" s="3321"/>
      <c r="L37" s="2257" t="s">
        <v>2284</v>
      </c>
      <c r="O37" s="3322">
        <v>8.1300000000000008</v>
      </c>
      <c r="P37" s="3323"/>
    </row>
    <row r="38" spans="1:16" s="294" customFormat="1" ht="13.15" customHeight="1">
      <c r="A38" s="480"/>
      <c r="B38" s="294" t="s">
        <v>618</v>
      </c>
      <c r="F38" s="3290" t="s">
        <v>475</v>
      </c>
      <c r="G38" s="3324"/>
      <c r="H38" s="3325"/>
      <c r="I38" s="310" t="s">
        <v>2701</v>
      </c>
      <c r="J38" s="3300">
        <v>315480000</v>
      </c>
      <c r="K38" s="3302"/>
      <c r="L38" s="365" t="str">
        <f>IF(AND(NOT(F34=""),NOT(F38="Select from list"),J38=""),"Enter Zip!","")</f>
        <v/>
      </c>
      <c r="M38" s="308" t="s">
        <v>2906</v>
      </c>
      <c r="O38" s="3326" t="s">
        <v>5213</v>
      </c>
      <c r="P38" s="3327"/>
    </row>
    <row r="39" spans="1:16" s="294" customFormat="1" ht="13.15" customHeight="1">
      <c r="A39" s="480"/>
      <c r="B39" s="2269" t="s">
        <v>3568</v>
      </c>
      <c r="D39" s="2269"/>
      <c r="F39" s="3318" t="s">
        <v>5138</v>
      </c>
      <c r="G39" s="3296"/>
      <c r="H39" s="3297"/>
      <c r="I39" s="307" t="s">
        <v>619</v>
      </c>
      <c r="J39" s="3328" t="str">
        <f>IF($F$38="","",VLOOKUP($F$38,'DCA Underwriting Assumptions'!$T$158:$U$786,2,FALSE))</f>
        <v>Camden</v>
      </c>
      <c r="K39" s="3329"/>
      <c r="M39" s="2257" t="s">
        <v>451</v>
      </c>
      <c r="N39" s="3330" t="s">
        <v>2993</v>
      </c>
      <c r="O39" s="2270" t="s">
        <v>452</v>
      </c>
      <c r="P39" s="3331" t="s">
        <v>2990</v>
      </c>
    </row>
    <row r="40" spans="1:16" s="294" customFormat="1" ht="13.15" customHeight="1">
      <c r="A40" s="480"/>
      <c r="B40" s="296"/>
      <c r="C40" s="294" t="s">
        <v>1558</v>
      </c>
      <c r="F40" s="3332" t="s">
        <v>2990</v>
      </c>
      <c r="G40" s="2350" t="s">
        <v>2782</v>
      </c>
      <c r="H40" s="2351"/>
      <c r="I40" s="509" t="str">
        <f>IF($J$39="","",IF(VLOOKUP($J$39,'DCA Underwriting Assumptions'!G158:M317,7,FALSE)="Rural","Yes",IF(VLOOKUP($J$39,'DCA Underwriting Assumptions'!G158:M317,7,FALSE)="Urban","No","")))</f>
        <v>Yes</v>
      </c>
      <c r="J40" s="2262" t="s">
        <v>2802</v>
      </c>
      <c r="K40" s="2262" t="str">
        <f>IF(OR(F40="Yes",I40="Yes"),"Rural","Urban")</f>
        <v>Rural</v>
      </c>
      <c r="M40" s="2257" t="s">
        <v>2612</v>
      </c>
      <c r="N40" s="421" t="str">
        <f>VLOOKUP($J$39,'DCA Underwriting Assumptions'!$G$158:$J$317,4)</f>
        <v>Non-MSA</v>
      </c>
      <c r="O40" s="3333" t="str">
        <f>IF($F$38="","",VLOOKUP($J$39,'DCA Underwriting Assumptions'!$G$158:$L$317,3,FALSE))</f>
        <v>Camden Co.</v>
      </c>
      <c r="P40" s="3334"/>
    </row>
    <row r="41" spans="1:16" s="294" customFormat="1" ht="6" customHeight="1">
      <c r="A41" s="480"/>
      <c r="B41" s="296"/>
      <c r="C41" s="296"/>
      <c r="I41" s="2259"/>
      <c r="J41" s="2269"/>
      <c r="L41" s="2279"/>
      <c r="M41" s="2279"/>
      <c r="N41" s="2279"/>
      <c r="O41" s="2279"/>
      <c r="P41" s="2279"/>
    </row>
    <row r="42" spans="1:16" s="294" customFormat="1" ht="13.15" customHeight="1">
      <c r="A42" s="480"/>
      <c r="C42" s="294" t="s">
        <v>2744</v>
      </c>
      <c r="F42" s="2352" t="s">
        <v>2763</v>
      </c>
      <c r="G42" s="2352"/>
      <c r="H42" s="2353" t="s">
        <v>736</v>
      </c>
      <c r="I42" s="2353"/>
      <c r="J42" s="2353" t="s">
        <v>737</v>
      </c>
      <c r="K42" s="2353"/>
      <c r="L42" s="496" t="s">
        <v>4937</v>
      </c>
    </row>
    <row r="43" spans="1:16" s="294" customFormat="1" ht="13.15" customHeight="1">
      <c r="A43" s="480"/>
      <c r="B43" s="294" t="s">
        <v>2762</v>
      </c>
      <c r="D43" s="296"/>
      <c r="F43" s="3335">
        <v>1</v>
      </c>
      <c r="G43" s="3336"/>
      <c r="H43" s="3335">
        <v>3</v>
      </c>
      <c r="I43" s="3336"/>
      <c r="J43" s="3335">
        <v>174</v>
      </c>
      <c r="K43" s="3336"/>
      <c r="L43" s="492" t="s">
        <v>1283</v>
      </c>
      <c r="N43" s="2348" t="s">
        <v>1284</v>
      </c>
      <c r="O43" s="2348"/>
      <c r="P43" s="2348"/>
    </row>
    <row r="44" spans="1:16" s="294" customFormat="1" ht="12.75" customHeight="1">
      <c r="A44" s="480"/>
      <c r="B44" s="2259" t="s">
        <v>738</v>
      </c>
      <c r="F44" s="3337"/>
      <c r="G44" s="3338"/>
      <c r="H44" s="3337"/>
      <c r="I44" s="3338"/>
      <c r="J44" s="3337"/>
      <c r="K44" s="3338"/>
      <c r="L44" s="492" t="s">
        <v>2761</v>
      </c>
      <c r="N44" s="2349" t="s">
        <v>2760</v>
      </c>
      <c r="O44" s="2349"/>
    </row>
    <row r="45" spans="1:16" s="294" customFormat="1" ht="3" customHeight="1">
      <c r="A45" s="480"/>
      <c r="I45" s="2279"/>
      <c r="J45" s="2279"/>
      <c r="K45" s="2279"/>
      <c r="L45" s="2269"/>
      <c r="M45" s="2269"/>
      <c r="N45" s="2269"/>
      <c r="O45" s="2269"/>
      <c r="P45" s="2269"/>
    </row>
    <row r="46" spans="1:16" s="294" customFormat="1" ht="13.15" customHeight="1">
      <c r="A46" s="480"/>
      <c r="B46" s="296" t="s">
        <v>637</v>
      </c>
      <c r="F46" s="3339" t="s">
        <v>5211</v>
      </c>
      <c r="G46" s="3340"/>
      <c r="H46" s="3340"/>
      <c r="I46" s="3341"/>
      <c r="J46" s="3340"/>
      <c r="K46" s="3342"/>
      <c r="L46" s="877" t="s">
        <v>2705</v>
      </c>
      <c r="M46" s="3285" t="s">
        <v>5216</v>
      </c>
      <c r="N46" s="3293"/>
      <c r="O46" s="3293"/>
      <c r="P46" s="3286"/>
    </row>
    <row r="47" spans="1:16" s="294" customFormat="1" ht="13.15" customHeight="1">
      <c r="A47" s="480"/>
      <c r="B47" s="294" t="s">
        <v>638</v>
      </c>
      <c r="F47" s="3343" t="s">
        <v>5215</v>
      </c>
      <c r="G47" s="3344"/>
      <c r="H47" s="3345"/>
      <c r="I47" s="1054" t="s">
        <v>1981</v>
      </c>
      <c r="J47" s="3315" t="s">
        <v>5139</v>
      </c>
      <c r="K47" s="3317"/>
      <c r="L47" s="877"/>
    </row>
    <row r="48" spans="1:16" s="294" customFormat="1" ht="13.15" customHeight="1">
      <c r="A48" s="480"/>
      <c r="B48" s="294" t="s">
        <v>1982</v>
      </c>
      <c r="F48" s="3346" t="s">
        <v>5214</v>
      </c>
      <c r="G48" s="3347"/>
      <c r="H48" s="3348"/>
      <c r="I48" s="3340"/>
      <c r="J48" s="3347"/>
      <c r="K48" s="3349"/>
      <c r="L48" s="2260" t="s">
        <v>618</v>
      </c>
      <c r="M48" s="3350" t="s">
        <v>475</v>
      </c>
      <c r="N48" s="3351"/>
      <c r="O48" s="3351"/>
      <c r="P48" s="3352"/>
    </row>
    <row r="49" spans="1:19" s="294" customFormat="1" ht="13.15" customHeight="1">
      <c r="A49" s="480"/>
      <c r="B49" s="2257" t="s">
        <v>2230</v>
      </c>
      <c r="F49" s="3353">
        <v>315480000</v>
      </c>
      <c r="G49" s="3354"/>
      <c r="H49" s="2262" t="s">
        <v>1983</v>
      </c>
      <c r="I49" s="3355">
        <v>9127295613</v>
      </c>
      <c r="J49" s="3356"/>
      <c r="K49" s="3357"/>
      <c r="L49" s="2259" t="s">
        <v>1800</v>
      </c>
      <c r="M49" s="3358" t="s">
        <v>5217</v>
      </c>
      <c r="N49" s="3359"/>
      <c r="O49" s="3359"/>
      <c r="P49" s="3360"/>
    </row>
    <row r="50" spans="1:19" s="294" customFormat="1" ht="6" customHeight="1">
      <c r="A50" s="480"/>
      <c r="B50" s="480"/>
      <c r="C50" s="309"/>
      <c r="D50" s="310"/>
      <c r="E50" s="310"/>
      <c r="F50" s="2270"/>
      <c r="G50" s="2270"/>
      <c r="H50" s="2270"/>
      <c r="I50" s="2270"/>
      <c r="J50" s="310"/>
      <c r="K50" s="2270"/>
      <c r="L50" s="2270"/>
      <c r="N50" s="2269"/>
      <c r="O50" s="2269"/>
      <c r="P50" s="303"/>
    </row>
    <row r="51" spans="1:19" s="294" customFormat="1" ht="12" customHeight="1">
      <c r="A51" s="299" t="s">
        <v>1794</v>
      </c>
      <c r="B51" s="296" t="s">
        <v>1475</v>
      </c>
      <c r="F51" s="311"/>
      <c r="I51" s="2257"/>
      <c r="J51" s="2269"/>
      <c r="K51" s="2269"/>
      <c r="L51" s="2269"/>
      <c r="M51" s="2269"/>
    </row>
    <row r="52" spans="1:19" s="294" customFormat="1" ht="1.5" customHeight="1">
      <c r="A52" s="480"/>
      <c r="B52" s="296"/>
      <c r="C52" s="296"/>
      <c r="I52" s="2257"/>
      <c r="J52" s="2269"/>
      <c r="K52" s="2269"/>
      <c r="L52" s="2269"/>
      <c r="M52" s="2269"/>
      <c r="N52" s="2269"/>
      <c r="O52" s="2269"/>
      <c r="P52" s="2269"/>
      <c r="Q52" s="2269"/>
    </row>
    <row r="53" spans="1:19" s="294" customFormat="1">
      <c r="A53" s="480"/>
      <c r="B53" s="480" t="s">
        <v>1984</v>
      </c>
      <c r="C53" s="296" t="s">
        <v>718</v>
      </c>
      <c r="I53" s="2269"/>
      <c r="J53" s="2269"/>
      <c r="K53" s="493"/>
      <c r="L53" s="2269"/>
      <c r="M53" s="495"/>
      <c r="N53" s="495"/>
      <c r="O53" s="495"/>
      <c r="P53" s="495"/>
      <c r="Q53" s="2270"/>
    </row>
    <row r="54" spans="1:19" ht="13.15" customHeight="1">
      <c r="B54" s="480"/>
      <c r="C54" s="294" t="s">
        <v>2296</v>
      </c>
      <c r="D54" s="294"/>
      <c r="E54" s="294"/>
      <c r="H54" s="1071">
        <f>'Part VI-Revenues &amp; Expenses'!$O$103</f>
        <v>84</v>
      </c>
      <c r="K54" s="2259" t="s">
        <v>3671</v>
      </c>
      <c r="L54" s="294"/>
      <c r="M54" s="925" t="s">
        <v>3670</v>
      </c>
      <c r="N54" s="313">
        <f>'Part VI-Revenues &amp; Expenses'!$O$110</f>
        <v>0</v>
      </c>
      <c r="O54" s="926" t="s">
        <v>3357</v>
      </c>
      <c r="P54" s="313">
        <f>'Part VI-Revenues &amp; Expenses'!$O$111</f>
        <v>0</v>
      </c>
      <c r="Q54" s="2270"/>
    </row>
    <row r="55" spans="1:19" s="294" customFormat="1">
      <c r="A55" s="480"/>
      <c r="B55" s="480"/>
      <c r="C55" s="314" t="s">
        <v>347</v>
      </c>
      <c r="H55" s="1072">
        <f>'Part VI-Revenues &amp; Expenses'!$O$109</f>
        <v>0</v>
      </c>
      <c r="K55" s="314" t="s">
        <v>366</v>
      </c>
      <c r="P55" s="313">
        <f>'Part VI-Revenues &amp; Expenses'!$O$113</f>
        <v>0</v>
      </c>
    </row>
    <row r="56" spans="1:19" s="294" customFormat="1" ht="13.15" customHeight="1">
      <c r="B56" s="480"/>
      <c r="C56" s="2259" t="s">
        <v>346</v>
      </c>
      <c r="D56" s="2269"/>
      <c r="H56" s="1073">
        <f>'Part VI-Revenues &amp; Expenses'!$O$106</f>
        <v>0</v>
      </c>
      <c r="I56" s="481" t="s">
        <v>2910</v>
      </c>
      <c r="K56" s="294" t="s">
        <v>348</v>
      </c>
      <c r="P56" s="3361"/>
      <c r="Q56" s="2270"/>
    </row>
    <row r="57" spans="1:19" s="294" customFormat="1" ht="3.4" customHeight="1">
      <c r="A57" s="480"/>
      <c r="P57" s="2269"/>
    </row>
    <row r="58" spans="1:19" s="294" customFormat="1">
      <c r="A58" s="480"/>
      <c r="B58" s="480" t="s">
        <v>1986</v>
      </c>
      <c r="C58" s="296" t="s">
        <v>2297</v>
      </c>
      <c r="H58" s="3362" t="s">
        <v>2993</v>
      </c>
      <c r="K58" s="2269"/>
      <c r="L58" s="2269"/>
      <c r="M58" s="2269"/>
      <c r="N58" s="2269"/>
      <c r="O58" s="495"/>
      <c r="P58" s="493"/>
      <c r="Q58" s="2269"/>
    </row>
    <row r="59" spans="1:19" s="294" customFormat="1" ht="3" customHeight="1">
      <c r="A59" s="480"/>
      <c r="I59" s="2269"/>
      <c r="J59" s="493"/>
      <c r="K59" s="494"/>
      <c r="L59" s="493"/>
      <c r="M59" s="494"/>
      <c r="N59" s="494"/>
      <c r="O59" s="494"/>
      <c r="P59" s="494"/>
      <c r="Q59" s="2269"/>
    </row>
    <row r="60" spans="1:19" s="294" customFormat="1" ht="13.15" customHeight="1">
      <c r="A60" s="480"/>
      <c r="B60" s="305" t="s">
        <v>749</v>
      </c>
      <c r="C60" s="304" t="s">
        <v>2277</v>
      </c>
      <c r="D60" s="2269"/>
      <c r="I60" s="2271" t="s">
        <v>3564</v>
      </c>
      <c r="J60" s="305" t="s">
        <v>2116</v>
      </c>
      <c r="K60" s="315" t="s">
        <v>2303</v>
      </c>
      <c r="M60" s="2269"/>
      <c r="N60" s="2269"/>
      <c r="O60" s="2269"/>
      <c r="P60" s="2270"/>
      <c r="Q60" s="2270"/>
      <c r="R60" s="2270"/>
      <c r="S60" s="2269"/>
    </row>
    <row r="61" spans="1:19" s="294" customFormat="1" ht="13.15" customHeight="1">
      <c r="A61" s="480"/>
      <c r="B61" s="2258"/>
      <c r="C61" s="302" t="s">
        <v>2278</v>
      </c>
      <c r="D61" s="2269"/>
      <c r="E61" s="2269"/>
      <c r="H61" s="634">
        <f>SUM(H62:H68)</f>
        <v>84</v>
      </c>
      <c r="I61" s="634">
        <f>SUM(I62:I68)</f>
        <v>0</v>
      </c>
      <c r="J61" s="480"/>
      <c r="K61" s="302" t="s">
        <v>2774</v>
      </c>
      <c r="M61" s="2269"/>
      <c r="N61" s="2269"/>
      <c r="O61" s="2269"/>
      <c r="P61" s="1978">
        <f>SUM(P62:P68)</f>
        <v>90300</v>
      </c>
    </row>
    <row r="62" spans="1:19" s="294" customFormat="1" ht="13.15" customHeight="1">
      <c r="A62" s="480"/>
      <c r="B62" s="2258"/>
      <c r="C62" s="302"/>
      <c r="D62" s="317" t="s">
        <v>4710</v>
      </c>
      <c r="E62" s="2269"/>
      <c r="H62" s="848">
        <f>'Part VI-Revenues &amp; Expenses'!$O56</f>
        <v>0</v>
      </c>
      <c r="I62" s="848">
        <f>'Part VI-Revenues &amp; Expenses'!$O81</f>
        <v>0</v>
      </c>
      <c r="J62" s="480"/>
      <c r="K62" s="302"/>
      <c r="L62" s="317" t="s">
        <v>4710</v>
      </c>
      <c r="M62" s="2269"/>
      <c r="N62" s="2269"/>
      <c r="O62" s="2269"/>
      <c r="P62" s="848">
        <f>'Part VI-Revenues &amp; Expenses'!$O145</f>
        <v>0</v>
      </c>
    </row>
    <row r="63" spans="1:19" s="294" customFormat="1" ht="13.15" customHeight="1">
      <c r="A63" s="480"/>
      <c r="B63" s="2258"/>
      <c r="C63" s="302"/>
      <c r="D63" s="317" t="s">
        <v>4711</v>
      </c>
      <c r="E63" s="2269"/>
      <c r="H63" s="1980">
        <f>'Part VI-Revenues &amp; Expenses'!$O57</f>
        <v>0</v>
      </c>
      <c r="I63" s="1980">
        <f>'Part VI-Revenues &amp; Expenses'!$O82</f>
        <v>0</v>
      </c>
      <c r="J63" s="480"/>
      <c r="K63" s="302"/>
      <c r="L63" s="317" t="s">
        <v>4711</v>
      </c>
      <c r="M63" s="2269"/>
      <c r="N63" s="2269"/>
      <c r="O63" s="2269"/>
      <c r="P63" s="1980">
        <f>'Part VI-Revenues &amp; Expenses'!$O146</f>
        <v>0</v>
      </c>
    </row>
    <row r="64" spans="1:19" s="294" customFormat="1" ht="13.15" customHeight="1">
      <c r="A64" s="480"/>
      <c r="B64" s="312"/>
      <c r="D64" s="317" t="s">
        <v>4708</v>
      </c>
      <c r="E64" s="317"/>
      <c r="H64" s="1980">
        <f>'Part VI-Revenues &amp; Expenses'!$O58</f>
        <v>63</v>
      </c>
      <c r="I64" s="1980">
        <f>'Part VI-Revenues &amp; Expenses'!$O83</f>
        <v>0</v>
      </c>
      <c r="L64" s="317" t="s">
        <v>4708</v>
      </c>
      <c r="O64" s="2269"/>
      <c r="P64" s="1980">
        <f>'Part VI-Revenues &amp; Expenses'!$O147</f>
        <v>67725</v>
      </c>
    </row>
    <row r="65" spans="1:16" s="294" customFormat="1" ht="13.15" customHeight="1">
      <c r="A65" s="480"/>
      <c r="D65" s="317" t="s">
        <v>4709</v>
      </c>
      <c r="E65" s="2269"/>
      <c r="H65" s="1980">
        <f>'Part VI-Revenues &amp; Expenses'!$O59</f>
        <v>21</v>
      </c>
      <c r="I65" s="1980">
        <f>'Part VI-Revenues &amp; Expenses'!$O84</f>
        <v>0</v>
      </c>
      <c r="L65" s="317" t="s">
        <v>4709</v>
      </c>
      <c r="O65" s="2269"/>
      <c r="P65" s="1980">
        <f>'Part VI-Revenues &amp; Expenses'!$O148</f>
        <v>22575</v>
      </c>
    </row>
    <row r="66" spans="1:16" s="294" customFormat="1" ht="13.15" customHeight="1">
      <c r="A66" s="480"/>
      <c r="D66" s="317" t="s">
        <v>4712</v>
      </c>
      <c r="E66" s="317"/>
      <c r="H66" s="1980">
        <f>'Part VI-Revenues &amp; Expenses'!$O60</f>
        <v>0</v>
      </c>
      <c r="I66" s="1980">
        <f>'Part VI-Revenues &amp; Expenses'!$O85</f>
        <v>0</v>
      </c>
      <c r="L66" s="317" t="s">
        <v>4712</v>
      </c>
      <c r="O66" s="2269"/>
      <c r="P66" s="1980">
        <f>'Part VI-Revenues &amp; Expenses'!$O149</f>
        <v>0</v>
      </c>
    </row>
    <row r="67" spans="1:16" s="294" customFormat="1" ht="13.15" customHeight="1">
      <c r="A67" s="480"/>
      <c r="D67" s="317" t="s">
        <v>4713</v>
      </c>
      <c r="E67" s="317"/>
      <c r="H67" s="1980">
        <f>'Part VI-Revenues &amp; Expenses'!$O61</f>
        <v>0</v>
      </c>
      <c r="I67" s="1980">
        <f>'Part VI-Revenues &amp; Expenses'!$O86</f>
        <v>0</v>
      </c>
      <c r="L67" s="317" t="s">
        <v>4713</v>
      </c>
      <c r="O67" s="2269"/>
      <c r="P67" s="1980">
        <f>'Part VI-Revenues &amp; Expenses'!$O150</f>
        <v>0</v>
      </c>
    </row>
    <row r="68" spans="1:16" s="294" customFormat="1" ht="13.15" customHeight="1">
      <c r="A68" s="480"/>
      <c r="D68" s="317" t="s">
        <v>4714</v>
      </c>
      <c r="E68" s="317"/>
      <c r="H68" s="849">
        <f>'Part VI-Revenues &amp; Expenses'!$O62</f>
        <v>0</v>
      </c>
      <c r="I68" s="849">
        <f>'Part VI-Revenues &amp; Expenses'!$O87</f>
        <v>0</v>
      </c>
      <c r="L68" s="317" t="s">
        <v>4714</v>
      </c>
      <c r="O68" s="2269"/>
      <c r="P68" s="849">
        <f>'Part VI-Revenues &amp; Expenses'!$O151</f>
        <v>0</v>
      </c>
    </row>
    <row r="69" spans="1:16" s="294" customFormat="1" ht="13.15" customHeight="1">
      <c r="A69" s="480"/>
      <c r="C69" s="302" t="s">
        <v>253</v>
      </c>
      <c r="D69" s="2269"/>
      <c r="E69" s="2269"/>
      <c r="H69" s="1979">
        <f>'Part VI-Revenues &amp; Expenses'!$O$64</f>
        <v>0</v>
      </c>
      <c r="J69" s="480"/>
      <c r="K69" s="302" t="s">
        <v>2775</v>
      </c>
      <c r="M69" s="2269"/>
      <c r="N69" s="2269"/>
      <c r="O69" s="2269"/>
      <c r="P69" s="1981">
        <f>'Part VI-Revenues &amp; Expenses'!$O$153</f>
        <v>0</v>
      </c>
    </row>
    <row r="70" spans="1:16" s="294" customFormat="1" ht="13.15" customHeight="1">
      <c r="A70" s="480"/>
      <c r="C70" s="302" t="s">
        <v>2408</v>
      </c>
      <c r="D70" s="2269"/>
      <c r="E70" s="2269"/>
      <c r="H70" s="848">
        <f>H61+H69</f>
        <v>84</v>
      </c>
      <c r="J70" s="480"/>
      <c r="K70" s="302" t="s">
        <v>2776</v>
      </c>
      <c r="M70" s="2269"/>
      <c r="N70" s="2269"/>
      <c r="O70" s="2269"/>
      <c r="P70" s="848">
        <f>P61+P69</f>
        <v>90300</v>
      </c>
    </row>
    <row r="71" spans="1:16" s="294" customFormat="1" ht="13.15" customHeight="1">
      <c r="A71" s="480"/>
      <c r="C71" s="302" t="s">
        <v>2409</v>
      </c>
      <c r="D71" s="2269"/>
      <c r="E71" s="2269"/>
      <c r="H71" s="849">
        <f>'Part VI-Revenues &amp; Expenses'!$O$66</f>
        <v>0</v>
      </c>
      <c r="J71" s="480"/>
      <c r="K71" s="302" t="s">
        <v>2777</v>
      </c>
      <c r="M71" s="2269"/>
      <c r="N71" s="2269"/>
      <c r="O71" s="2269"/>
      <c r="P71" s="849">
        <f>'Part VI-Revenues &amp; Expenses'!$O$155</f>
        <v>0</v>
      </c>
    </row>
    <row r="72" spans="1:16" s="294" customFormat="1" ht="13.15" customHeight="1">
      <c r="A72" s="480"/>
      <c r="C72" s="302" t="s">
        <v>1793</v>
      </c>
      <c r="D72" s="2269"/>
      <c r="E72" s="2269"/>
      <c r="H72" s="316">
        <f>+H70+H71</f>
        <v>84</v>
      </c>
      <c r="J72" s="2269"/>
      <c r="K72" s="302" t="s">
        <v>1420</v>
      </c>
      <c r="M72" s="2269"/>
      <c r="N72" s="2269"/>
      <c r="O72" s="2269"/>
      <c r="P72" s="316">
        <f>+P70+P71</f>
        <v>90300</v>
      </c>
    </row>
    <row r="73" spans="1:16" s="294" customFormat="1" ht="3" customHeight="1">
      <c r="A73" s="480"/>
      <c r="I73" s="2270"/>
      <c r="L73" s="2270"/>
      <c r="M73" s="2270"/>
      <c r="N73" s="2269"/>
      <c r="P73" s="303"/>
    </row>
    <row r="74" spans="1:16" s="294" customFormat="1" ht="13.15" customHeight="1">
      <c r="A74" s="480"/>
      <c r="B74" s="480" t="s">
        <v>1735</v>
      </c>
      <c r="C74" s="304" t="s">
        <v>2298</v>
      </c>
      <c r="D74" s="317" t="s">
        <v>1997</v>
      </c>
      <c r="G74" s="2269"/>
      <c r="H74" s="3363">
        <v>4</v>
      </c>
      <c r="K74" s="302" t="s">
        <v>5024</v>
      </c>
      <c r="O74" s="2269"/>
      <c r="P74" s="3364">
        <v>3510</v>
      </c>
    </row>
    <row r="75" spans="1:16" s="294" customFormat="1" ht="13.15" customHeight="1">
      <c r="A75" s="480"/>
      <c r="B75" s="480"/>
      <c r="D75" s="2258" t="s">
        <v>1998</v>
      </c>
      <c r="H75" s="3365">
        <v>1</v>
      </c>
      <c r="I75" s="2269"/>
      <c r="K75" s="302" t="s">
        <v>252</v>
      </c>
      <c r="O75" s="2269"/>
      <c r="P75" s="316">
        <f>+P72+P74</f>
        <v>93810</v>
      </c>
    </row>
    <row r="76" spans="1:16" s="294" customFormat="1" ht="13.15" customHeight="1">
      <c r="A76" s="480"/>
      <c r="B76" s="480"/>
      <c r="D76" s="2258" t="s">
        <v>1999</v>
      </c>
      <c r="H76" s="316">
        <f>+H74+H75</f>
        <v>5</v>
      </c>
      <c r="I76" s="2269"/>
    </row>
    <row r="77" spans="1:16" s="294" customFormat="1" ht="3" customHeight="1">
      <c r="A77" s="480"/>
      <c r="B77" s="480"/>
      <c r="C77" s="2269"/>
      <c r="D77" s="2269"/>
      <c r="E77" s="2269"/>
      <c r="F77" s="2269"/>
      <c r="G77" s="2270"/>
      <c r="I77" s="302"/>
      <c r="J77" s="2269"/>
      <c r="P77" s="303"/>
    </row>
    <row r="78" spans="1:16" s="294" customFormat="1" ht="13.15" customHeight="1">
      <c r="A78" s="480"/>
      <c r="B78" s="480" t="s">
        <v>1736</v>
      </c>
      <c r="C78" s="304" t="s">
        <v>2843</v>
      </c>
      <c r="D78" s="2269"/>
      <c r="E78" s="2269"/>
      <c r="F78" s="2269"/>
      <c r="G78" s="2269"/>
      <c r="H78" s="3364">
        <v>147</v>
      </c>
      <c r="K78" s="2331" t="s">
        <v>3850</v>
      </c>
      <c r="L78" s="2331"/>
      <c r="M78" s="2331"/>
      <c r="N78" s="2331"/>
      <c r="O78" s="2331"/>
      <c r="P78" s="2331"/>
    </row>
    <row r="79" spans="1:16" s="294" customFormat="1" ht="6" customHeight="1">
      <c r="A79" s="480"/>
      <c r="B79" s="480"/>
      <c r="C79" s="302"/>
      <c r="D79" s="2269"/>
      <c r="E79" s="2269"/>
      <c r="F79" s="2269"/>
      <c r="G79" s="2270"/>
      <c r="H79" s="2269"/>
      <c r="I79" s="302"/>
      <c r="J79" s="302"/>
      <c r="K79" s="2331"/>
      <c r="L79" s="2331"/>
      <c r="M79" s="2331"/>
      <c r="N79" s="2331"/>
      <c r="O79" s="2331"/>
      <c r="P79" s="2331"/>
    </row>
    <row r="80" spans="1:16" s="294" customFormat="1" ht="13.15" customHeight="1">
      <c r="A80" s="480" t="s">
        <v>530</v>
      </c>
      <c r="B80" s="318" t="s">
        <v>1191</v>
      </c>
      <c r="D80" s="318"/>
      <c r="E80" s="318"/>
      <c r="F80" s="2269"/>
      <c r="G80" s="2270"/>
      <c r="H80" s="507"/>
      <c r="K80" s="2331"/>
      <c r="L80" s="2331"/>
      <c r="M80" s="2331"/>
      <c r="N80" s="2331"/>
      <c r="O80" s="2331"/>
      <c r="P80" s="2331"/>
    </row>
    <row r="81" spans="1:16" s="294" customFormat="1" ht="3" customHeight="1">
      <c r="A81" s="480"/>
      <c r="C81" s="2154"/>
      <c r="D81" s="2154"/>
      <c r="E81" s="2154"/>
      <c r="F81" s="2269"/>
      <c r="G81" s="2270"/>
      <c r="K81" s="2269"/>
      <c r="P81" s="303"/>
    </row>
    <row r="82" spans="1:16" s="294" customFormat="1" ht="13.15" customHeight="1">
      <c r="A82" s="480"/>
      <c r="B82" s="480" t="s">
        <v>1984</v>
      </c>
      <c r="C82" s="2261" t="s">
        <v>2693</v>
      </c>
      <c r="D82" s="2154"/>
      <c r="E82" s="2154"/>
      <c r="F82" s="2269"/>
      <c r="G82" s="2270"/>
      <c r="H82" s="3366" t="s">
        <v>2911</v>
      </c>
      <c r="I82" s="3367"/>
      <c r="K82" s="2334" t="s">
        <v>1772</v>
      </c>
      <c r="L82" s="2334"/>
      <c r="M82" s="3285"/>
      <c r="N82" s="3293"/>
      <c r="O82" s="3293"/>
      <c r="P82" s="3286"/>
    </row>
    <row r="83" spans="1:16" s="294" customFormat="1" ht="3" customHeight="1">
      <c r="A83" s="480"/>
      <c r="B83" s="480"/>
      <c r="D83" s="2258"/>
      <c r="E83" s="2258"/>
      <c r="F83" s="2258"/>
      <c r="G83" s="2258"/>
      <c r="I83" s="2270"/>
      <c r="K83" s="2257"/>
      <c r="L83" s="2257"/>
      <c r="M83" s="2270"/>
      <c r="N83" s="2269"/>
      <c r="P83" s="303"/>
    </row>
    <row r="84" spans="1:16" s="294" customFormat="1" ht="13.15" customHeight="1">
      <c r="A84" s="480"/>
      <c r="B84" s="480"/>
      <c r="E84" s="2154"/>
      <c r="K84" s="2323" t="s">
        <v>4957</v>
      </c>
      <c r="L84" s="319" t="s">
        <v>2911</v>
      </c>
      <c r="M84" s="3363">
        <v>72</v>
      </c>
      <c r="N84" s="319" t="s">
        <v>2912</v>
      </c>
      <c r="O84" s="3363"/>
      <c r="P84" s="2259" t="s">
        <v>4956</v>
      </c>
    </row>
    <row r="85" spans="1:16" s="294" customFormat="1" ht="13.15" customHeight="1">
      <c r="A85" s="480"/>
      <c r="B85" s="480"/>
      <c r="D85" s="2257"/>
      <c r="E85" s="2154"/>
      <c r="J85" s="2152"/>
      <c r="K85" s="2323"/>
      <c r="L85" s="306" t="s">
        <v>2913</v>
      </c>
      <c r="M85" s="3365"/>
      <c r="N85" s="306" t="s">
        <v>3870</v>
      </c>
      <c r="O85" s="3365"/>
      <c r="P85" s="3368"/>
    </row>
    <row r="86" spans="1:16" s="294" customFormat="1" ht="3" customHeight="1">
      <c r="A86" s="480"/>
      <c r="B86" s="480"/>
      <c r="D86" s="2258"/>
      <c r="E86" s="2258"/>
      <c r="F86" s="2258"/>
      <c r="G86" s="2258"/>
      <c r="I86" s="2270"/>
      <c r="K86" s="2257"/>
      <c r="L86" s="2257"/>
      <c r="M86" s="2270"/>
      <c r="N86" s="2269"/>
      <c r="P86" s="303"/>
    </row>
    <row r="87" spans="1:16" s="294" customFormat="1" ht="13.15" customHeight="1">
      <c r="A87" s="480"/>
      <c r="B87" s="480" t="s">
        <v>1986</v>
      </c>
      <c r="C87" s="304" t="s">
        <v>1411</v>
      </c>
      <c r="D87" s="2269"/>
      <c r="E87" s="317"/>
      <c r="F87" s="2258" t="s">
        <v>796</v>
      </c>
      <c r="H87" s="316">
        <f>'Part VIII-Threshold Criteria'!K306</f>
        <v>5</v>
      </c>
      <c r="K87" s="2334" t="s">
        <v>520</v>
      </c>
      <c r="L87" s="2334"/>
      <c r="N87" s="320">
        <f>IF('Part VI-Revenues &amp; Expenses'!$O$67=0,0,H87/'Part VI-Revenues &amp; Expenses'!$O$67)</f>
        <v>5.9523809523809521E-2</v>
      </c>
      <c r="O87" s="306" t="s">
        <v>3693</v>
      </c>
      <c r="P87" s="937">
        <f>'DCA Underwriting Assumptions'!$Q$139</f>
        <v>0.05</v>
      </c>
    </row>
    <row r="88" spans="1:16" s="294" customFormat="1" ht="12.75" customHeight="1">
      <c r="A88" s="480"/>
      <c r="B88" s="480"/>
      <c r="D88" s="2258" t="s">
        <v>2841</v>
      </c>
      <c r="E88" s="2258"/>
      <c r="F88" s="2258" t="s">
        <v>796</v>
      </c>
      <c r="H88" s="316">
        <f>'Part VIII-Threshold Criteria'!K307</f>
        <v>2</v>
      </c>
      <c r="K88" s="2269" t="s">
        <v>2842</v>
      </c>
      <c r="L88" s="2269"/>
      <c r="N88" s="320">
        <f>IF(H87=0,0,H88/H87)</f>
        <v>0.4</v>
      </c>
      <c r="O88" s="306" t="s">
        <v>3693</v>
      </c>
      <c r="P88" s="937">
        <f>'DCA Underwriting Assumptions'!$Q$140</f>
        <v>0.4</v>
      </c>
    </row>
    <row r="89" spans="1:16" s="294" customFormat="1" ht="3" customHeight="1">
      <c r="A89" s="480"/>
      <c r="B89" s="480"/>
      <c r="D89" s="2258"/>
      <c r="E89" s="2258"/>
      <c r="F89" s="2258"/>
      <c r="I89" s="2270"/>
      <c r="K89" s="2257"/>
      <c r="L89" s="2257"/>
      <c r="M89" s="2270"/>
      <c r="N89" s="2270"/>
      <c r="P89" s="2262"/>
    </row>
    <row r="90" spans="1:16" s="294" customFormat="1" ht="13.15" customHeight="1">
      <c r="A90" s="480"/>
      <c r="B90" s="480" t="s">
        <v>749</v>
      </c>
      <c r="C90" s="304" t="s">
        <v>1845</v>
      </c>
      <c r="D90" s="317"/>
      <c r="E90" s="317"/>
      <c r="F90" s="2258" t="s">
        <v>796</v>
      </c>
      <c r="H90" s="316">
        <f>'Part VIII-Threshold Criteria'!K309</f>
        <v>2</v>
      </c>
      <c r="K90" s="2334" t="s">
        <v>520</v>
      </c>
      <c r="L90" s="2334"/>
      <c r="N90" s="320">
        <f>IF('Part VI-Revenues &amp; Expenses'!$O$67=0,0,H90/'Part VI-Revenues &amp; Expenses'!$O$67)</f>
        <v>2.3809523809523808E-2</v>
      </c>
      <c r="O90" s="306" t="s">
        <v>3693</v>
      </c>
      <c r="P90" s="937">
        <f>'DCA Underwriting Assumptions'!$Q$141</f>
        <v>0.02</v>
      </c>
    </row>
    <row r="91" spans="1:16" s="294" customFormat="1" ht="4.5" customHeight="1">
      <c r="A91" s="480"/>
      <c r="B91" s="480"/>
      <c r="D91" s="2258"/>
      <c r="E91" s="2258"/>
      <c r="F91" s="2258"/>
      <c r="G91" s="2258"/>
      <c r="I91" s="2270"/>
      <c r="J91" s="2270"/>
      <c r="K91" s="2270"/>
      <c r="L91" s="2270"/>
      <c r="M91" s="2270"/>
      <c r="N91" s="2269"/>
      <c r="P91" s="303"/>
    </row>
    <row r="92" spans="1:16" s="294" customFormat="1" ht="13.15" customHeight="1">
      <c r="A92" s="321" t="s">
        <v>772</v>
      </c>
      <c r="B92" s="2154" t="s">
        <v>4864</v>
      </c>
      <c r="D92" s="2258"/>
      <c r="E92" s="2258"/>
      <c r="F92" s="2258"/>
      <c r="G92" s="2258"/>
      <c r="H92" s="2258"/>
      <c r="I92" s="2270"/>
      <c r="M92" s="2270"/>
      <c r="N92" s="2269"/>
      <c r="P92" s="303"/>
    </row>
    <row r="93" spans="1:16" s="294" customFormat="1" ht="1.5" customHeight="1">
      <c r="A93" s="480"/>
      <c r="B93" s="480"/>
      <c r="C93" s="2154"/>
      <c r="D93" s="2258"/>
      <c r="E93" s="2258"/>
      <c r="F93" s="2258"/>
      <c r="L93" s="2270"/>
      <c r="M93" s="2270"/>
      <c r="N93" s="2269"/>
    </row>
    <row r="94" spans="1:16" s="294" customFormat="1" ht="13.15" customHeight="1">
      <c r="A94" s="480"/>
      <c r="B94" s="480" t="s">
        <v>1984</v>
      </c>
      <c r="C94" s="2261" t="s">
        <v>2377</v>
      </c>
      <c r="D94" s="2258"/>
      <c r="F94" s="2257"/>
      <c r="K94" s="3369" t="s">
        <v>5294</v>
      </c>
      <c r="L94" s="3370"/>
      <c r="M94" s="3371"/>
      <c r="N94" s="2269"/>
    </row>
    <row r="95" spans="1:16" s="294" customFormat="1" ht="1.5" customHeight="1">
      <c r="A95" s="480"/>
      <c r="B95" s="480"/>
      <c r="D95" s="2258"/>
      <c r="F95" s="2258"/>
      <c r="G95" s="2258"/>
      <c r="L95" s="2270"/>
      <c r="M95" s="2270"/>
    </row>
    <row r="96" spans="1:16" s="294" customFormat="1" ht="13.15" customHeight="1">
      <c r="B96" s="480" t="s">
        <v>1986</v>
      </c>
      <c r="C96" s="296" t="s">
        <v>1534</v>
      </c>
      <c r="K96" s="2259" t="s">
        <v>4932</v>
      </c>
      <c r="N96" s="322"/>
      <c r="P96" s="3372" t="s">
        <v>5254</v>
      </c>
    </row>
    <row r="97" spans="1:16" s="294" customFormat="1" ht="4.5" customHeight="1">
      <c r="A97" s="480"/>
      <c r="B97" s="480"/>
      <c r="C97" s="296"/>
      <c r="D97" s="2258"/>
      <c r="E97" s="2258"/>
      <c r="F97" s="2258"/>
      <c r="G97" s="2258"/>
      <c r="I97" s="2270"/>
      <c r="J97" s="2270"/>
      <c r="K97" s="2270"/>
      <c r="L97" s="2270"/>
      <c r="M97" s="2270"/>
      <c r="N97" s="2269"/>
      <c r="P97" s="303"/>
    </row>
    <row r="98" spans="1:16" s="294" customFormat="1" ht="13.15" customHeight="1">
      <c r="A98" s="321" t="s">
        <v>292</v>
      </c>
      <c r="B98" s="2154" t="s">
        <v>2042</v>
      </c>
      <c r="D98" s="2258"/>
    </row>
    <row r="99" spans="1:16" s="294" customFormat="1" ht="1.5" customHeight="1">
      <c r="A99" s="480"/>
      <c r="B99" s="480"/>
      <c r="D99" s="2258"/>
      <c r="N99" s="2269"/>
      <c r="P99" s="303"/>
    </row>
    <row r="100" spans="1:16" s="294" customFormat="1" ht="13.15" customHeight="1">
      <c r="A100" s="321"/>
      <c r="B100" s="480" t="s">
        <v>1984</v>
      </c>
      <c r="C100" s="296" t="s">
        <v>2709</v>
      </c>
      <c r="F100" s="317" t="s">
        <v>2601</v>
      </c>
      <c r="H100" s="3373" t="s">
        <v>2993</v>
      </c>
      <c r="K100" s="2257" t="s">
        <v>3888</v>
      </c>
      <c r="P100" s="3373" t="s">
        <v>2993</v>
      </c>
    </row>
    <row r="101" spans="1:16" s="294" customFormat="1" ht="13.15" customHeight="1">
      <c r="A101" s="321"/>
      <c r="B101" s="480"/>
      <c r="C101" s="296"/>
      <c r="F101" s="2258" t="s">
        <v>3894</v>
      </c>
      <c r="H101" s="3374" t="s">
        <v>2993</v>
      </c>
      <c r="K101" s="2257" t="s">
        <v>4724</v>
      </c>
      <c r="P101" s="3374" t="s">
        <v>2990</v>
      </c>
    </row>
    <row r="102" spans="1:16" s="294" customFormat="1" ht="1.5" customHeight="1">
      <c r="A102" s="480"/>
      <c r="B102" s="480"/>
      <c r="C102" s="2154"/>
      <c r="F102" s="2258"/>
      <c r="H102" s="2258"/>
      <c r="J102" s="2270"/>
      <c r="K102" s="2270"/>
      <c r="L102" s="2270"/>
      <c r="M102" s="2270"/>
      <c r="N102" s="2270"/>
      <c r="P102" s="303"/>
    </row>
    <row r="103" spans="1:16" s="294" customFormat="1" ht="13.15" customHeight="1">
      <c r="A103" s="321"/>
      <c r="B103" s="480" t="s">
        <v>1986</v>
      </c>
      <c r="C103" s="296" t="s">
        <v>2710</v>
      </c>
      <c r="F103" s="2257" t="s">
        <v>2680</v>
      </c>
      <c r="H103" s="3362" t="s">
        <v>2993</v>
      </c>
      <c r="I103" s="475" t="s">
        <v>2711</v>
      </c>
      <c r="J103" s="2270"/>
      <c r="L103" s="2270"/>
    </row>
    <row r="104" spans="1:16" s="294" customFormat="1" ht="4.5" customHeight="1">
      <c r="A104" s="480"/>
      <c r="B104" s="480"/>
      <c r="C104" s="296"/>
      <c r="D104" s="2258"/>
      <c r="E104" s="2258"/>
      <c r="F104" s="2258"/>
      <c r="G104" s="2258"/>
      <c r="I104" s="2270"/>
      <c r="J104" s="2270"/>
      <c r="K104" s="2270"/>
      <c r="L104" s="2270"/>
      <c r="M104" s="2270"/>
      <c r="N104" s="2269"/>
      <c r="P104" s="303"/>
    </row>
    <row r="105" spans="1:16" s="294" customFormat="1" ht="13.15" customHeight="1">
      <c r="A105" s="321" t="s">
        <v>426</v>
      </c>
      <c r="B105" s="2154" t="s">
        <v>2784</v>
      </c>
      <c r="D105" s="2258"/>
      <c r="H105" s="3369" t="s">
        <v>2600</v>
      </c>
      <c r="I105" s="3371"/>
      <c r="J105" s="2270"/>
    </row>
    <row r="106" spans="1:16" s="294" customFormat="1" ht="4.5" customHeight="1">
      <c r="A106" s="480"/>
      <c r="D106" s="310"/>
      <c r="E106" s="2269"/>
      <c r="I106" s="310"/>
      <c r="J106" s="302"/>
      <c r="K106" s="2269"/>
      <c r="P106" s="303"/>
    </row>
    <row r="107" spans="1:16" s="294" customFormat="1" ht="13.15" customHeight="1">
      <c r="A107" s="321" t="s">
        <v>362</v>
      </c>
      <c r="B107" s="315" t="s">
        <v>1189</v>
      </c>
      <c r="D107" s="2269"/>
      <c r="E107" s="2269"/>
      <c r="F107" s="2269"/>
      <c r="G107" s="2269"/>
      <c r="H107" s="2269"/>
      <c r="I107" s="310"/>
      <c r="J107" s="302"/>
      <c r="K107" s="2269"/>
      <c r="P107" s="303"/>
    </row>
    <row r="108" spans="1:16" s="294" customFormat="1" ht="3" customHeight="1">
      <c r="A108" s="321"/>
      <c r="B108" s="480"/>
      <c r="C108" s="315"/>
      <c r="D108" s="2269"/>
      <c r="E108" s="2269"/>
      <c r="F108" s="2269"/>
      <c r="G108" s="2269"/>
      <c r="H108" s="2269"/>
      <c r="I108" s="310"/>
      <c r="J108" s="302"/>
      <c r="K108" s="2269"/>
    </row>
    <row r="109" spans="1:16" s="294" customFormat="1" ht="13.15" customHeight="1">
      <c r="A109" s="480"/>
      <c r="B109" s="480"/>
      <c r="C109" s="302" t="s">
        <v>552</v>
      </c>
      <c r="D109" s="2269"/>
      <c r="E109" s="3290"/>
      <c r="F109" s="3291"/>
      <c r="G109" s="3291"/>
      <c r="H109" s="3291"/>
      <c r="I109" s="3291"/>
      <c r="J109" s="3291"/>
      <c r="K109" s="3291"/>
      <c r="L109" s="3292"/>
      <c r="M109" s="2336" t="s">
        <v>553</v>
      </c>
      <c r="N109" s="2336"/>
      <c r="O109" s="3375"/>
      <c r="P109" s="3376"/>
    </row>
    <row r="110" spans="1:16" s="294" customFormat="1" ht="13.15" customHeight="1">
      <c r="C110" s="2259" t="s">
        <v>1021</v>
      </c>
      <c r="D110" s="306"/>
      <c r="E110" s="3294"/>
      <c r="F110" s="3295"/>
      <c r="G110" s="3295"/>
      <c r="H110" s="3296"/>
      <c r="I110" s="3295"/>
      <c r="J110" s="3296"/>
      <c r="K110" s="3295"/>
      <c r="L110" s="3298"/>
      <c r="M110" s="2336" t="s">
        <v>808</v>
      </c>
      <c r="N110" s="2336"/>
      <c r="O110" s="3377"/>
      <c r="P110" s="3378"/>
    </row>
    <row r="111" spans="1:16" s="294" customFormat="1" ht="13.15" customHeight="1">
      <c r="C111" s="2259" t="s">
        <v>618</v>
      </c>
      <c r="E111" s="3315"/>
      <c r="F111" s="3379"/>
      <c r="G111" s="3380"/>
      <c r="H111" s="2262" t="s">
        <v>1799</v>
      </c>
      <c r="I111" s="3381"/>
      <c r="J111" s="323" t="s">
        <v>2230</v>
      </c>
      <c r="K111" s="3382"/>
      <c r="L111" s="3383"/>
      <c r="M111" s="271" t="s">
        <v>3661</v>
      </c>
      <c r="N111" s="271"/>
      <c r="O111" s="3384"/>
      <c r="P111" s="3385"/>
    </row>
    <row r="112" spans="1:16" s="294" customFormat="1" ht="13.15" customHeight="1">
      <c r="C112" s="294" t="s">
        <v>2195</v>
      </c>
      <c r="E112" s="3315"/>
      <c r="F112" s="3379"/>
      <c r="G112" s="3380"/>
      <c r="H112" s="970" t="s">
        <v>1981</v>
      </c>
      <c r="I112" s="3386"/>
      <c r="J112" s="3387"/>
      <c r="K112" s="3388"/>
      <c r="L112" s="2280" t="s">
        <v>1985</v>
      </c>
      <c r="M112" s="3290"/>
      <c r="N112" s="3389"/>
      <c r="O112" s="3390"/>
      <c r="P112" s="3391"/>
    </row>
    <row r="113" spans="1:16" s="294" customFormat="1" ht="13.15" customHeight="1">
      <c r="C113" s="2259" t="s">
        <v>2194</v>
      </c>
      <c r="E113" s="3310"/>
      <c r="F113" s="3392"/>
      <c r="G113" s="3311"/>
      <c r="H113" s="970" t="s">
        <v>1802</v>
      </c>
      <c r="I113" s="3310"/>
      <c r="J113" s="3393"/>
      <c r="K113" s="2262" t="s">
        <v>2705</v>
      </c>
      <c r="L113" s="3282"/>
      <c r="M113" s="3394"/>
      <c r="N113" s="3394"/>
      <c r="O113" s="3394"/>
      <c r="P113" s="3395"/>
    </row>
    <row r="114" spans="1:16" s="294" customFormat="1" ht="3" customHeight="1">
      <c r="A114" s="480"/>
      <c r="B114" s="480"/>
      <c r="G114" s="310"/>
      <c r="H114" s="2270"/>
      <c r="I114" s="2270"/>
      <c r="M114" s="303"/>
    </row>
    <row r="115" spans="1:16" s="294" customFormat="1" ht="13.15" customHeight="1">
      <c r="A115" s="321" t="s">
        <v>363</v>
      </c>
      <c r="B115" s="2154" t="s">
        <v>1669</v>
      </c>
      <c r="D115" s="310"/>
      <c r="E115" s="310"/>
      <c r="F115" s="2270"/>
      <c r="G115" s="2270"/>
      <c r="H115" s="2270"/>
      <c r="N115" s="2269"/>
      <c r="O115" s="2269"/>
      <c r="P115" s="303"/>
    </row>
    <row r="116" spans="1:16" s="294" customFormat="1" ht="1.5" customHeight="1">
      <c r="A116" s="321"/>
      <c r="B116" s="2154"/>
      <c r="D116" s="310"/>
      <c r="E116" s="310"/>
      <c r="F116" s="2270"/>
      <c r="G116" s="2270"/>
      <c r="H116" s="2270"/>
      <c r="I116" s="2270"/>
      <c r="J116" s="310"/>
      <c r="K116" s="2270"/>
      <c r="L116" s="2270"/>
      <c r="N116" s="2269"/>
      <c r="O116" s="2269"/>
      <c r="P116" s="303"/>
    </row>
    <row r="117" spans="1:16" s="294" customFormat="1" ht="13.1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1984</v>
      </c>
      <c r="C119" s="2154" t="s">
        <v>1412</v>
      </c>
      <c r="D119" s="2258"/>
      <c r="E119" s="2258"/>
      <c r="F119" s="2270"/>
      <c r="G119" s="2270"/>
      <c r="H119" s="3396">
        <v>2</v>
      </c>
      <c r="N119" s="2269"/>
      <c r="O119" s="2269"/>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1986</v>
      </c>
      <c r="C121" s="2154" t="s">
        <v>416</v>
      </c>
      <c r="D121" s="2258"/>
      <c r="E121" s="2258"/>
      <c r="F121" s="2270"/>
      <c r="G121" s="2270"/>
      <c r="H121" s="3397">
        <v>1536354</v>
      </c>
      <c r="J121" s="310"/>
      <c r="K121" s="2257"/>
      <c r="N121" s="2269"/>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4" t="s">
        <v>302</v>
      </c>
      <c r="D123" s="2258"/>
      <c r="E123" s="2258"/>
      <c r="F123" s="2270"/>
      <c r="G123" s="2270"/>
      <c r="H123" s="2270"/>
      <c r="I123" s="2270"/>
      <c r="J123" s="310"/>
      <c r="K123" s="2270"/>
      <c r="L123" s="2270"/>
      <c r="N123" s="2269"/>
      <c r="O123" s="2269"/>
    </row>
    <row r="124" spans="1:16" s="294" customFormat="1" ht="13.15" customHeight="1">
      <c r="B124" s="480"/>
      <c r="C124" s="2258" t="s">
        <v>2136</v>
      </c>
      <c r="D124" s="2258"/>
      <c r="F124" s="2258" t="s">
        <v>1134</v>
      </c>
      <c r="G124" s="2270"/>
      <c r="H124" s="2270"/>
      <c r="I124" s="2270" t="s">
        <v>1294</v>
      </c>
      <c r="J124" s="2258" t="s">
        <v>2136</v>
      </c>
      <c r="K124" s="2258"/>
      <c r="M124" s="2258" t="s">
        <v>1134</v>
      </c>
      <c r="N124" s="2270"/>
      <c r="O124" s="2270"/>
      <c r="P124" s="2270" t="s">
        <v>1294</v>
      </c>
    </row>
    <row r="125" spans="1:16" s="294" customFormat="1" ht="13.15" customHeight="1">
      <c r="A125" s="480"/>
      <c r="B125" s="480"/>
      <c r="C125" s="3398" t="s">
        <v>5140</v>
      </c>
      <c r="D125" s="3399"/>
      <c r="E125" s="3399"/>
      <c r="F125" s="3400" t="s">
        <v>5137</v>
      </c>
      <c r="G125" s="3401"/>
      <c r="H125" s="3402"/>
      <c r="I125" s="3403" t="s">
        <v>5142</v>
      </c>
      <c r="J125" s="3398" t="s">
        <v>5297</v>
      </c>
      <c r="K125" s="3399"/>
      <c r="L125" s="3399"/>
      <c r="M125" s="3400" t="s">
        <v>5137</v>
      </c>
      <c r="N125" s="3401"/>
      <c r="O125" s="3402"/>
      <c r="P125" s="3403" t="s">
        <v>5142</v>
      </c>
    </row>
    <row r="126" spans="1:16" s="294" customFormat="1" ht="13.15" customHeight="1">
      <c r="A126" s="480"/>
      <c r="B126" s="480"/>
      <c r="C126" s="3404">
        <v>2</v>
      </c>
      <c r="D126" s="3405"/>
      <c r="E126" s="3405"/>
      <c r="F126" s="3406" t="s">
        <v>5141</v>
      </c>
      <c r="G126" s="3407"/>
      <c r="H126" s="3408"/>
      <c r="I126" s="3409" t="s">
        <v>5142</v>
      </c>
      <c r="J126" s="3404">
        <v>8</v>
      </c>
      <c r="K126" s="3405"/>
      <c r="L126" s="3405"/>
      <c r="M126" s="3406" t="s">
        <v>5141</v>
      </c>
      <c r="N126" s="3407"/>
      <c r="O126" s="3408"/>
      <c r="P126" s="3409" t="s">
        <v>5142</v>
      </c>
    </row>
    <row r="127" spans="1:16" s="294" customFormat="1" ht="13.15" customHeight="1">
      <c r="A127" s="480"/>
      <c r="B127" s="480"/>
      <c r="C127" s="3404" t="s">
        <v>5295</v>
      </c>
      <c r="D127" s="3405"/>
      <c r="E127" s="3405"/>
      <c r="F127" s="3410" t="s">
        <v>5137</v>
      </c>
      <c r="G127" s="3411"/>
      <c r="H127" s="3412"/>
      <c r="I127" s="3409" t="s">
        <v>5142</v>
      </c>
      <c r="J127" s="3404" t="s">
        <v>5298</v>
      </c>
      <c r="K127" s="3405"/>
      <c r="L127" s="3405"/>
      <c r="M127" s="3406" t="s">
        <v>5141</v>
      </c>
      <c r="N127" s="3407"/>
      <c r="O127" s="3408"/>
      <c r="P127" s="3409" t="s">
        <v>5142</v>
      </c>
    </row>
    <row r="128" spans="1:16" s="294" customFormat="1" ht="13.15" customHeight="1">
      <c r="A128" s="480"/>
      <c r="B128" s="480"/>
      <c r="C128" s="3404">
        <v>4</v>
      </c>
      <c r="D128" s="3405"/>
      <c r="E128" s="3405"/>
      <c r="F128" s="3406" t="s">
        <v>5141</v>
      </c>
      <c r="G128" s="3407"/>
      <c r="H128" s="3408"/>
      <c r="I128" s="3409" t="s">
        <v>5142</v>
      </c>
      <c r="J128" s="3404">
        <v>10</v>
      </c>
      <c r="K128" s="3405"/>
      <c r="L128" s="3405"/>
      <c r="M128" s="3406" t="s">
        <v>5299</v>
      </c>
      <c r="N128" s="3407"/>
      <c r="O128" s="3408"/>
      <c r="P128" s="3409" t="s">
        <v>5142</v>
      </c>
    </row>
    <row r="129" spans="1:16" s="294" customFormat="1" ht="13.15" customHeight="1">
      <c r="A129" s="480"/>
      <c r="B129" s="480"/>
      <c r="C129" s="3404" t="s">
        <v>5296</v>
      </c>
      <c r="D129" s="3405"/>
      <c r="E129" s="3405"/>
      <c r="F129" s="3406" t="s">
        <v>5137</v>
      </c>
      <c r="G129" s="3407"/>
      <c r="H129" s="3408"/>
      <c r="I129" s="3409" t="s">
        <v>5142</v>
      </c>
      <c r="J129" s="3404">
        <v>11</v>
      </c>
      <c r="K129" s="3405"/>
      <c r="L129" s="3405"/>
      <c r="M129" s="3406"/>
      <c r="N129" s="3407"/>
      <c r="O129" s="3408"/>
      <c r="P129" s="3409"/>
    </row>
    <row r="130" spans="1:16" s="294" customFormat="1" ht="13.15" customHeight="1">
      <c r="A130" s="480"/>
      <c r="B130" s="480"/>
      <c r="C130" s="3413">
        <v>6</v>
      </c>
      <c r="D130" s="3414"/>
      <c r="E130" s="3414"/>
      <c r="F130" s="3415" t="s">
        <v>5141</v>
      </c>
      <c r="G130" s="3416"/>
      <c r="H130" s="3417"/>
      <c r="I130" s="3418" t="s">
        <v>5142</v>
      </c>
      <c r="J130" s="3413">
        <v>12</v>
      </c>
      <c r="K130" s="3414"/>
      <c r="L130" s="3414"/>
      <c r="M130" s="3415"/>
      <c r="N130" s="3416"/>
      <c r="O130" s="3417"/>
      <c r="P130" s="3418"/>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2116</v>
      </c>
      <c r="C132" s="2335" t="s">
        <v>1848</v>
      </c>
      <c r="D132" s="2335"/>
      <c r="E132" s="2335"/>
      <c r="F132" s="2335"/>
      <c r="G132" s="2335"/>
      <c r="H132" s="2335"/>
      <c r="I132" s="2335"/>
      <c r="J132" s="2335"/>
      <c r="K132" s="2335"/>
      <c r="L132" s="2335"/>
      <c r="M132" s="2335"/>
      <c r="N132" s="2335"/>
      <c r="O132" s="2335"/>
      <c r="P132" s="2335"/>
    </row>
    <row r="133" spans="1:16" s="294" customFormat="1" ht="13.15" customHeight="1">
      <c r="A133" s="480"/>
      <c r="B133" s="480"/>
      <c r="C133" s="2335"/>
      <c r="D133" s="2335"/>
      <c r="E133" s="2335"/>
      <c r="F133" s="2335"/>
      <c r="G133" s="2335"/>
      <c r="H133" s="2335"/>
      <c r="I133" s="2335"/>
      <c r="J133" s="2335"/>
      <c r="K133" s="2335"/>
      <c r="L133" s="2335"/>
      <c r="M133" s="2335"/>
      <c r="N133" s="2335"/>
      <c r="O133" s="2335"/>
      <c r="P133" s="2335"/>
    </row>
    <row r="134" spans="1:16" s="294" customFormat="1" ht="13.15" customHeight="1">
      <c r="B134" s="480"/>
      <c r="C134" s="2258" t="s">
        <v>2136</v>
      </c>
      <c r="D134" s="2258"/>
      <c r="F134" s="2258" t="s">
        <v>1134</v>
      </c>
      <c r="G134" s="2270"/>
      <c r="H134" s="2270"/>
      <c r="I134" s="2270"/>
      <c r="J134" s="2258" t="s">
        <v>2136</v>
      </c>
      <c r="K134" s="2258"/>
      <c r="M134" s="2258" t="s">
        <v>1134</v>
      </c>
      <c r="N134" s="2270"/>
      <c r="O134" s="2270"/>
      <c r="P134" s="2270"/>
    </row>
    <row r="135" spans="1:16" s="294" customFormat="1" ht="13.15" customHeight="1">
      <c r="A135" s="480"/>
      <c r="B135" s="480"/>
      <c r="C135" s="3398">
        <v>1</v>
      </c>
      <c r="D135" s="3399"/>
      <c r="E135" s="3399"/>
      <c r="F135" s="3400"/>
      <c r="G135" s="3401"/>
      <c r="H135" s="3401"/>
      <c r="I135" s="3419"/>
      <c r="J135" s="3398">
        <v>7</v>
      </c>
      <c r="K135" s="3399"/>
      <c r="L135" s="3399"/>
      <c r="M135" s="3400"/>
      <c r="N135" s="3401"/>
      <c r="O135" s="3401"/>
      <c r="P135" s="3419"/>
    </row>
    <row r="136" spans="1:16" s="294" customFormat="1" ht="13.15" customHeight="1">
      <c r="A136" s="480"/>
      <c r="B136" s="480"/>
      <c r="C136" s="3404">
        <v>2</v>
      </c>
      <c r="D136" s="3405"/>
      <c r="E136" s="3405"/>
      <c r="F136" s="3406"/>
      <c r="G136" s="3407"/>
      <c r="H136" s="3407"/>
      <c r="I136" s="3420"/>
      <c r="J136" s="3404">
        <v>8</v>
      </c>
      <c r="K136" s="3405"/>
      <c r="L136" s="3405"/>
      <c r="M136" s="3406"/>
      <c r="N136" s="3407"/>
      <c r="O136" s="3407"/>
      <c r="P136" s="3420"/>
    </row>
    <row r="137" spans="1:16" s="294" customFormat="1" ht="13.15" customHeight="1">
      <c r="A137" s="480"/>
      <c r="B137" s="480"/>
      <c r="C137" s="3404">
        <v>3</v>
      </c>
      <c r="D137" s="3405"/>
      <c r="E137" s="3405"/>
      <c r="F137" s="3406"/>
      <c r="G137" s="3407"/>
      <c r="H137" s="3407"/>
      <c r="I137" s="3420"/>
      <c r="J137" s="3404">
        <v>9</v>
      </c>
      <c r="K137" s="3405"/>
      <c r="L137" s="3405"/>
      <c r="M137" s="3406"/>
      <c r="N137" s="3407"/>
      <c r="O137" s="3407"/>
      <c r="P137" s="3420"/>
    </row>
    <row r="138" spans="1:16" s="294" customFormat="1" ht="13.15" customHeight="1">
      <c r="A138" s="480"/>
      <c r="B138" s="480"/>
      <c r="C138" s="3404">
        <v>4</v>
      </c>
      <c r="D138" s="3405"/>
      <c r="E138" s="3405"/>
      <c r="F138" s="3406"/>
      <c r="G138" s="3407"/>
      <c r="H138" s="3407"/>
      <c r="I138" s="3420"/>
      <c r="J138" s="3404">
        <v>10</v>
      </c>
      <c r="K138" s="3405"/>
      <c r="L138" s="3405"/>
      <c r="M138" s="3406"/>
      <c r="N138" s="3407"/>
      <c r="O138" s="3407"/>
      <c r="P138" s="3420"/>
    </row>
    <row r="139" spans="1:16" s="294" customFormat="1" ht="13.15" customHeight="1">
      <c r="A139" s="480"/>
      <c r="B139" s="480"/>
      <c r="C139" s="3404">
        <v>5</v>
      </c>
      <c r="D139" s="3405"/>
      <c r="E139" s="3405"/>
      <c r="F139" s="3406"/>
      <c r="G139" s="3407"/>
      <c r="H139" s="3407"/>
      <c r="I139" s="3420"/>
      <c r="J139" s="3404">
        <v>11</v>
      </c>
      <c r="K139" s="3405"/>
      <c r="L139" s="3405"/>
      <c r="M139" s="3406"/>
      <c r="N139" s="3407"/>
      <c r="O139" s="3407"/>
      <c r="P139" s="3420"/>
    </row>
    <row r="140" spans="1:16" s="294" customFormat="1" ht="13.15" customHeight="1">
      <c r="A140" s="480"/>
      <c r="B140" s="480"/>
      <c r="C140" s="3413">
        <v>6</v>
      </c>
      <c r="D140" s="3414"/>
      <c r="E140" s="3414"/>
      <c r="F140" s="3415"/>
      <c r="G140" s="3416"/>
      <c r="H140" s="3416"/>
      <c r="I140" s="3421"/>
      <c r="J140" s="3413">
        <v>12</v>
      </c>
      <c r="K140" s="3414"/>
      <c r="L140" s="3414"/>
      <c r="M140" s="3415"/>
      <c r="N140" s="3416"/>
      <c r="O140" s="3416"/>
      <c r="P140" s="3421"/>
    </row>
    <row r="141" spans="1:16" s="294" customFormat="1" ht="1.5" customHeight="1">
      <c r="A141" s="480"/>
      <c r="B141" s="480"/>
      <c r="C141" s="2258"/>
      <c r="D141" s="2258"/>
      <c r="E141" s="2258"/>
      <c r="F141" s="2270"/>
      <c r="G141" s="2270"/>
      <c r="H141" s="2270"/>
      <c r="I141" s="2270"/>
      <c r="J141" s="310"/>
      <c r="K141" s="2270"/>
      <c r="L141" s="2270"/>
      <c r="N141" s="2269"/>
      <c r="O141" s="2269"/>
      <c r="P141" s="303"/>
    </row>
    <row r="142" spans="1:16" s="294" customFormat="1" ht="3" customHeight="1" thickBot="1">
      <c r="A142" s="480"/>
      <c r="B142" s="480"/>
      <c r="C142" s="2258"/>
      <c r="D142" s="2258"/>
      <c r="E142" s="2258"/>
      <c r="F142" s="2270"/>
      <c r="G142" s="2270"/>
      <c r="H142" s="2270"/>
      <c r="I142" s="2270"/>
      <c r="J142" s="310"/>
      <c r="K142" s="2270"/>
      <c r="L142" s="2270"/>
      <c r="N142" s="2269"/>
      <c r="O142" s="2269"/>
      <c r="P142" s="303"/>
    </row>
    <row r="143" spans="1:16" s="294" customFormat="1" ht="14.65" customHeight="1" thickBot="1">
      <c r="A143" s="296" t="s">
        <v>364</v>
      </c>
      <c r="B143" s="304" t="s">
        <v>4965</v>
      </c>
      <c r="D143" s="304"/>
      <c r="E143" s="304"/>
      <c r="F143" s="304"/>
      <c r="I143" s="3422" t="s">
        <v>2993</v>
      </c>
      <c r="M143" s="2270"/>
      <c r="N143" s="2269"/>
      <c r="O143" s="2269"/>
      <c r="P143" s="303"/>
    </row>
    <row r="144" spans="1:16" s="294" customFormat="1" ht="1.5" customHeight="1">
      <c r="A144" s="321"/>
      <c r="B144" s="480"/>
      <c r="C144" s="2154"/>
      <c r="D144" s="2154"/>
      <c r="E144" s="2154"/>
      <c r="F144" s="2154"/>
      <c r="G144" s="2270"/>
      <c r="M144" s="2270"/>
      <c r="N144" s="2269"/>
      <c r="O144" s="2269"/>
    </row>
    <row r="145" spans="1:16" s="294" customFormat="1" ht="13.15" customHeight="1">
      <c r="A145" s="480"/>
      <c r="B145" s="480" t="s">
        <v>1984</v>
      </c>
      <c r="C145" s="299" t="s">
        <v>1713</v>
      </c>
      <c r="I145" s="3373"/>
      <c r="M145" s="2270"/>
      <c r="N145" s="2269"/>
      <c r="O145" s="2269"/>
      <c r="P145" s="303"/>
    </row>
    <row r="146" spans="1:16" s="294" customFormat="1" ht="13.15" customHeight="1">
      <c r="A146" s="480"/>
      <c r="B146" s="480"/>
      <c r="C146" s="2258" t="s">
        <v>2421</v>
      </c>
      <c r="D146" s="2258"/>
      <c r="E146" s="2258"/>
      <c r="F146" s="2270"/>
      <c r="I146" s="3423"/>
      <c r="N146" s="2269"/>
      <c r="O146" s="2269"/>
      <c r="P146" s="303"/>
    </row>
    <row r="147" spans="1:16" s="294" customFormat="1" ht="13.15" customHeight="1">
      <c r="A147" s="480"/>
      <c r="B147" s="480"/>
      <c r="C147" s="326" t="s">
        <v>1712</v>
      </c>
      <c r="D147" s="2259"/>
      <c r="I147" s="3319"/>
      <c r="P147" s="303"/>
    </row>
    <row r="148" spans="1:16" s="294" customFormat="1" ht="13.15" customHeight="1">
      <c r="A148" s="480"/>
      <c r="B148" s="480"/>
      <c r="C148" s="2258" t="s">
        <v>2422</v>
      </c>
      <c r="D148" s="2258"/>
      <c r="E148" s="2154"/>
      <c r="F148" s="2270"/>
      <c r="I148" s="3423"/>
      <c r="K148" s="271" t="s">
        <v>2246</v>
      </c>
      <c r="O148" s="3290" t="s">
        <v>484</v>
      </c>
      <c r="P148" s="3292"/>
    </row>
    <row r="149" spans="1:16" s="294" customFormat="1" ht="13.15" customHeight="1">
      <c r="A149" s="480"/>
      <c r="B149" s="480"/>
      <c r="C149" s="2258" t="s">
        <v>2420</v>
      </c>
      <c r="F149" s="2270"/>
      <c r="I149" s="3424"/>
      <c r="K149" s="271" t="s">
        <v>2247</v>
      </c>
      <c r="O149" s="3318" t="s">
        <v>484</v>
      </c>
      <c r="P149" s="3297"/>
    </row>
    <row r="150" spans="1:16" s="294" customFormat="1" ht="13.15" customHeight="1">
      <c r="A150" s="480"/>
      <c r="B150" s="480"/>
      <c r="C150" s="2258" t="s">
        <v>2167</v>
      </c>
      <c r="D150" s="2258"/>
      <c r="E150" s="2258"/>
      <c r="F150" s="2270"/>
      <c r="I150" s="3425"/>
      <c r="J150" s="3426"/>
      <c r="N150" s="2269"/>
      <c r="O150" s="2269"/>
      <c r="P150" s="303"/>
    </row>
    <row r="151" spans="1:16" s="294" customFormat="1" ht="1.5" customHeight="1">
      <c r="A151" s="480"/>
      <c r="B151" s="480"/>
      <c r="C151" s="2258"/>
      <c r="D151" s="2258"/>
      <c r="E151" s="2258"/>
      <c r="F151" s="2270"/>
      <c r="G151" s="2270"/>
      <c r="M151" s="2270"/>
      <c r="N151" s="2269"/>
      <c r="O151" s="2269"/>
      <c r="P151" s="303"/>
    </row>
    <row r="152" spans="1:16" s="294" customFormat="1" ht="13.15" customHeight="1">
      <c r="A152" s="480"/>
      <c r="B152" s="480" t="s">
        <v>1986</v>
      </c>
      <c r="C152" s="2215" t="s">
        <v>2702</v>
      </c>
      <c r="D152" s="2258"/>
      <c r="E152" s="317" t="s">
        <v>5048</v>
      </c>
      <c r="F152" s="317"/>
      <c r="G152" s="317"/>
      <c r="I152" s="3427"/>
      <c r="K152" s="317" t="s">
        <v>5050</v>
      </c>
      <c r="L152" s="317"/>
      <c r="M152" s="317"/>
      <c r="O152" s="3428"/>
      <c r="P152" s="303"/>
    </row>
    <row r="153" spans="1:16" s="294" customFormat="1" ht="13.15" customHeight="1">
      <c r="A153" s="480"/>
      <c r="C153" s="2154"/>
      <c r="D153" s="2258"/>
      <c r="E153" s="317" t="s">
        <v>5049</v>
      </c>
      <c r="F153" s="317"/>
      <c r="G153" s="317"/>
      <c r="I153" s="3429"/>
      <c r="K153" s="317"/>
      <c r="L153" s="317"/>
      <c r="M153" s="317"/>
      <c r="P153" s="303"/>
    </row>
    <row r="154" spans="1:16" s="294" customFormat="1" ht="1.5" customHeight="1">
      <c r="A154" s="480"/>
      <c r="B154" s="480"/>
      <c r="C154" s="2258"/>
      <c r="D154" s="2258"/>
      <c r="E154" s="2258"/>
      <c r="F154" s="2270"/>
      <c r="N154" s="2269"/>
      <c r="O154" s="2269"/>
      <c r="P154" s="303"/>
    </row>
    <row r="155" spans="1:16" s="294" customFormat="1" ht="13.15" customHeight="1">
      <c r="A155" s="480"/>
      <c r="B155" s="480" t="s">
        <v>749</v>
      </c>
      <c r="C155" s="2154" t="s">
        <v>5047</v>
      </c>
      <c r="D155" s="2258"/>
      <c r="E155" s="2258"/>
      <c r="F155" s="2270"/>
      <c r="I155" s="3396"/>
      <c r="N155" s="2269"/>
      <c r="O155" s="2269"/>
      <c r="P155" s="303"/>
    </row>
    <row r="156" spans="1:16" s="294" customFormat="1" ht="3" customHeight="1">
      <c r="A156" s="480"/>
      <c r="B156" s="480"/>
      <c r="C156" s="2258"/>
      <c r="D156" s="2258"/>
      <c r="E156" s="2258"/>
      <c r="F156" s="2270"/>
      <c r="G156" s="2270"/>
      <c r="H156" s="2270"/>
      <c r="I156" s="2270"/>
      <c r="J156" s="310"/>
      <c r="K156" s="2270"/>
      <c r="L156" s="2270"/>
      <c r="N156" s="2269"/>
      <c r="O156" s="2269"/>
      <c r="P156" s="303"/>
    </row>
    <row r="157" spans="1:16" s="294" customFormat="1" ht="13.15" customHeight="1">
      <c r="A157" s="321" t="s">
        <v>1726</v>
      </c>
      <c r="B157" s="318" t="s">
        <v>1190</v>
      </c>
      <c r="D157" s="318"/>
      <c r="E157" s="318"/>
      <c r="F157" s="318"/>
      <c r="G157" s="2270"/>
      <c r="H157" s="2270"/>
      <c r="I157" s="2270"/>
      <c r="J157" s="310"/>
      <c r="K157" s="2270"/>
      <c r="L157" s="2270"/>
      <c r="N157" s="2269"/>
      <c r="O157" s="2269"/>
      <c r="P157" s="303"/>
    </row>
    <row r="158" spans="1:16" s="294" customFormat="1" ht="1.9" customHeight="1">
      <c r="A158" s="321"/>
      <c r="B158" s="480"/>
      <c r="C158" s="2154"/>
      <c r="D158" s="2154"/>
      <c r="E158" s="2154"/>
      <c r="F158" s="2154"/>
      <c r="G158" s="2270"/>
      <c r="H158" s="2270"/>
      <c r="I158" s="2270"/>
      <c r="J158" s="310"/>
      <c r="K158" s="2270"/>
      <c r="L158" s="2270"/>
      <c r="N158" s="2269"/>
      <c r="O158" s="2269"/>
    </row>
    <row r="159" spans="1:16" s="294" customFormat="1" ht="13.15" customHeight="1">
      <c r="A159" s="480"/>
      <c r="B159" s="480" t="s">
        <v>1984</v>
      </c>
      <c r="C159" s="309" t="s">
        <v>1822</v>
      </c>
      <c r="F159" s="2270"/>
      <c r="G159" s="2270"/>
      <c r="H159" s="2270"/>
      <c r="I159" s="2270"/>
      <c r="J159" s="310"/>
      <c r="K159" s="2270"/>
      <c r="L159" s="2270"/>
      <c r="N159" s="2269"/>
      <c r="O159" s="2269"/>
      <c r="P159" s="303"/>
    </row>
    <row r="160" spans="1:16" s="294" customFormat="1" ht="12.4" customHeight="1">
      <c r="A160" s="480"/>
      <c r="B160" s="480"/>
      <c r="C160" s="317" t="s">
        <v>1527</v>
      </c>
      <c r="D160" s="310"/>
      <c r="E160" s="310"/>
      <c r="F160" s="2270"/>
      <c r="G160" s="2270"/>
      <c r="H160" s="2270"/>
      <c r="I160" s="3430"/>
      <c r="N160" s="2269"/>
      <c r="O160" s="2269"/>
      <c r="P160" s="303"/>
    </row>
    <row r="161" spans="1:16" s="294" customFormat="1" ht="12.4" customHeight="1">
      <c r="A161" s="480"/>
      <c r="B161" s="480"/>
      <c r="C161" s="2331" t="s">
        <v>4967</v>
      </c>
      <c r="D161" s="2331"/>
      <c r="E161" s="2331"/>
      <c r="F161" s="2331"/>
      <c r="G161" s="294" t="s">
        <v>4777</v>
      </c>
      <c r="I161" s="3431"/>
      <c r="K161" s="2259" t="s">
        <v>1795</v>
      </c>
      <c r="P161" s="2066">
        <f>IF('Part VI-Revenues &amp; Expenses'!$O$65=0,0,I161/'Part VI-Revenues &amp; Expenses'!$O$65)</f>
        <v>0</v>
      </c>
    </row>
    <row r="162" spans="1:16" s="294" customFormat="1" ht="12.4" customHeight="1">
      <c r="A162" s="480"/>
      <c r="B162" s="480"/>
      <c r="C162" s="2331"/>
      <c r="D162" s="2331"/>
      <c r="E162" s="2331"/>
      <c r="F162" s="2331"/>
      <c r="G162" s="294" t="s">
        <v>4776</v>
      </c>
      <c r="I162" s="3431"/>
      <c r="K162" s="2259" t="s">
        <v>1795</v>
      </c>
      <c r="O162" s="2274"/>
      <c r="P162" s="2067">
        <f>IF('Part VI-Revenues &amp; Expenses'!$O$65=0,0,I162/'Part VI-Revenues &amp; Expenses'!$O$65)</f>
        <v>0</v>
      </c>
    </row>
    <row r="163" spans="1:16" s="294" customFormat="1" ht="12" customHeight="1">
      <c r="A163" s="480"/>
      <c r="B163" s="480"/>
      <c r="C163" s="2259" t="s">
        <v>4778</v>
      </c>
      <c r="I163" s="3365"/>
      <c r="K163" s="2259" t="s">
        <v>1795</v>
      </c>
      <c r="O163" s="2065"/>
      <c r="P163" s="2068">
        <f>IF('Part VI-Revenues &amp; Expenses'!$O$65=0,0,I163/'Part VI-Revenues &amp; Expenses'!$O$65)</f>
        <v>0</v>
      </c>
    </row>
    <row r="164" spans="1:16" s="294" customFormat="1" ht="3" customHeight="1">
      <c r="A164" s="480"/>
      <c r="B164" s="480"/>
    </row>
    <row r="165" spans="1:16" s="294" customFormat="1" ht="12.4" customHeight="1">
      <c r="A165" s="480"/>
      <c r="B165" s="480"/>
      <c r="C165" s="294" t="s">
        <v>1796</v>
      </c>
      <c r="D165" s="3290"/>
      <c r="E165" s="3291"/>
      <c r="F165" s="3291"/>
      <c r="G165" s="3291"/>
      <c r="H165" s="3292"/>
      <c r="I165" s="2259" t="s">
        <v>4722</v>
      </c>
      <c r="N165" s="3306"/>
      <c r="O165" s="3432"/>
      <c r="P165" s="3304"/>
    </row>
    <row r="166" spans="1:16" s="294" customFormat="1" ht="12.4" customHeight="1">
      <c r="A166" s="480"/>
      <c r="B166" s="480"/>
      <c r="C166" s="2259" t="s">
        <v>4723</v>
      </c>
      <c r="D166" s="3315"/>
      <c r="E166" s="3316"/>
      <c r="F166" s="3295"/>
      <c r="G166" s="3316"/>
      <c r="H166" s="3317"/>
      <c r="I166" s="2268" t="s">
        <v>1797</v>
      </c>
      <c r="J166" s="3290"/>
      <c r="K166" s="3291"/>
      <c r="L166" s="3292"/>
      <c r="M166" s="2048" t="s">
        <v>1981</v>
      </c>
      <c r="N166" s="3315"/>
      <c r="O166" s="3316"/>
      <c r="P166" s="3317"/>
    </row>
    <row r="167" spans="1:16" s="294" customFormat="1" ht="12.4" customHeight="1">
      <c r="A167" s="480"/>
      <c r="B167" s="480"/>
      <c r="C167" s="2259" t="s">
        <v>618</v>
      </c>
      <c r="D167" s="3315"/>
      <c r="E167" s="3317"/>
      <c r="F167" s="2046" t="s">
        <v>2230</v>
      </c>
      <c r="G167" s="3433"/>
      <c r="H167" s="3434"/>
      <c r="I167" s="327" t="s">
        <v>1802</v>
      </c>
      <c r="J167" s="3435"/>
      <c r="K167" s="3436"/>
      <c r="L167" s="3437"/>
      <c r="M167" s="2047" t="s">
        <v>1980</v>
      </c>
      <c r="N167" s="3435"/>
      <c r="O167" s="3436"/>
      <c r="P167" s="3437"/>
    </row>
    <row r="168" spans="1:16" s="294" customFormat="1" ht="12.4" customHeight="1">
      <c r="A168" s="480"/>
      <c r="B168" s="480"/>
      <c r="C168" s="294" t="s">
        <v>2705</v>
      </c>
      <c r="D168" s="3307"/>
      <c r="E168" s="3308"/>
      <c r="F168" s="3308"/>
      <c r="G168" s="3308"/>
      <c r="H168" s="3309"/>
      <c r="I168" s="327" t="s">
        <v>1800</v>
      </c>
      <c r="J168" s="3438"/>
      <c r="K168" s="3394"/>
      <c r="L168" s="3394"/>
      <c r="M168" s="3394"/>
      <c r="N168" s="3394"/>
      <c r="O168" s="3394"/>
      <c r="P168" s="3395"/>
    </row>
    <row r="169" spans="1:16" s="294" customFormat="1" ht="12" customHeight="1">
      <c r="A169" s="480"/>
      <c r="B169" s="480"/>
      <c r="C169" s="294" t="s">
        <v>4779</v>
      </c>
      <c r="E169" s="328"/>
      <c r="F169" s="328"/>
      <c r="G169" s="328"/>
      <c r="H169" s="2270"/>
      <c r="I169" s="3428"/>
      <c r="J169" s="2332" t="s">
        <v>761</v>
      </c>
      <c r="K169" s="2333"/>
      <c r="L169" s="3396"/>
      <c r="M169" s="328"/>
      <c r="N169" s="2270"/>
      <c r="O169" s="328"/>
      <c r="P169" s="328"/>
    </row>
    <row r="170" spans="1:16" s="294" customFormat="1" ht="3" customHeight="1">
      <c r="A170" s="480"/>
      <c r="B170" s="480"/>
    </row>
    <row r="171" spans="1:16" s="294" customFormat="1" ht="12.4" customHeight="1">
      <c r="A171" s="480"/>
      <c r="B171" s="480" t="s">
        <v>1986</v>
      </c>
      <c r="C171" s="2261" t="s">
        <v>2703</v>
      </c>
      <c r="D171" s="2261"/>
      <c r="E171" s="2261"/>
      <c r="F171" s="2261"/>
      <c r="G171" s="2261"/>
      <c r="I171" s="3439" t="s">
        <v>2993</v>
      </c>
      <c r="J171" s="2324" t="s">
        <v>761</v>
      </c>
      <c r="K171" s="2325"/>
      <c r="L171" s="3439"/>
      <c r="M171" s="2326" t="s">
        <v>2327</v>
      </c>
      <c r="N171" s="2327"/>
      <c r="O171" s="2328"/>
      <c r="P171" s="3440"/>
    </row>
    <row r="172" spans="1:16" s="294" customFormat="1" ht="12.4" customHeight="1">
      <c r="A172" s="480"/>
      <c r="B172" s="480"/>
      <c r="C172" s="2261" t="s">
        <v>2704</v>
      </c>
      <c r="D172" s="2261"/>
      <c r="E172" s="2261"/>
      <c r="F172" s="2261"/>
      <c r="G172" s="2261"/>
      <c r="I172" s="3374" t="s">
        <v>2990</v>
      </c>
      <c r="J172" s="2324" t="s">
        <v>761</v>
      </c>
      <c r="K172" s="2325"/>
      <c r="L172" s="3374">
        <v>30</v>
      </c>
      <c r="M172" s="2326" t="s">
        <v>2327</v>
      </c>
      <c r="N172" s="2327"/>
      <c r="O172" s="2328"/>
      <c r="P172" s="3441">
        <v>15</v>
      </c>
    </row>
    <row r="173" spans="1:16" s="294" customFormat="1" ht="1.5" customHeight="1">
      <c r="A173" s="480"/>
      <c r="B173" s="480"/>
      <c r="C173" s="2261"/>
      <c r="D173" s="2261"/>
      <c r="E173" s="296"/>
      <c r="F173" s="2261"/>
      <c r="G173" s="2261"/>
      <c r="J173" s="2269"/>
      <c r="K173" s="370"/>
      <c r="M173" s="2269"/>
      <c r="O173" s="2270"/>
      <c r="P173" s="303"/>
    </row>
    <row r="174" spans="1:16" s="294" customFormat="1" ht="12.4" customHeight="1">
      <c r="A174" s="480"/>
      <c r="B174" s="480" t="s">
        <v>749</v>
      </c>
      <c r="C174" s="2261" t="s">
        <v>1757</v>
      </c>
      <c r="D174" s="2261"/>
      <c r="E174" s="2261"/>
      <c r="F174" s="2261"/>
      <c r="G174" s="2261"/>
      <c r="I174" s="3362" t="s">
        <v>2993</v>
      </c>
      <c r="L174" s="168"/>
      <c r="M174" s="168"/>
      <c r="P174" s="303"/>
    </row>
    <row r="175" spans="1:16" s="294" customFormat="1" ht="1.5" customHeight="1">
      <c r="A175" s="480"/>
      <c r="B175" s="480"/>
      <c r="C175" s="2259"/>
      <c r="E175" s="328"/>
      <c r="F175" s="328"/>
      <c r="G175" s="328"/>
      <c r="I175" s="328"/>
      <c r="J175" s="328"/>
      <c r="K175" s="2270"/>
      <c r="L175" s="328"/>
      <c r="M175" s="328"/>
      <c r="N175" s="2270"/>
      <c r="O175" s="328"/>
      <c r="P175" s="328"/>
    </row>
    <row r="176" spans="1:16" s="294" customFormat="1" ht="12.4" customHeight="1">
      <c r="A176" s="480"/>
      <c r="B176" s="480" t="s">
        <v>2116</v>
      </c>
      <c r="C176" s="2329" t="s">
        <v>1979</v>
      </c>
      <c r="D176" s="2329"/>
      <c r="E176" s="2329"/>
      <c r="F176" s="2329"/>
      <c r="G176" s="2261"/>
      <c r="I176" s="3362" t="s">
        <v>2993</v>
      </c>
      <c r="J176" s="330" t="s">
        <v>2754</v>
      </c>
      <c r="L176" s="2330" t="s">
        <v>3699</v>
      </c>
      <c r="M176" s="2330"/>
      <c r="N176" s="2261"/>
      <c r="O176" s="2261"/>
      <c r="P176" s="3363"/>
    </row>
    <row r="177" spans="1:16" s="294" customFormat="1" ht="12.4" customHeight="1">
      <c r="B177" s="480"/>
      <c r="L177" s="2334" t="s">
        <v>797</v>
      </c>
      <c r="M177" s="2334"/>
      <c r="N177" s="2154"/>
      <c r="O177" s="2154"/>
      <c r="P177" s="3365"/>
    </row>
    <row r="178" spans="1:16" s="294" customFormat="1" ht="12.4" customHeight="1">
      <c r="A178" s="480"/>
      <c r="B178" s="480"/>
      <c r="L178" s="2334" t="s">
        <v>1791</v>
      </c>
      <c r="M178" s="2334"/>
      <c r="N178" s="2154"/>
      <c r="O178" s="2154"/>
      <c r="P178" s="329" t="str">
        <f>IF(P176="","",P177/P176)</f>
        <v/>
      </c>
    </row>
    <row r="179" spans="1:16" s="294" customFormat="1" ht="13.15" customHeight="1">
      <c r="A179" s="480"/>
      <c r="B179" s="480" t="s">
        <v>1735</v>
      </c>
      <c r="C179" s="2261" t="s">
        <v>1609</v>
      </c>
      <c r="D179" s="2258"/>
      <c r="E179" s="2258"/>
      <c r="F179" s="2258"/>
      <c r="G179" s="2258"/>
      <c r="H179" s="2270"/>
      <c r="J179" s="302"/>
      <c r="K179" s="310"/>
      <c r="M179" s="2269"/>
      <c r="O179" s="2270"/>
      <c r="P179" s="303"/>
    </row>
    <row r="180" spans="1:16" s="294" customFormat="1" ht="12.4" customHeight="1">
      <c r="A180" s="480"/>
      <c r="B180" s="480"/>
      <c r="C180" s="2269" t="s">
        <v>2213</v>
      </c>
      <c r="D180" s="304"/>
      <c r="E180" s="2269"/>
      <c r="F180" s="2269"/>
      <c r="I180" s="3430" t="s">
        <v>2993</v>
      </c>
      <c r="L180" s="2269" t="s">
        <v>1610</v>
      </c>
      <c r="M180" s="2269"/>
      <c r="N180" s="2269"/>
      <c r="P180" s="3430"/>
    </row>
    <row r="181" spans="1:16" s="294" customFormat="1" ht="12.4" customHeight="1">
      <c r="A181" s="480"/>
      <c r="B181" s="480"/>
      <c r="C181" s="2269" t="s">
        <v>2214</v>
      </c>
      <c r="I181" s="3424" t="s">
        <v>2993</v>
      </c>
      <c r="L181" s="2269" t="s">
        <v>2846</v>
      </c>
      <c r="M181" s="2269"/>
      <c r="N181" s="2269"/>
      <c r="P181" s="3424"/>
    </row>
    <row r="182" spans="1:16" s="294" customFormat="1" ht="12.4" customHeight="1">
      <c r="A182" s="480"/>
      <c r="C182" s="2269" t="s">
        <v>2723</v>
      </c>
      <c r="I182" s="3424" t="s">
        <v>2993</v>
      </c>
      <c r="L182" s="2269" t="s">
        <v>2691</v>
      </c>
      <c r="N182" s="3442"/>
      <c r="O182" s="3443"/>
      <c r="P182" s="3424"/>
    </row>
    <row r="183" spans="1:16" s="294" customFormat="1" ht="12.4" customHeight="1">
      <c r="A183" s="480"/>
      <c r="B183" s="480"/>
      <c r="C183" s="2269" t="s">
        <v>1285</v>
      </c>
      <c r="D183" s="331"/>
      <c r="I183" s="3424" t="s">
        <v>2993</v>
      </c>
      <c r="K183" s="304"/>
      <c r="L183" s="2269" t="s">
        <v>3482</v>
      </c>
      <c r="M183" s="2269"/>
      <c r="N183" s="2269"/>
      <c r="P183" s="3424"/>
    </row>
    <row r="184" spans="1:16" s="294" customFormat="1" ht="12.4" customHeight="1">
      <c r="A184" s="480"/>
      <c r="B184" s="296"/>
      <c r="C184" s="2269" t="s">
        <v>1807</v>
      </c>
      <c r="I184" s="3424" t="s">
        <v>2993</v>
      </c>
      <c r="J184" s="330" t="s">
        <v>2755</v>
      </c>
      <c r="O184" s="3444"/>
      <c r="P184" s="3445"/>
    </row>
    <row r="185" spans="1:16" s="294" customFormat="1" ht="12.4" customHeight="1">
      <c r="A185" s="480"/>
      <c r="B185" s="480"/>
      <c r="C185" s="2269" t="s">
        <v>2903</v>
      </c>
      <c r="I185" s="3429" t="s">
        <v>2990</v>
      </c>
      <c r="J185" s="330" t="s">
        <v>2755</v>
      </c>
      <c r="O185" s="3446">
        <f>1800000-33800</f>
        <v>1766200</v>
      </c>
      <c r="P185" s="3447"/>
    </row>
    <row r="186" spans="1:16" s="294" customFormat="1" ht="1.5" customHeight="1">
      <c r="A186" s="480"/>
      <c r="B186" s="480"/>
      <c r="P186" s="302"/>
    </row>
    <row r="187" spans="1:16" s="294" customFormat="1" ht="13.15" customHeight="1">
      <c r="B187" s="480" t="s">
        <v>1736</v>
      </c>
      <c r="C187" s="299" t="s">
        <v>739</v>
      </c>
    </row>
    <row r="188" spans="1:16" s="294" customFormat="1" ht="12.4" customHeight="1">
      <c r="A188" s="480"/>
      <c r="B188" s="480"/>
      <c r="C188" s="2259" t="s">
        <v>639</v>
      </c>
      <c r="D188" s="2258"/>
      <c r="E188" s="2258"/>
      <c r="F188" s="2270"/>
      <c r="G188" s="2270"/>
      <c r="H188" s="3375"/>
      <c r="I188" s="3376"/>
      <c r="N188" s="2269"/>
      <c r="O188" s="2269"/>
      <c r="P188" s="303"/>
    </row>
    <row r="189" spans="1:16" s="294" customFormat="1" ht="12.4" customHeight="1">
      <c r="A189" s="480"/>
      <c r="B189" s="480"/>
      <c r="C189" s="2259" t="s">
        <v>276</v>
      </c>
      <c r="D189" s="2258"/>
      <c r="E189" s="2258"/>
      <c r="F189" s="2270"/>
      <c r="G189" s="2270"/>
      <c r="H189" s="3448"/>
      <c r="I189" s="3449"/>
      <c r="N189" s="2269"/>
      <c r="O189" s="2269"/>
      <c r="P189" s="303"/>
    </row>
    <row r="190" spans="1:16" s="294" customFormat="1" ht="12.4" customHeight="1">
      <c r="A190" s="480"/>
      <c r="B190" s="480"/>
      <c r="C190" s="2259" t="s">
        <v>2296</v>
      </c>
      <c r="D190" s="2258"/>
      <c r="E190" s="2258"/>
      <c r="F190" s="2270"/>
      <c r="G190" s="2270"/>
      <c r="H190" s="3450">
        <v>44470</v>
      </c>
      <c r="I190" s="3451"/>
      <c r="N190" s="2269"/>
      <c r="O190" s="2269"/>
      <c r="P190" s="303"/>
    </row>
    <row r="191" spans="1:16" s="294" customFormat="1" ht="2.25" customHeight="1">
      <c r="B191" s="296"/>
      <c r="C191" s="2269"/>
      <c r="H191" s="2269"/>
      <c r="L191" s="312"/>
      <c r="M191" s="312"/>
      <c r="N191" s="312"/>
      <c r="O191" s="312"/>
      <c r="P191" s="300"/>
    </row>
    <row r="192" spans="1:16" ht="12" customHeight="1">
      <c r="A192" s="321" t="s">
        <v>2783</v>
      </c>
      <c r="C192" s="321" t="s">
        <v>572</v>
      </c>
      <c r="M192" s="321" t="s">
        <v>2252</v>
      </c>
      <c r="N192" s="321" t="s">
        <v>79</v>
      </c>
    </row>
    <row r="193" spans="1:44" ht="409.5" customHeight="1">
      <c r="A193" s="3452" t="s">
        <v>5306</v>
      </c>
      <c r="B193" s="3453"/>
      <c r="C193" s="3453"/>
      <c r="D193" s="3453"/>
      <c r="E193" s="3453"/>
      <c r="F193" s="3453"/>
      <c r="G193" s="3453"/>
      <c r="H193" s="3453"/>
      <c r="I193" s="3453"/>
      <c r="J193" s="3453"/>
      <c r="K193" s="3453"/>
      <c r="L193" s="3454"/>
      <c r="M193" s="3455"/>
      <c r="N193" s="3456"/>
      <c r="O193" s="3456"/>
      <c r="P193" s="3457"/>
      <c r="Q193" s="2322" t="s">
        <v>2694</v>
      </c>
      <c r="R193" s="2322"/>
      <c r="S193" s="2322"/>
      <c r="T193" s="2322"/>
      <c r="U193" s="2322"/>
    </row>
    <row r="194" spans="1:44" ht="12" customHeight="1">
      <c r="Q194" s="2322"/>
      <c r="R194" s="2322"/>
      <c r="S194" s="2322"/>
      <c r="T194" s="2322"/>
      <c r="U194" s="232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3458"/>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3458"/>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3458"/>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3458"/>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3458"/>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3458"/>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3458"/>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3458"/>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3458"/>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3458"/>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3458"/>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3458"/>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3458"/>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3868</v>
      </c>
      <c r="K223" s="312"/>
      <c r="L223" s="312"/>
      <c r="M223" s="312"/>
      <c r="N223" s="312"/>
      <c r="O223" s="312"/>
      <c r="P223" s="1082"/>
      <c r="Q223" s="3458"/>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3458"/>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3458"/>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3458"/>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3458"/>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3458"/>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9"/>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3458"/>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3458"/>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3458"/>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9"/>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3458"/>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3458"/>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3458"/>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3458"/>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3458"/>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3458"/>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3458"/>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3458"/>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3458"/>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3458"/>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3458"/>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3458"/>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3458"/>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60"/>
      <c r="Q247" s="3458"/>
      <c r="R247" s="1082"/>
      <c r="S247" s="3461"/>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3458"/>
      <c r="R248" s="1082"/>
      <c r="S248" s="3461"/>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3458"/>
      <c r="R249" s="1082"/>
      <c r="S249" s="3461"/>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3458"/>
      <c r="R250" s="1082"/>
      <c r="S250" s="3461"/>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9"/>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3458"/>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3458"/>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60"/>
      <c r="Q255" s="3458"/>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3458"/>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3458"/>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3458"/>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3458"/>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3458"/>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3458"/>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3458"/>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60"/>
      <c r="Q263" s="3458"/>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3458"/>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3458"/>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3458"/>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3458"/>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3458"/>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3458"/>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3458"/>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3458"/>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3458"/>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3458"/>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3458"/>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3458"/>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3458"/>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3458"/>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3458"/>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3458"/>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3458"/>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3458"/>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3458"/>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3458"/>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3458"/>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3458"/>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3458"/>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3458"/>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3458"/>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3458"/>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3458"/>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3458"/>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3458"/>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3458"/>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3458"/>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3458"/>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3458"/>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3458"/>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3458"/>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3458"/>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3458"/>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3458"/>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3458"/>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3458"/>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3458"/>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60"/>
      <c r="Q305" s="3458"/>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3458"/>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3458"/>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3458"/>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3458"/>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3458"/>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3458"/>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3458"/>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3458"/>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3458"/>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3458"/>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3458"/>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3458"/>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3458"/>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9"/>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3458"/>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3458"/>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3458"/>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9"/>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3458"/>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3458"/>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60"/>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3458"/>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3458"/>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3458"/>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9"/>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3458"/>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60"/>
      <c r="Q334" s="3458"/>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3458"/>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3458"/>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3458"/>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9"/>
      <c r="Q340" s="3458"/>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3458"/>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3458"/>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3458"/>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3458"/>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3458"/>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3458"/>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3458"/>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3458"/>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3458"/>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3458"/>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3458"/>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3458"/>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3458"/>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3458"/>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3458"/>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3458"/>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3458"/>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60"/>
      <c r="Q358" s="3458"/>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3458"/>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3458"/>
      <c r="R360" s="1082"/>
      <c r="S360" s="3461"/>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3458"/>
      <c r="R361" s="1082"/>
      <c r="S361" s="3461"/>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3458"/>
      <c r="R362" s="1082"/>
      <c r="S362" s="3461"/>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3461"/>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60"/>
      <c r="Q364" s="1080"/>
      <c r="R364" s="1082"/>
      <c r="S364" s="3461"/>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3461"/>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3461"/>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60"/>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60"/>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60"/>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3460"/>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3460"/>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3460"/>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3460"/>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3460"/>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62"/>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3"/>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3"/>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3"/>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3"/>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3"/>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3"/>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3"/>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3"/>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3"/>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3"/>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3"/>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62"/>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62"/>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3"/>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3"/>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62"/>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3"/>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3"/>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3"/>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62"/>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3"/>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3"/>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3"/>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62"/>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3"/>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61" t="s">
        <v>94</v>
      </c>
      <c r="S620" s="3461" t="s">
        <v>96</v>
      </c>
      <c r="T620" s="3461"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61" t="s">
        <v>2562</v>
      </c>
      <c r="S621" s="3461" t="s">
        <v>628</v>
      </c>
      <c r="T621" s="3464"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3"/>
      <c r="R622" s="3461" t="s">
        <v>2563</v>
      </c>
      <c r="S622" s="3461" t="s">
        <v>319</v>
      </c>
      <c r="T622" s="3464"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61" t="s">
        <v>2564</v>
      </c>
      <c r="S623" s="3461" t="s">
        <v>2484</v>
      </c>
      <c r="T623" s="3464"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61" t="s">
        <v>2565</v>
      </c>
      <c r="S624" s="3461"/>
      <c r="T624" s="3464"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61" t="s">
        <v>2566</v>
      </c>
      <c r="S625" s="3461" t="s">
        <v>2008</v>
      </c>
      <c r="T625" s="3464"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61" t="s">
        <v>2567</v>
      </c>
      <c r="S626" s="3461" t="s">
        <v>2484</v>
      </c>
      <c r="T626" s="3464"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61" t="s">
        <v>2568</v>
      </c>
      <c r="S627" s="3461" t="s">
        <v>1327</v>
      </c>
      <c r="T627" s="3464"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61" t="s">
        <v>2569</v>
      </c>
      <c r="S628" s="3461" t="s">
        <v>2010</v>
      </c>
      <c r="T628" s="3464"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61" t="s">
        <v>2570</v>
      </c>
      <c r="S629" s="3461" t="s">
        <v>666</v>
      </c>
      <c r="T629" s="3464"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61" t="s">
        <v>2571</v>
      </c>
      <c r="S630" s="3461" t="s">
        <v>628</v>
      </c>
      <c r="T630" s="3464"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61" t="s">
        <v>2572</v>
      </c>
      <c r="S631" s="3461" t="s">
        <v>2173</v>
      </c>
      <c r="T631" s="3464"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61" t="s">
        <v>2573</v>
      </c>
      <c r="S632" s="3461" t="s">
        <v>2532</v>
      </c>
      <c r="T632" s="3464"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61" t="s">
        <v>2245</v>
      </c>
      <c r="S633" s="3461" t="s">
        <v>2529</v>
      </c>
      <c r="T633" s="3464"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61" t="s">
        <v>2574</v>
      </c>
      <c r="S634" s="3461" t="s">
        <v>2173</v>
      </c>
      <c r="T634" s="3464"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61" t="s">
        <v>2575</v>
      </c>
      <c r="S635" s="3461" t="s">
        <v>2487</v>
      </c>
      <c r="T635" s="3464"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62"/>
      <c r="R636" s="3461" t="s">
        <v>2576</v>
      </c>
      <c r="S636" s="3461" t="s">
        <v>2008</v>
      </c>
      <c r="T636" s="3464"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61" t="s">
        <v>1045</v>
      </c>
      <c r="S637" s="3461" t="s">
        <v>1456</v>
      </c>
      <c r="T637" s="3464"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3"/>
      <c r="R638" s="3461" t="s">
        <v>904</v>
      </c>
      <c r="S638" s="3461" t="s">
        <v>1103</v>
      </c>
      <c r="T638" s="3464"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61" t="s">
        <v>1046</v>
      </c>
      <c r="S639" s="3461" t="s">
        <v>628</v>
      </c>
      <c r="T639" s="3464"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61" t="s">
        <v>1047</v>
      </c>
      <c r="S640" s="3461" t="s">
        <v>1912</v>
      </c>
      <c r="T640" s="3464"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3"/>
      <c r="R641" s="3461" t="s">
        <v>1048</v>
      </c>
      <c r="S641" s="3461" t="s">
        <v>2006</v>
      </c>
      <c r="T641" s="3464"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61" t="s">
        <v>1049</v>
      </c>
      <c r="S642" s="3461" t="s">
        <v>1096</v>
      </c>
      <c r="T642" s="3464"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5"/>
      <c r="R643" s="3461" t="s">
        <v>1050</v>
      </c>
      <c r="S643" s="3461" t="s">
        <v>1520</v>
      </c>
      <c r="T643" s="3464"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61" t="s">
        <v>1051</v>
      </c>
      <c r="S644" s="3461" t="s">
        <v>2484</v>
      </c>
      <c r="T644" s="3464"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3"/>
      <c r="R645" s="3461" t="s">
        <v>1052</v>
      </c>
      <c r="S645" s="3461" t="s">
        <v>159</v>
      </c>
      <c r="T645" s="3464"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3"/>
      <c r="R646" s="3461" t="s">
        <v>1053</v>
      </c>
      <c r="S646" s="3461" t="s">
        <v>1334</v>
      </c>
      <c r="T646" s="3464"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61" t="s">
        <v>1054</v>
      </c>
      <c r="S647" s="3461" t="s">
        <v>1520</v>
      </c>
      <c r="T647" s="3464"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61" t="s">
        <v>1055</v>
      </c>
      <c r="S648" s="3461" t="s">
        <v>1110</v>
      </c>
      <c r="T648" s="3464"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61" t="s">
        <v>1056</v>
      </c>
      <c r="S649" s="3461" t="s">
        <v>2006</v>
      </c>
      <c r="T649" s="3464"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4"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61" t="s">
        <v>1057</v>
      </c>
      <c r="S651" s="3461" t="s">
        <v>2487</v>
      </c>
      <c r="T651" s="3464"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61" t="s">
        <v>1607</v>
      </c>
      <c r="S652" s="3461" t="s">
        <v>2529</v>
      </c>
      <c r="T652" s="3464"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61" t="s">
        <v>1058</v>
      </c>
      <c r="S653" s="3461"/>
      <c r="T653" s="3464"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61" t="s">
        <v>184</v>
      </c>
      <c r="S654" s="3461" t="s">
        <v>159</v>
      </c>
      <c r="T654" s="3464"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61" t="s">
        <v>1059</v>
      </c>
      <c r="S655" s="3461" t="s">
        <v>175</v>
      </c>
      <c r="T655" s="3464"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61" t="s">
        <v>2286</v>
      </c>
      <c r="S656" s="3461" t="s">
        <v>1206</v>
      </c>
      <c r="T656" s="3464"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61" t="s">
        <v>1060</v>
      </c>
      <c r="S657" s="3461" t="s">
        <v>628</v>
      </c>
      <c r="T657" s="3464"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61" t="s">
        <v>1061</v>
      </c>
      <c r="S658" s="3461" t="s">
        <v>628</v>
      </c>
      <c r="T658" s="3464"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61" t="s">
        <v>1062</v>
      </c>
      <c r="S659" s="3461" t="s">
        <v>628</v>
      </c>
      <c r="T659" s="3464"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61" t="s">
        <v>1063</v>
      </c>
      <c r="S660" s="3461" t="s">
        <v>628</v>
      </c>
      <c r="T660" s="3464"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61" t="s">
        <v>1064</v>
      </c>
      <c r="S661" s="3461" t="s">
        <v>1668</v>
      </c>
      <c r="T661" s="3464"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61" t="s">
        <v>1065</v>
      </c>
      <c r="S662" s="3461" t="s">
        <v>955</v>
      </c>
      <c r="T662" s="3464"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61" t="s">
        <v>1066</v>
      </c>
      <c r="S663" s="3461" t="s">
        <v>122</v>
      </c>
      <c r="T663" s="3464"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3"/>
      <c r="R664" s="3461" t="s">
        <v>1067</v>
      </c>
      <c r="S664" s="3461" t="s">
        <v>628</v>
      </c>
      <c r="T664" s="3464"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61" t="s">
        <v>1068</v>
      </c>
      <c r="S665" s="3461" t="s">
        <v>316</v>
      </c>
      <c r="T665" s="3464"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61" t="s">
        <v>1069</v>
      </c>
      <c r="S666" s="3461" t="s">
        <v>320</v>
      </c>
      <c r="T666" s="3464"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61" t="s">
        <v>832</v>
      </c>
      <c r="S667" s="3461" t="s">
        <v>1313</v>
      </c>
      <c r="T667" s="3464"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61" t="s">
        <v>1070</v>
      </c>
      <c r="S668" s="3461" t="s">
        <v>666</v>
      </c>
      <c r="T668" s="3464"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61" t="s">
        <v>1071</v>
      </c>
      <c r="S669" s="3461" t="s">
        <v>1520</v>
      </c>
      <c r="T669" s="3464"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61" t="s">
        <v>1072</v>
      </c>
      <c r="S670" s="3461" t="s">
        <v>628</v>
      </c>
      <c r="T670" s="3464"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61" t="s">
        <v>1073</v>
      </c>
      <c r="S671" s="3461" t="s">
        <v>658</v>
      </c>
      <c r="T671" s="3464"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61" t="s">
        <v>1074</v>
      </c>
      <c r="S672" s="3461" t="s">
        <v>159</v>
      </c>
      <c r="T672" s="3464"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62"/>
      <c r="R673" s="3461" t="s">
        <v>1075</v>
      </c>
      <c r="S673" s="3461" t="s">
        <v>1912</v>
      </c>
      <c r="T673" s="3464"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3"/>
      <c r="R674" s="3461" t="s">
        <v>1076</v>
      </c>
      <c r="S674" s="3461" t="s">
        <v>2006</v>
      </c>
      <c r="T674" s="3464"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61" t="s">
        <v>1077</v>
      </c>
      <c r="S675" s="3461" t="s">
        <v>628</v>
      </c>
      <c r="T675" s="3464"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61" t="s">
        <v>1078</v>
      </c>
      <c r="S676" s="3461" t="s">
        <v>1668</v>
      </c>
      <c r="T676" s="3464"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3"/>
      <c r="R677" s="3461" t="s">
        <v>1079</v>
      </c>
      <c r="S677" s="3461" t="s">
        <v>2487</v>
      </c>
      <c r="T677" s="3464"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61" t="s">
        <v>1080</v>
      </c>
      <c r="S678" s="3461" t="s">
        <v>159</v>
      </c>
      <c r="T678" s="3464"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61" t="s">
        <v>1081</v>
      </c>
      <c r="S679" s="3461" t="s">
        <v>159</v>
      </c>
      <c r="T679" s="3464"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3"/>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3"/>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3"/>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3"/>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3"/>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3"/>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5"/>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62"/>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3"/>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3"/>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62"/>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3"/>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62"/>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3"/>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3"/>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UNP0jicUt7WILVxL5xipqQIl75KBZCEMYphRarxjwgrLMd7LHGFFmttGms9jLNhbHVMovt1DpRkFNdg3Io3XyA==" saltValue="crQk6kISSEOguRJSiJVj0g==" spinCount="100000" sheet="1" objects="1" scenarios="1" selectLockedCells="1" selectUnlockedCells="1"/>
  <mergeCells count="175">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workbookViewId="0">
      <selection activeCell="C3" sqref="C3:F3"/>
    </sheetView>
  </sheetViews>
  <sheetFormatPr defaultColWidth="9.140625" defaultRowHeight="12.75"/>
  <cols>
    <col min="1" max="1" width="5.140625" style="548" customWidth="1"/>
    <col min="2" max="4" width="10.7109375" style="548" customWidth="1"/>
    <col min="5" max="5" width="15.7109375" style="548" customWidth="1"/>
    <col min="6" max="8" width="10.7109375" style="548" customWidth="1"/>
    <col min="9" max="16384" width="9.140625" style="548"/>
  </cols>
  <sheetData>
    <row r="1" spans="1:8" ht="22.15" customHeight="1">
      <c r="B1" s="3013" t="str">
        <f>Overview!C8</f>
        <v>Abbington Sound</v>
      </c>
      <c r="C1" s="3013"/>
      <c r="D1" s="3013"/>
      <c r="E1" s="3013"/>
      <c r="F1" s="3013"/>
      <c r="G1" s="3013"/>
      <c r="H1" s="1297"/>
    </row>
    <row r="2" spans="1:8" ht="22.15" customHeight="1">
      <c r="A2" s="1869"/>
      <c r="B2" s="1869"/>
      <c r="C2" s="1869"/>
      <c r="D2" s="1869"/>
      <c r="E2" s="1869"/>
      <c r="F2" s="1869"/>
      <c r="G2" s="1869"/>
      <c r="H2" s="1869"/>
    </row>
    <row r="3" spans="1:8" ht="20.25" customHeight="1">
      <c r="C3" s="3012" t="s">
        <v>3077</v>
      </c>
      <c r="D3" s="3012"/>
      <c r="E3" s="3012"/>
      <c r="F3" s="3012"/>
    </row>
    <row r="5" spans="1:8" ht="15.75">
      <c r="D5" s="1260"/>
      <c r="E5" s="1260" t="s">
        <v>3078</v>
      </c>
    </row>
    <row r="6" spans="1:8" ht="15.75">
      <c r="D6" s="1298" t="s">
        <v>2481</v>
      </c>
      <c r="E6" s="1298" t="s">
        <v>3079</v>
      </c>
    </row>
    <row r="7" spans="1:8" ht="15">
      <c r="D7" s="1261"/>
      <c r="E7" s="1261"/>
    </row>
    <row r="8" spans="1:8" ht="21" customHeight="1">
      <c r="D8" s="1262">
        <v>1</v>
      </c>
      <c r="E8" s="1263">
        <f>-'Part VII-Pro Forma'!B25/12</f>
        <v>19085.613738748561</v>
      </c>
    </row>
    <row r="9" spans="1:8" ht="21" customHeight="1">
      <c r="D9" s="1262">
        <v>2</v>
      </c>
      <c r="E9" s="1263">
        <f>-'Part VII-Pro Forma'!C25/12</f>
        <v>19085.613738748561</v>
      </c>
    </row>
    <row r="10" spans="1:8" ht="21" customHeight="1">
      <c r="D10" s="1262">
        <v>3</v>
      </c>
      <c r="E10" s="1263">
        <f>-'Part VII-Pro Forma'!D25/12</f>
        <v>19085.613738748561</v>
      </c>
    </row>
    <row r="11" spans="1:8" ht="21" customHeight="1">
      <c r="D11" s="1264">
        <v>4</v>
      </c>
      <c r="E11" s="1263">
        <f>-'Part VII-Pro Forma'!E25/12</f>
        <v>19085.613738748561</v>
      </c>
    </row>
    <row r="12" spans="1:8" ht="21" customHeight="1">
      <c r="D12" s="1264">
        <v>5</v>
      </c>
      <c r="E12" s="1263">
        <f>-'Part VII-Pro Forma'!F25/12</f>
        <v>19085.613738748561</v>
      </c>
    </row>
    <row r="13" spans="1:8" ht="21" customHeight="1">
      <c r="D13" s="1262">
        <v>6</v>
      </c>
      <c r="E13" s="1263">
        <f>-'Part VII-Pro Forma'!G25/12</f>
        <v>19085.613738748561</v>
      </c>
    </row>
    <row r="14" spans="1:8" ht="21" customHeight="1">
      <c r="D14" s="1262">
        <v>7</v>
      </c>
      <c r="E14" s="1263">
        <f>-'Part VII-Pro Forma'!H25/12</f>
        <v>19085.613738748561</v>
      </c>
    </row>
    <row r="15" spans="1:8" ht="21" customHeight="1">
      <c r="D15" s="1264">
        <v>8</v>
      </c>
      <c r="E15" s="1263">
        <f>-'Part VII-Pro Forma'!I25/12</f>
        <v>19085.613738748561</v>
      </c>
    </row>
    <row r="16" spans="1:8" ht="21" customHeight="1">
      <c r="D16" s="1262">
        <v>9</v>
      </c>
      <c r="E16" s="1263">
        <f>-'Part VII-Pro Forma'!J25/12</f>
        <v>19085.613738748561</v>
      </c>
    </row>
    <row r="17" spans="4:8" ht="21" customHeight="1">
      <c r="D17" s="1262">
        <v>10</v>
      </c>
      <c r="E17" s="1263">
        <f>-'Part VII-Pro Forma'!K25/12</f>
        <v>19085.613738748561</v>
      </c>
    </row>
    <row r="18" spans="4:8" ht="21" customHeight="1">
      <c r="D18" s="1264">
        <v>11</v>
      </c>
      <c r="E18" s="1263">
        <f>-'Part VII-Pro Forma'!B57/12</f>
        <v>19085.613738748561</v>
      </c>
    </row>
    <row r="19" spans="4:8" ht="21" customHeight="1">
      <c r="D19" s="1262">
        <v>12</v>
      </c>
      <c r="E19" s="1263">
        <f>-'Part VII-Pro Forma'!C57/12</f>
        <v>19085.613738748561</v>
      </c>
    </row>
    <row r="20" spans="4:8" ht="21" customHeight="1">
      <c r="D20" s="1262">
        <v>13</v>
      </c>
      <c r="E20" s="1263">
        <f>-'Part VII-Pro Forma'!D57/12</f>
        <v>19085.613738748561</v>
      </c>
    </row>
    <row r="21" spans="4:8" ht="21" customHeight="1">
      <c r="D21" s="1262">
        <v>14</v>
      </c>
      <c r="E21" s="1263">
        <f>-'Part VII-Pro Forma'!E57/12</f>
        <v>19085.613738748561</v>
      </c>
    </row>
    <row r="22" spans="4:8" ht="21" customHeight="1">
      <c r="D22" s="1262">
        <v>15</v>
      </c>
      <c r="E22" s="1263">
        <f>-'Part VII-Pro Forma'!F57/12</f>
        <v>19085.613738748561</v>
      </c>
    </row>
    <row r="23" spans="4:8" ht="21" customHeight="1">
      <c r="D23" s="1262">
        <v>16</v>
      </c>
      <c r="E23" s="1263">
        <f>-'Part VII-Pro Forma'!G57/12</f>
        <v>19085.613738748561</v>
      </c>
    </row>
    <row r="24" spans="4:8" ht="21" customHeight="1">
      <c r="D24" s="1262">
        <v>17</v>
      </c>
      <c r="E24" s="1263">
        <f>-'Part VII-Pro Forma'!H57/12</f>
        <v>19085.613738748561</v>
      </c>
      <c r="H24" s="548" t="s">
        <v>243</v>
      </c>
    </row>
    <row r="25" spans="4:8" ht="21" customHeight="1">
      <c r="D25" s="1262">
        <v>18</v>
      </c>
      <c r="E25" s="1263">
        <f>-'Part VII-Pro Forma'!I57/12</f>
        <v>19085.613738748561</v>
      </c>
    </row>
    <row r="26" spans="4:8" ht="21" customHeight="1">
      <c r="D26" s="1262">
        <v>19</v>
      </c>
      <c r="E26" s="1263">
        <f>-'Part VII-Pro Forma'!J57/12</f>
        <v>19085.613738748561</v>
      </c>
    </row>
    <row r="27" spans="4:8" ht="21" customHeight="1">
      <c r="D27" s="1262">
        <v>20</v>
      </c>
      <c r="E27" s="1263">
        <f>-'Part VII-Pro Forma'!K57/12</f>
        <v>19085.613738748561</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workbookViewId="0">
      <selection activeCell="N39" sqref="N39"/>
    </sheetView>
  </sheetViews>
  <sheetFormatPr defaultColWidth="8.7109375" defaultRowHeight="12.75"/>
  <cols>
    <col min="1" max="1" width="12.42578125" style="760" customWidth="1"/>
    <col min="2" max="2" width="10.140625" style="760" customWidth="1"/>
    <col min="3" max="3" width="11.7109375" style="760" customWidth="1"/>
    <col min="4" max="4" width="8.42578125" style="760" customWidth="1"/>
    <col min="5" max="5" width="13.7109375" style="760" customWidth="1"/>
    <col min="6" max="6" width="2.7109375" style="760" customWidth="1"/>
    <col min="7" max="7" width="11.7109375" style="760" customWidth="1"/>
    <col min="8" max="8" width="8.42578125" style="760" customWidth="1"/>
    <col min="9" max="9" width="13.7109375" style="760" customWidth="1"/>
    <col min="10" max="10" width="4.7109375" style="760" customWidth="1"/>
    <col min="11" max="11" width="25.7109375" style="760" customWidth="1"/>
    <col min="12" max="256" width="8.7109375" style="760"/>
    <col min="257" max="257" width="11.42578125" style="760" bestFit="1" customWidth="1"/>
    <col min="258" max="258" width="12.42578125" style="760" customWidth="1"/>
    <col min="259" max="259" width="10.140625" style="760" customWidth="1"/>
    <col min="260" max="260" width="14.7109375" style="760" customWidth="1"/>
    <col min="261" max="261" width="13.140625" style="760" bestFit="1" customWidth="1"/>
    <col min="262" max="262" width="4.7109375" style="760" customWidth="1"/>
    <col min="263" max="263" width="11.7109375" style="760" customWidth="1"/>
    <col min="264" max="264" width="12" style="760" customWidth="1"/>
    <col min="265" max="265" width="9.7109375" style="760" customWidth="1"/>
    <col min="266" max="266" width="13.7109375" style="760" bestFit="1" customWidth="1"/>
    <col min="267" max="512" width="8.7109375" style="760"/>
    <col min="513" max="513" width="11.42578125" style="760" bestFit="1" customWidth="1"/>
    <col min="514" max="514" width="12.42578125" style="760" customWidth="1"/>
    <col min="515" max="515" width="10.140625" style="760" customWidth="1"/>
    <col min="516" max="516" width="14.7109375" style="760" customWidth="1"/>
    <col min="517" max="517" width="13.140625" style="760" bestFit="1" customWidth="1"/>
    <col min="518" max="518" width="4.7109375" style="760" customWidth="1"/>
    <col min="519" max="519" width="11.7109375" style="760" customWidth="1"/>
    <col min="520" max="520" width="12" style="760" customWidth="1"/>
    <col min="521" max="521" width="9.7109375" style="760" customWidth="1"/>
    <col min="522" max="522" width="13.7109375" style="760" bestFit="1" customWidth="1"/>
    <col min="523" max="768" width="8.7109375" style="760"/>
    <col min="769" max="769" width="11.42578125" style="760" bestFit="1" customWidth="1"/>
    <col min="770" max="770" width="12.42578125" style="760" customWidth="1"/>
    <col min="771" max="771" width="10.140625" style="760" customWidth="1"/>
    <col min="772" max="772" width="14.7109375" style="760" customWidth="1"/>
    <col min="773" max="773" width="13.140625" style="760" bestFit="1" customWidth="1"/>
    <col min="774" max="774" width="4.7109375" style="760" customWidth="1"/>
    <col min="775" max="775" width="11.7109375" style="760" customWidth="1"/>
    <col min="776" max="776" width="12" style="760" customWidth="1"/>
    <col min="777" max="777" width="9.7109375" style="760" customWidth="1"/>
    <col min="778" max="778" width="13.7109375" style="760" bestFit="1" customWidth="1"/>
    <col min="779" max="1024" width="8.7109375" style="760"/>
    <col min="1025" max="1025" width="11.42578125" style="760" bestFit="1" customWidth="1"/>
    <col min="1026" max="1026" width="12.42578125" style="760" customWidth="1"/>
    <col min="1027" max="1027" width="10.140625" style="760" customWidth="1"/>
    <col min="1028" max="1028" width="14.7109375" style="760" customWidth="1"/>
    <col min="1029" max="1029" width="13.140625" style="760" bestFit="1" customWidth="1"/>
    <col min="1030" max="1030" width="4.71093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7109375" style="760"/>
    <col min="1281" max="1281" width="11.42578125" style="760" bestFit="1" customWidth="1"/>
    <col min="1282" max="1282" width="12.42578125" style="760" customWidth="1"/>
    <col min="1283" max="1283" width="10.140625" style="760" customWidth="1"/>
    <col min="1284" max="1284" width="14.7109375" style="760" customWidth="1"/>
    <col min="1285" max="1285" width="13.140625" style="760" bestFit="1" customWidth="1"/>
    <col min="1286" max="1286" width="4.71093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7109375" style="760"/>
    <col min="1537" max="1537" width="11.42578125" style="760" bestFit="1" customWidth="1"/>
    <col min="1538" max="1538" width="12.42578125" style="760" customWidth="1"/>
    <col min="1539" max="1539" width="10.140625" style="760" customWidth="1"/>
    <col min="1540" max="1540" width="14.7109375" style="760" customWidth="1"/>
    <col min="1541" max="1541" width="13.140625" style="760" bestFit="1" customWidth="1"/>
    <col min="1542" max="1542" width="4.71093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7109375" style="760"/>
    <col min="1793" max="1793" width="11.42578125" style="760" bestFit="1" customWidth="1"/>
    <col min="1794" max="1794" width="12.42578125" style="760" customWidth="1"/>
    <col min="1795" max="1795" width="10.140625" style="760" customWidth="1"/>
    <col min="1796" max="1796" width="14.7109375" style="760" customWidth="1"/>
    <col min="1797" max="1797" width="13.140625" style="760" bestFit="1" customWidth="1"/>
    <col min="1798" max="1798" width="4.71093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7109375" style="760"/>
    <col min="2049" max="2049" width="11.42578125" style="760" bestFit="1" customWidth="1"/>
    <col min="2050" max="2050" width="12.42578125" style="760" customWidth="1"/>
    <col min="2051" max="2051" width="10.140625" style="760" customWidth="1"/>
    <col min="2052" max="2052" width="14.7109375" style="760" customWidth="1"/>
    <col min="2053" max="2053" width="13.140625" style="760" bestFit="1" customWidth="1"/>
    <col min="2054" max="2054" width="4.71093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7109375" style="760"/>
    <col min="2305" max="2305" width="11.42578125" style="760" bestFit="1" customWidth="1"/>
    <col min="2306" max="2306" width="12.42578125" style="760" customWidth="1"/>
    <col min="2307" max="2307" width="10.140625" style="760" customWidth="1"/>
    <col min="2308" max="2308" width="14.7109375" style="760" customWidth="1"/>
    <col min="2309" max="2309" width="13.140625" style="760" bestFit="1" customWidth="1"/>
    <col min="2310" max="2310" width="4.71093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7109375" style="760"/>
    <col min="2561" max="2561" width="11.42578125" style="760" bestFit="1" customWidth="1"/>
    <col min="2562" max="2562" width="12.42578125" style="760" customWidth="1"/>
    <col min="2563" max="2563" width="10.140625" style="760" customWidth="1"/>
    <col min="2564" max="2564" width="14.7109375" style="760" customWidth="1"/>
    <col min="2565" max="2565" width="13.140625" style="760" bestFit="1" customWidth="1"/>
    <col min="2566" max="2566" width="4.71093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7109375" style="760"/>
    <col min="2817" max="2817" width="11.42578125" style="760" bestFit="1" customWidth="1"/>
    <col min="2818" max="2818" width="12.42578125" style="760" customWidth="1"/>
    <col min="2819" max="2819" width="10.140625" style="760" customWidth="1"/>
    <col min="2820" max="2820" width="14.7109375" style="760" customWidth="1"/>
    <col min="2821" max="2821" width="13.140625" style="760" bestFit="1" customWidth="1"/>
    <col min="2822" max="2822" width="4.71093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7109375" style="760"/>
    <col min="3073" max="3073" width="11.42578125" style="760" bestFit="1" customWidth="1"/>
    <col min="3074" max="3074" width="12.42578125" style="760" customWidth="1"/>
    <col min="3075" max="3075" width="10.140625" style="760" customWidth="1"/>
    <col min="3076" max="3076" width="14.7109375" style="760" customWidth="1"/>
    <col min="3077" max="3077" width="13.140625" style="760" bestFit="1" customWidth="1"/>
    <col min="3078" max="3078" width="4.71093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7109375" style="760"/>
    <col min="3329" max="3329" width="11.42578125" style="760" bestFit="1" customWidth="1"/>
    <col min="3330" max="3330" width="12.42578125" style="760" customWidth="1"/>
    <col min="3331" max="3331" width="10.140625" style="760" customWidth="1"/>
    <col min="3332" max="3332" width="14.7109375" style="760" customWidth="1"/>
    <col min="3333" max="3333" width="13.140625" style="760" bestFit="1" customWidth="1"/>
    <col min="3334" max="3334" width="4.71093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7109375" style="760"/>
    <col min="3585" max="3585" width="11.42578125" style="760" bestFit="1" customWidth="1"/>
    <col min="3586" max="3586" width="12.42578125" style="760" customWidth="1"/>
    <col min="3587" max="3587" width="10.140625" style="760" customWidth="1"/>
    <col min="3588" max="3588" width="14.7109375" style="760" customWidth="1"/>
    <col min="3589" max="3589" width="13.140625" style="760" bestFit="1" customWidth="1"/>
    <col min="3590" max="3590" width="4.71093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7109375" style="760"/>
    <col min="3841" max="3841" width="11.42578125" style="760" bestFit="1" customWidth="1"/>
    <col min="3842" max="3842" width="12.42578125" style="760" customWidth="1"/>
    <col min="3843" max="3843" width="10.140625" style="760" customWidth="1"/>
    <col min="3844" max="3844" width="14.7109375" style="760" customWidth="1"/>
    <col min="3845" max="3845" width="13.140625" style="760" bestFit="1" customWidth="1"/>
    <col min="3846" max="3846" width="4.71093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7109375" style="760"/>
    <col min="4097" max="4097" width="11.42578125" style="760" bestFit="1" customWidth="1"/>
    <col min="4098" max="4098" width="12.42578125" style="760" customWidth="1"/>
    <col min="4099" max="4099" width="10.140625" style="760" customWidth="1"/>
    <col min="4100" max="4100" width="14.7109375" style="760" customWidth="1"/>
    <col min="4101" max="4101" width="13.140625" style="760" bestFit="1" customWidth="1"/>
    <col min="4102" max="4102" width="4.71093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7109375" style="760"/>
    <col min="4353" max="4353" width="11.42578125" style="760" bestFit="1" customWidth="1"/>
    <col min="4354" max="4354" width="12.42578125" style="760" customWidth="1"/>
    <col min="4355" max="4355" width="10.140625" style="760" customWidth="1"/>
    <col min="4356" max="4356" width="14.7109375" style="760" customWidth="1"/>
    <col min="4357" max="4357" width="13.140625" style="760" bestFit="1" customWidth="1"/>
    <col min="4358" max="4358" width="4.71093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7109375" style="760"/>
    <col min="4609" max="4609" width="11.42578125" style="760" bestFit="1" customWidth="1"/>
    <col min="4610" max="4610" width="12.42578125" style="760" customWidth="1"/>
    <col min="4611" max="4611" width="10.140625" style="760" customWidth="1"/>
    <col min="4612" max="4612" width="14.7109375" style="760" customWidth="1"/>
    <col min="4613" max="4613" width="13.140625" style="760" bestFit="1" customWidth="1"/>
    <col min="4614" max="4614" width="4.71093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7109375" style="760"/>
    <col min="4865" max="4865" width="11.42578125" style="760" bestFit="1" customWidth="1"/>
    <col min="4866" max="4866" width="12.42578125" style="760" customWidth="1"/>
    <col min="4867" max="4867" width="10.140625" style="760" customWidth="1"/>
    <col min="4868" max="4868" width="14.7109375" style="760" customWidth="1"/>
    <col min="4869" max="4869" width="13.140625" style="760" bestFit="1" customWidth="1"/>
    <col min="4870" max="4870" width="4.71093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7109375" style="760"/>
    <col min="5121" max="5121" width="11.42578125" style="760" bestFit="1" customWidth="1"/>
    <col min="5122" max="5122" width="12.42578125" style="760" customWidth="1"/>
    <col min="5123" max="5123" width="10.140625" style="760" customWidth="1"/>
    <col min="5124" max="5124" width="14.7109375" style="760" customWidth="1"/>
    <col min="5125" max="5125" width="13.140625" style="760" bestFit="1" customWidth="1"/>
    <col min="5126" max="5126" width="4.71093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7109375" style="760"/>
    <col min="5377" max="5377" width="11.42578125" style="760" bestFit="1" customWidth="1"/>
    <col min="5378" max="5378" width="12.42578125" style="760" customWidth="1"/>
    <col min="5379" max="5379" width="10.140625" style="760" customWidth="1"/>
    <col min="5380" max="5380" width="14.7109375" style="760" customWidth="1"/>
    <col min="5381" max="5381" width="13.140625" style="760" bestFit="1" customWidth="1"/>
    <col min="5382" max="5382" width="4.71093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7109375" style="760"/>
    <col min="5633" max="5633" width="11.42578125" style="760" bestFit="1" customWidth="1"/>
    <col min="5634" max="5634" width="12.42578125" style="760" customWidth="1"/>
    <col min="5635" max="5635" width="10.140625" style="760" customWidth="1"/>
    <col min="5636" max="5636" width="14.7109375" style="760" customWidth="1"/>
    <col min="5637" max="5637" width="13.140625" style="760" bestFit="1" customWidth="1"/>
    <col min="5638" max="5638" width="4.71093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7109375" style="760"/>
    <col min="5889" max="5889" width="11.42578125" style="760" bestFit="1" customWidth="1"/>
    <col min="5890" max="5890" width="12.42578125" style="760" customWidth="1"/>
    <col min="5891" max="5891" width="10.140625" style="760" customWidth="1"/>
    <col min="5892" max="5892" width="14.7109375" style="760" customWidth="1"/>
    <col min="5893" max="5893" width="13.140625" style="760" bestFit="1" customWidth="1"/>
    <col min="5894" max="5894" width="4.71093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7109375" style="760"/>
    <col min="6145" max="6145" width="11.42578125" style="760" bestFit="1" customWidth="1"/>
    <col min="6146" max="6146" width="12.42578125" style="760" customWidth="1"/>
    <col min="6147" max="6147" width="10.140625" style="760" customWidth="1"/>
    <col min="6148" max="6148" width="14.7109375" style="760" customWidth="1"/>
    <col min="6149" max="6149" width="13.140625" style="760" bestFit="1" customWidth="1"/>
    <col min="6150" max="6150" width="4.71093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7109375" style="760"/>
    <col min="6401" max="6401" width="11.42578125" style="760" bestFit="1" customWidth="1"/>
    <col min="6402" max="6402" width="12.42578125" style="760" customWidth="1"/>
    <col min="6403" max="6403" width="10.140625" style="760" customWidth="1"/>
    <col min="6404" max="6404" width="14.7109375" style="760" customWidth="1"/>
    <col min="6405" max="6405" width="13.140625" style="760" bestFit="1" customWidth="1"/>
    <col min="6406" max="6406" width="4.71093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7109375" style="760"/>
    <col min="6657" max="6657" width="11.42578125" style="760" bestFit="1" customWidth="1"/>
    <col min="6658" max="6658" width="12.42578125" style="760" customWidth="1"/>
    <col min="6659" max="6659" width="10.140625" style="760" customWidth="1"/>
    <col min="6660" max="6660" width="14.7109375" style="760" customWidth="1"/>
    <col min="6661" max="6661" width="13.140625" style="760" bestFit="1" customWidth="1"/>
    <col min="6662" max="6662" width="4.71093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7109375" style="760"/>
    <col min="6913" max="6913" width="11.42578125" style="760" bestFit="1" customWidth="1"/>
    <col min="6914" max="6914" width="12.42578125" style="760" customWidth="1"/>
    <col min="6915" max="6915" width="10.140625" style="760" customWidth="1"/>
    <col min="6916" max="6916" width="14.7109375" style="760" customWidth="1"/>
    <col min="6917" max="6917" width="13.140625" style="760" bestFit="1" customWidth="1"/>
    <col min="6918" max="6918" width="4.71093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7109375" style="760"/>
    <col min="7169" max="7169" width="11.42578125" style="760" bestFit="1" customWidth="1"/>
    <col min="7170" max="7170" width="12.42578125" style="760" customWidth="1"/>
    <col min="7171" max="7171" width="10.140625" style="760" customWidth="1"/>
    <col min="7172" max="7172" width="14.7109375" style="760" customWidth="1"/>
    <col min="7173" max="7173" width="13.140625" style="760" bestFit="1" customWidth="1"/>
    <col min="7174" max="7174" width="4.71093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7109375" style="760"/>
    <col min="7425" max="7425" width="11.42578125" style="760" bestFit="1" customWidth="1"/>
    <col min="7426" max="7426" width="12.42578125" style="760" customWidth="1"/>
    <col min="7427" max="7427" width="10.140625" style="760" customWidth="1"/>
    <col min="7428" max="7428" width="14.7109375" style="760" customWidth="1"/>
    <col min="7429" max="7429" width="13.140625" style="760" bestFit="1" customWidth="1"/>
    <col min="7430" max="7430" width="4.71093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7109375" style="760"/>
    <col min="7681" max="7681" width="11.42578125" style="760" bestFit="1" customWidth="1"/>
    <col min="7682" max="7682" width="12.42578125" style="760" customWidth="1"/>
    <col min="7683" max="7683" width="10.140625" style="760" customWidth="1"/>
    <col min="7684" max="7684" width="14.7109375" style="760" customWidth="1"/>
    <col min="7685" max="7685" width="13.140625" style="760" bestFit="1" customWidth="1"/>
    <col min="7686" max="7686" width="4.71093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7109375" style="760"/>
    <col min="7937" max="7937" width="11.42578125" style="760" bestFit="1" customWidth="1"/>
    <col min="7938" max="7938" width="12.42578125" style="760" customWidth="1"/>
    <col min="7939" max="7939" width="10.140625" style="760" customWidth="1"/>
    <col min="7940" max="7940" width="14.7109375" style="760" customWidth="1"/>
    <col min="7941" max="7941" width="13.140625" style="760" bestFit="1" customWidth="1"/>
    <col min="7942" max="7942" width="4.71093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7109375" style="760"/>
    <col min="8193" max="8193" width="11.42578125" style="760" bestFit="1" customWidth="1"/>
    <col min="8194" max="8194" width="12.42578125" style="760" customWidth="1"/>
    <col min="8195" max="8195" width="10.140625" style="760" customWidth="1"/>
    <col min="8196" max="8196" width="14.7109375" style="760" customWidth="1"/>
    <col min="8197" max="8197" width="13.140625" style="760" bestFit="1" customWidth="1"/>
    <col min="8198" max="8198" width="4.71093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7109375" style="760"/>
    <col min="8449" max="8449" width="11.42578125" style="760" bestFit="1" customWidth="1"/>
    <col min="8450" max="8450" width="12.42578125" style="760" customWidth="1"/>
    <col min="8451" max="8451" width="10.140625" style="760" customWidth="1"/>
    <col min="8452" max="8452" width="14.7109375" style="760" customWidth="1"/>
    <col min="8453" max="8453" width="13.140625" style="760" bestFit="1" customWidth="1"/>
    <col min="8454" max="8454" width="4.71093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7109375" style="760"/>
    <col min="8705" max="8705" width="11.42578125" style="760" bestFit="1" customWidth="1"/>
    <col min="8706" max="8706" width="12.42578125" style="760" customWidth="1"/>
    <col min="8707" max="8707" width="10.140625" style="760" customWidth="1"/>
    <col min="8708" max="8708" width="14.7109375" style="760" customWidth="1"/>
    <col min="8709" max="8709" width="13.140625" style="760" bestFit="1" customWidth="1"/>
    <col min="8710" max="8710" width="4.71093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7109375" style="760"/>
    <col min="8961" max="8961" width="11.42578125" style="760" bestFit="1" customWidth="1"/>
    <col min="8962" max="8962" width="12.42578125" style="760" customWidth="1"/>
    <col min="8963" max="8963" width="10.140625" style="760" customWidth="1"/>
    <col min="8964" max="8964" width="14.7109375" style="760" customWidth="1"/>
    <col min="8965" max="8965" width="13.140625" style="760" bestFit="1" customWidth="1"/>
    <col min="8966" max="8966" width="4.71093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7109375" style="760"/>
    <col min="9217" max="9217" width="11.42578125" style="760" bestFit="1" customWidth="1"/>
    <col min="9218" max="9218" width="12.42578125" style="760" customWidth="1"/>
    <col min="9219" max="9219" width="10.140625" style="760" customWidth="1"/>
    <col min="9220" max="9220" width="14.7109375" style="760" customWidth="1"/>
    <col min="9221" max="9221" width="13.140625" style="760" bestFit="1" customWidth="1"/>
    <col min="9222" max="9222" width="4.71093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7109375" style="760"/>
    <col min="9473" max="9473" width="11.42578125" style="760" bestFit="1" customWidth="1"/>
    <col min="9474" max="9474" width="12.42578125" style="760" customWidth="1"/>
    <col min="9475" max="9475" width="10.140625" style="760" customWidth="1"/>
    <col min="9476" max="9476" width="14.7109375" style="760" customWidth="1"/>
    <col min="9477" max="9477" width="13.140625" style="760" bestFit="1" customWidth="1"/>
    <col min="9478" max="9478" width="4.71093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7109375" style="760"/>
    <col min="9729" max="9729" width="11.42578125" style="760" bestFit="1" customWidth="1"/>
    <col min="9730" max="9730" width="12.42578125" style="760" customWidth="1"/>
    <col min="9731" max="9731" width="10.140625" style="760" customWidth="1"/>
    <col min="9732" max="9732" width="14.7109375" style="760" customWidth="1"/>
    <col min="9733" max="9733" width="13.140625" style="760" bestFit="1" customWidth="1"/>
    <col min="9734" max="9734" width="4.71093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7109375" style="760"/>
    <col min="9985" max="9985" width="11.42578125" style="760" bestFit="1" customWidth="1"/>
    <col min="9986" max="9986" width="12.42578125" style="760" customWidth="1"/>
    <col min="9987" max="9987" width="10.140625" style="760" customWidth="1"/>
    <col min="9988" max="9988" width="14.7109375" style="760" customWidth="1"/>
    <col min="9989" max="9989" width="13.140625" style="760" bestFit="1" customWidth="1"/>
    <col min="9990" max="9990" width="4.71093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7109375" style="760"/>
    <col min="10241" max="10241" width="11.42578125" style="760" bestFit="1" customWidth="1"/>
    <col min="10242" max="10242" width="12.42578125" style="760" customWidth="1"/>
    <col min="10243" max="10243" width="10.140625" style="760" customWidth="1"/>
    <col min="10244" max="10244" width="14.7109375" style="760" customWidth="1"/>
    <col min="10245" max="10245" width="13.140625" style="760" bestFit="1" customWidth="1"/>
    <col min="10246" max="10246" width="4.71093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7109375" style="760"/>
    <col min="10497" max="10497" width="11.42578125" style="760" bestFit="1" customWidth="1"/>
    <col min="10498" max="10498" width="12.42578125" style="760" customWidth="1"/>
    <col min="10499" max="10499" width="10.140625" style="760" customWidth="1"/>
    <col min="10500" max="10500" width="14.7109375" style="760" customWidth="1"/>
    <col min="10501" max="10501" width="13.140625" style="760" bestFit="1" customWidth="1"/>
    <col min="10502" max="10502" width="4.71093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7109375" style="760"/>
    <col min="10753" max="10753" width="11.42578125" style="760" bestFit="1" customWidth="1"/>
    <col min="10754" max="10754" width="12.42578125" style="760" customWidth="1"/>
    <col min="10755" max="10755" width="10.140625" style="760" customWidth="1"/>
    <col min="10756" max="10756" width="14.7109375" style="760" customWidth="1"/>
    <col min="10757" max="10757" width="13.140625" style="760" bestFit="1" customWidth="1"/>
    <col min="10758" max="10758" width="4.71093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7109375" style="760"/>
    <col min="11009" max="11009" width="11.42578125" style="760" bestFit="1" customWidth="1"/>
    <col min="11010" max="11010" width="12.42578125" style="760" customWidth="1"/>
    <col min="11011" max="11011" width="10.140625" style="760" customWidth="1"/>
    <col min="11012" max="11012" width="14.7109375" style="760" customWidth="1"/>
    <col min="11013" max="11013" width="13.140625" style="760" bestFit="1" customWidth="1"/>
    <col min="11014" max="11014" width="4.71093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7109375" style="760"/>
    <col min="11265" max="11265" width="11.42578125" style="760" bestFit="1" customWidth="1"/>
    <col min="11266" max="11266" width="12.42578125" style="760" customWidth="1"/>
    <col min="11267" max="11267" width="10.140625" style="760" customWidth="1"/>
    <col min="11268" max="11268" width="14.7109375" style="760" customWidth="1"/>
    <col min="11269" max="11269" width="13.140625" style="760" bestFit="1" customWidth="1"/>
    <col min="11270" max="11270" width="4.71093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7109375" style="760"/>
    <col min="11521" max="11521" width="11.42578125" style="760" bestFit="1" customWidth="1"/>
    <col min="11522" max="11522" width="12.42578125" style="760" customWidth="1"/>
    <col min="11523" max="11523" width="10.140625" style="760" customWidth="1"/>
    <col min="11524" max="11524" width="14.7109375" style="760" customWidth="1"/>
    <col min="11525" max="11525" width="13.140625" style="760" bestFit="1" customWidth="1"/>
    <col min="11526" max="11526" width="4.71093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7109375" style="760"/>
    <col min="11777" max="11777" width="11.42578125" style="760" bestFit="1" customWidth="1"/>
    <col min="11778" max="11778" width="12.42578125" style="760" customWidth="1"/>
    <col min="11779" max="11779" width="10.140625" style="760" customWidth="1"/>
    <col min="11780" max="11780" width="14.7109375" style="760" customWidth="1"/>
    <col min="11781" max="11781" width="13.140625" style="760" bestFit="1" customWidth="1"/>
    <col min="11782" max="11782" width="4.71093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7109375" style="760"/>
    <col min="12033" max="12033" width="11.42578125" style="760" bestFit="1" customWidth="1"/>
    <col min="12034" max="12034" width="12.42578125" style="760" customWidth="1"/>
    <col min="12035" max="12035" width="10.140625" style="760" customWidth="1"/>
    <col min="12036" max="12036" width="14.7109375" style="760" customWidth="1"/>
    <col min="12037" max="12037" width="13.140625" style="760" bestFit="1" customWidth="1"/>
    <col min="12038" max="12038" width="4.71093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7109375" style="760"/>
    <col min="12289" max="12289" width="11.42578125" style="760" bestFit="1" customWidth="1"/>
    <col min="12290" max="12290" width="12.42578125" style="760" customWidth="1"/>
    <col min="12291" max="12291" width="10.140625" style="760" customWidth="1"/>
    <col min="12292" max="12292" width="14.7109375" style="760" customWidth="1"/>
    <col min="12293" max="12293" width="13.140625" style="760" bestFit="1" customWidth="1"/>
    <col min="12294" max="12294" width="4.71093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7109375" style="760"/>
    <col min="12545" max="12545" width="11.42578125" style="760" bestFit="1" customWidth="1"/>
    <col min="12546" max="12546" width="12.42578125" style="760" customWidth="1"/>
    <col min="12547" max="12547" width="10.140625" style="760" customWidth="1"/>
    <col min="12548" max="12548" width="14.7109375" style="760" customWidth="1"/>
    <col min="12549" max="12549" width="13.140625" style="760" bestFit="1" customWidth="1"/>
    <col min="12550" max="12550" width="4.71093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7109375" style="760"/>
    <col min="12801" max="12801" width="11.42578125" style="760" bestFit="1" customWidth="1"/>
    <col min="12802" max="12802" width="12.42578125" style="760" customWidth="1"/>
    <col min="12803" max="12803" width="10.140625" style="760" customWidth="1"/>
    <col min="12804" max="12804" width="14.7109375" style="760" customWidth="1"/>
    <col min="12805" max="12805" width="13.140625" style="760" bestFit="1" customWidth="1"/>
    <col min="12806" max="12806" width="4.71093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7109375" style="760"/>
    <col min="13057" max="13057" width="11.42578125" style="760" bestFit="1" customWidth="1"/>
    <col min="13058" max="13058" width="12.42578125" style="760" customWidth="1"/>
    <col min="13059" max="13059" width="10.140625" style="760" customWidth="1"/>
    <col min="13060" max="13060" width="14.7109375" style="760" customWidth="1"/>
    <col min="13061" max="13061" width="13.140625" style="760" bestFit="1" customWidth="1"/>
    <col min="13062" max="13062" width="4.71093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7109375" style="760"/>
    <col min="13313" max="13313" width="11.42578125" style="760" bestFit="1" customWidth="1"/>
    <col min="13314" max="13314" width="12.42578125" style="760" customWidth="1"/>
    <col min="13315" max="13315" width="10.140625" style="760" customWidth="1"/>
    <col min="13316" max="13316" width="14.7109375" style="760" customWidth="1"/>
    <col min="13317" max="13317" width="13.140625" style="760" bestFit="1" customWidth="1"/>
    <col min="13318" max="13318" width="4.71093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7109375" style="760"/>
    <col min="13569" max="13569" width="11.42578125" style="760" bestFit="1" customWidth="1"/>
    <col min="13570" max="13570" width="12.42578125" style="760" customWidth="1"/>
    <col min="13571" max="13571" width="10.140625" style="760" customWidth="1"/>
    <col min="13572" max="13572" width="14.7109375" style="760" customWidth="1"/>
    <col min="13573" max="13573" width="13.140625" style="760" bestFit="1" customWidth="1"/>
    <col min="13574" max="13574" width="4.71093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7109375" style="760"/>
    <col min="13825" max="13825" width="11.42578125" style="760" bestFit="1" customWidth="1"/>
    <col min="13826" max="13826" width="12.42578125" style="760" customWidth="1"/>
    <col min="13827" max="13827" width="10.140625" style="760" customWidth="1"/>
    <col min="13828" max="13828" width="14.7109375" style="760" customWidth="1"/>
    <col min="13829" max="13829" width="13.140625" style="760" bestFit="1" customWidth="1"/>
    <col min="13830" max="13830" width="4.71093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7109375" style="760"/>
    <col min="14081" max="14081" width="11.42578125" style="760" bestFit="1" customWidth="1"/>
    <col min="14082" max="14082" width="12.42578125" style="760" customWidth="1"/>
    <col min="14083" max="14083" width="10.140625" style="760" customWidth="1"/>
    <col min="14084" max="14084" width="14.7109375" style="760" customWidth="1"/>
    <col min="14085" max="14085" width="13.140625" style="760" bestFit="1" customWidth="1"/>
    <col min="14086" max="14086" width="4.71093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7109375" style="760"/>
    <col min="14337" max="14337" width="11.42578125" style="760" bestFit="1" customWidth="1"/>
    <col min="14338" max="14338" width="12.42578125" style="760" customWidth="1"/>
    <col min="14339" max="14339" width="10.140625" style="760" customWidth="1"/>
    <col min="14340" max="14340" width="14.7109375" style="760" customWidth="1"/>
    <col min="14341" max="14341" width="13.140625" style="760" bestFit="1" customWidth="1"/>
    <col min="14342" max="14342" width="4.71093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7109375" style="760"/>
    <col min="14593" max="14593" width="11.42578125" style="760" bestFit="1" customWidth="1"/>
    <col min="14594" max="14594" width="12.42578125" style="760" customWidth="1"/>
    <col min="14595" max="14595" width="10.140625" style="760" customWidth="1"/>
    <col min="14596" max="14596" width="14.7109375" style="760" customWidth="1"/>
    <col min="14597" max="14597" width="13.140625" style="760" bestFit="1" customWidth="1"/>
    <col min="14598" max="14598" width="4.71093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7109375" style="760"/>
    <col min="14849" max="14849" width="11.42578125" style="760" bestFit="1" customWidth="1"/>
    <col min="14850" max="14850" width="12.42578125" style="760" customWidth="1"/>
    <col min="14851" max="14851" width="10.140625" style="760" customWidth="1"/>
    <col min="14852" max="14852" width="14.7109375" style="760" customWidth="1"/>
    <col min="14853" max="14853" width="13.140625" style="760" bestFit="1" customWidth="1"/>
    <col min="14854" max="14854" width="4.71093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7109375" style="760"/>
    <col min="15105" max="15105" width="11.42578125" style="760" bestFit="1" customWidth="1"/>
    <col min="15106" max="15106" width="12.42578125" style="760" customWidth="1"/>
    <col min="15107" max="15107" width="10.140625" style="760" customWidth="1"/>
    <col min="15108" max="15108" width="14.7109375" style="760" customWidth="1"/>
    <col min="15109" max="15109" width="13.140625" style="760" bestFit="1" customWidth="1"/>
    <col min="15110" max="15110" width="4.71093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7109375" style="760"/>
    <col min="15361" max="15361" width="11.42578125" style="760" bestFit="1" customWidth="1"/>
    <col min="15362" max="15362" width="12.42578125" style="760" customWidth="1"/>
    <col min="15363" max="15363" width="10.140625" style="760" customWidth="1"/>
    <col min="15364" max="15364" width="14.7109375" style="760" customWidth="1"/>
    <col min="15365" max="15365" width="13.140625" style="760" bestFit="1" customWidth="1"/>
    <col min="15366" max="15366" width="4.71093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7109375" style="760"/>
    <col min="15617" max="15617" width="11.42578125" style="760" bestFit="1" customWidth="1"/>
    <col min="15618" max="15618" width="12.42578125" style="760" customWidth="1"/>
    <col min="15619" max="15619" width="10.140625" style="760" customWidth="1"/>
    <col min="15620" max="15620" width="14.7109375" style="760" customWidth="1"/>
    <col min="15621" max="15621" width="13.140625" style="760" bestFit="1" customWidth="1"/>
    <col min="15622" max="15622" width="4.71093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7109375" style="760"/>
    <col min="15873" max="15873" width="11.42578125" style="760" bestFit="1" customWidth="1"/>
    <col min="15874" max="15874" width="12.42578125" style="760" customWidth="1"/>
    <col min="15875" max="15875" width="10.140625" style="760" customWidth="1"/>
    <col min="15876" max="15876" width="14.7109375" style="760" customWidth="1"/>
    <col min="15877" max="15877" width="13.140625" style="760" bestFit="1" customWidth="1"/>
    <col min="15878" max="15878" width="4.71093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7109375" style="760"/>
    <col min="16129" max="16129" width="11.42578125" style="760" bestFit="1" customWidth="1"/>
    <col min="16130" max="16130" width="12.42578125" style="760" customWidth="1"/>
    <col min="16131" max="16131" width="10.140625" style="760" customWidth="1"/>
    <col min="16132" max="16132" width="14.7109375" style="760" customWidth="1"/>
    <col min="16133" max="16133" width="13.140625" style="760" bestFit="1" customWidth="1"/>
    <col min="16134" max="16134" width="4.71093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7109375" style="760"/>
  </cols>
  <sheetData>
    <row r="1" spans="1:11" ht="23.25">
      <c r="A1" s="3014" t="s">
        <v>3080</v>
      </c>
      <c r="B1" s="3014"/>
      <c r="C1" s="3014"/>
      <c r="D1" s="3014"/>
      <c r="E1" s="3014"/>
      <c r="F1" s="3014"/>
      <c r="G1" s="3014"/>
      <c r="H1" s="3014"/>
      <c r="I1" s="3014"/>
      <c r="J1" s="3014"/>
      <c r="K1" s="3014"/>
    </row>
    <row r="2" spans="1:11" ht="15">
      <c r="A2" s="3028" t="str">
        <f>Overview!C8</f>
        <v>Abbington Sound</v>
      </c>
      <c r="B2" s="3028"/>
      <c r="C2" s="3028"/>
      <c r="D2" s="3028"/>
      <c r="E2" s="3028"/>
      <c r="F2" s="3028"/>
      <c r="G2" s="3028"/>
      <c r="H2" s="3028"/>
      <c r="I2" s="3028"/>
      <c r="J2" s="3028"/>
      <c r="K2" s="3028"/>
    </row>
    <row r="3" spans="1:11" ht="9" customHeight="1">
      <c r="A3" s="761"/>
      <c r="B3" s="761"/>
      <c r="C3" s="761"/>
    </row>
    <row r="4" spans="1:11" ht="18">
      <c r="A4" s="762" t="s">
        <v>3552</v>
      </c>
      <c r="B4" s="761"/>
      <c r="C4" s="761"/>
      <c r="K4" s="763"/>
    </row>
    <row r="5" spans="1:11" s="718" customFormat="1" ht="42" customHeight="1">
      <c r="C5" s="3015" t="s">
        <v>4461</v>
      </c>
      <c r="D5" s="3016"/>
      <c r="E5" s="3017"/>
      <c r="F5" s="562"/>
      <c r="G5" s="3015" t="s">
        <v>4462</v>
      </c>
      <c r="H5" s="3016"/>
      <c r="I5" s="3017"/>
      <c r="J5" s="760"/>
      <c r="K5" s="3026" t="s">
        <v>4463</v>
      </c>
    </row>
    <row r="6" spans="1:11" s="765" customFormat="1" ht="15" customHeight="1">
      <c r="A6" s="764" t="s">
        <v>2715</v>
      </c>
      <c r="C6" s="766" t="s">
        <v>3535</v>
      </c>
      <c r="D6" s="766" t="s">
        <v>4464</v>
      </c>
      <c r="E6" s="766" t="s">
        <v>1991</v>
      </c>
      <c r="G6" s="766" t="s">
        <v>3536</v>
      </c>
      <c r="H6" s="766" t="s">
        <v>4465</v>
      </c>
      <c r="I6" s="766" t="s">
        <v>1991</v>
      </c>
      <c r="K6" s="3027"/>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12</v>
      </c>
      <c r="E8" s="770">
        <f>C8*D8</f>
        <v>0</v>
      </c>
      <c r="G8" s="768"/>
      <c r="H8" s="769">
        <f>'Part VI-Revenues &amp; Expenses'!$K$67</f>
        <v>12</v>
      </c>
      <c r="I8" s="770">
        <f>G8*H8</f>
        <v>0</v>
      </c>
      <c r="K8" s="767" t="s">
        <v>3537</v>
      </c>
    </row>
    <row r="9" spans="1:11" s="562" customFormat="1" ht="13.5" customHeight="1">
      <c r="A9" s="562" t="s">
        <v>2714</v>
      </c>
      <c r="C9" s="768"/>
      <c r="D9" s="1265">
        <f>'Part VI-Revenues &amp; Expenses'!$L$63</f>
        <v>36</v>
      </c>
      <c r="E9" s="770">
        <f>C9*D9</f>
        <v>0</v>
      </c>
      <c r="G9" s="768"/>
      <c r="H9" s="769">
        <f>'Part VI-Revenues &amp; Expenses'!$L$67</f>
        <v>36</v>
      </c>
      <c r="I9" s="770">
        <f>G9*H9</f>
        <v>0</v>
      </c>
      <c r="K9" s="1272">
        <f ca="1">'Part IV-A-Uses of Funds'!$G$132</f>
        <v>15903809.932432491</v>
      </c>
    </row>
    <row r="10" spans="1:11" s="562" customFormat="1" ht="13.5" customHeight="1">
      <c r="A10" s="562" t="s">
        <v>2717</v>
      </c>
      <c r="C10" s="768"/>
      <c r="D10" s="1265">
        <f>'Part VI-Revenues &amp; Expenses'!$M$63</f>
        <v>36</v>
      </c>
      <c r="E10" s="770">
        <f>C10*D10</f>
        <v>0</v>
      </c>
      <c r="G10" s="768"/>
      <c r="H10" s="769">
        <f>'Part VI-Revenues &amp; Expenses'!$M$67</f>
        <v>36</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3018" t="s">
        <v>3542</v>
      </c>
    </row>
    <row r="12" spans="1:11" ht="13.5" customHeight="1" thickBot="1">
      <c r="A12" s="776" t="s">
        <v>3504</v>
      </c>
      <c r="D12" s="807">
        <f>SUM(D7:D11)</f>
        <v>84</v>
      </c>
      <c r="E12" s="777"/>
      <c r="G12" s="776" t="s">
        <v>1793</v>
      </c>
      <c r="H12" s="1271">
        <f>SUM(H7:H11)</f>
        <v>84</v>
      </c>
      <c r="I12" s="777"/>
      <c r="K12" s="3019"/>
    </row>
    <row r="13" spans="1:11" s="562" customFormat="1" ht="13.5" customHeight="1" thickBot="1">
      <c r="A13" s="776" t="s">
        <v>3082</v>
      </c>
      <c r="B13" s="778"/>
      <c r="E13" s="779">
        <f>SUM(E7:E11)</f>
        <v>0</v>
      </c>
      <c r="G13" s="776" t="s">
        <v>3317</v>
      </c>
      <c r="H13" s="778"/>
      <c r="I13" s="780">
        <f>SUM(I7:I11)</f>
        <v>0</v>
      </c>
      <c r="K13" s="1272">
        <f>'Part VIII-Threshold Criteria'!$P$63</f>
        <v>15915972</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4249</v>
      </c>
      <c r="F18" s="1274"/>
      <c r="G18" s="1274"/>
      <c r="H18" s="1274"/>
      <c r="I18" s="1274"/>
      <c r="K18" s="1250">
        <f>Overview!$E$13</f>
        <v>84</v>
      </c>
    </row>
    <row r="19" spans="1:11" s="562" customFormat="1" ht="13.5" customHeight="1">
      <c r="A19" s="562" t="s">
        <v>3083</v>
      </c>
      <c r="E19" s="1268"/>
      <c r="K19" s="635">
        <f>Overview!$C$13</f>
        <v>84</v>
      </c>
    </row>
    <row r="20" spans="1:11" ht="3" customHeight="1">
      <c r="A20" s="782"/>
      <c r="E20" s="1269"/>
    </row>
    <row r="21" spans="1:11" s="562" customFormat="1" ht="13.5" customHeight="1">
      <c r="A21" s="562" t="s">
        <v>3084</v>
      </c>
      <c r="E21" s="1267" t="s">
        <v>3540</v>
      </c>
      <c r="K21" s="783">
        <f>K18/K19</f>
        <v>1</v>
      </c>
    </row>
    <row r="22" spans="1:11" ht="6.75" customHeight="1">
      <c r="E22" s="1269"/>
    </row>
    <row r="23" spans="1:11" s="562" customFormat="1" ht="13.5" customHeight="1">
      <c r="A23" s="562" t="s">
        <v>3503</v>
      </c>
      <c r="C23" s="784"/>
      <c r="E23" s="1267" t="s">
        <v>3087</v>
      </c>
      <c r="K23" s="635">
        <f ca="1">K9</f>
        <v>15903809.932432491</v>
      </c>
    </row>
    <row r="24" spans="1:11" s="562" customFormat="1" ht="13.5" customHeight="1">
      <c r="A24" s="785" t="s">
        <v>1760</v>
      </c>
      <c r="E24" s="1268"/>
      <c r="K24" s="771">
        <f>'Part IV-A-Uses of Funds'!$G$122</f>
        <v>281567.18243249139</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 ca="1">K23-SUM(K24:K27)</f>
        <v>15622242.75</v>
      </c>
    </row>
    <row r="29" spans="1:11" ht="6.75" customHeight="1">
      <c r="A29" s="782"/>
      <c r="E29" s="1269"/>
      <c r="K29" s="790"/>
    </row>
    <row r="30" spans="1:11" s="562" customFormat="1" ht="15" customHeight="1">
      <c r="A30" s="778" t="s">
        <v>3090</v>
      </c>
      <c r="E30" s="1267" t="s">
        <v>3547</v>
      </c>
      <c r="F30" s="791"/>
      <c r="G30" s="791"/>
      <c r="H30" s="791"/>
      <c r="I30" s="791"/>
      <c r="K30" s="792">
        <f ca="1">K21*K28</f>
        <v>15622242.75</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 ca="1">MIN(E13,K30)</f>
        <v>0</v>
      </c>
    </row>
    <row r="35" spans="1:11" ht="6" customHeight="1">
      <c r="E35" s="1269"/>
    </row>
    <row r="36" spans="1:11" s="562" customFormat="1" ht="15" customHeight="1">
      <c r="A36" s="778" t="s">
        <v>3551</v>
      </c>
      <c r="E36" s="1267" t="s">
        <v>3549</v>
      </c>
      <c r="K36" s="796">
        <f>Overview!C25</f>
        <v>4150000</v>
      </c>
    </row>
    <row r="37" spans="1:11" s="562" customFormat="1" ht="9" customHeight="1" thickBot="1">
      <c r="E37" s="797"/>
      <c r="F37" s="797"/>
      <c r="G37" s="797"/>
      <c r="H37" s="797"/>
      <c r="K37" s="798"/>
    </row>
    <row r="38" spans="1:11" s="562" customFormat="1" ht="15.75" customHeight="1">
      <c r="A38" s="3020" t="s">
        <v>3545</v>
      </c>
      <c r="B38" s="3020"/>
      <c r="C38" s="3020"/>
      <c r="D38" s="3021" t="s">
        <v>3085</v>
      </c>
      <c r="E38" s="3021"/>
      <c r="F38" s="3021" t="s">
        <v>3086</v>
      </c>
      <c r="G38" s="3021"/>
      <c r="H38" s="3021"/>
      <c r="I38" s="1870" t="s">
        <v>2830</v>
      </c>
      <c r="K38" s="3022">
        <f ca="1">ROUND((D39/F39)*I39,0)</f>
        <v>22</v>
      </c>
    </row>
    <row r="39" spans="1:11" s="562" customFormat="1" ht="15.75" customHeight="1" thickBot="1">
      <c r="A39" s="3020"/>
      <c r="B39" s="3020"/>
      <c r="C39" s="3020"/>
      <c r="D39" s="3024">
        <f>K36</f>
        <v>4150000</v>
      </c>
      <c r="E39" s="3024"/>
      <c r="F39" s="3025">
        <f ca="1">K28</f>
        <v>15622242.75</v>
      </c>
      <c r="G39" s="3025"/>
      <c r="H39" s="3025"/>
      <c r="I39" s="799">
        <f>K19</f>
        <v>84</v>
      </c>
      <c r="K39" s="3023"/>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zoomScalePageLayoutView="120" workbookViewId="0">
      <selection sqref="A1:H1"/>
    </sheetView>
  </sheetViews>
  <sheetFormatPr defaultColWidth="9.140625" defaultRowHeight="12.75"/>
  <cols>
    <col min="1" max="1" width="3" style="760" customWidth="1"/>
    <col min="2" max="2" width="0.71093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7109375" style="760" customWidth="1"/>
    <col min="9" max="16384" width="9.140625" style="760"/>
  </cols>
  <sheetData>
    <row r="1" spans="1:13" ht="12" customHeight="1">
      <c r="A1" s="3029" t="str">
        <f>CONCATENATE(Overview!E8,"  ",Overview!C8)</f>
        <v>2019-078  Abbington Sound</v>
      </c>
      <c r="B1" s="3029"/>
      <c r="C1" s="3029"/>
      <c r="D1" s="3029"/>
      <c r="E1" s="3029"/>
      <c r="F1" s="3029"/>
      <c r="G1" s="3029"/>
      <c r="H1" s="3029"/>
    </row>
    <row r="3" spans="1:13" ht="12" customHeight="1">
      <c r="A3" s="3030" t="s">
        <v>3506</v>
      </c>
      <c r="B3" s="3030"/>
      <c r="C3" s="3030"/>
      <c r="D3" s="3030"/>
      <c r="E3" s="3030"/>
      <c r="F3" s="3030"/>
      <c r="G3" s="3030"/>
      <c r="H3" s="3030"/>
      <c r="I3" s="1874"/>
      <c r="J3" s="3032" t="s">
        <v>4250</v>
      </c>
      <c r="K3" s="3032"/>
      <c r="L3" s="833"/>
      <c r="M3" s="833"/>
    </row>
    <row r="4" spans="1:13">
      <c r="J4" s="3032"/>
      <c r="K4" s="3032"/>
    </row>
    <row r="5" spans="1:13" ht="12" customHeight="1">
      <c r="A5" s="760">
        <v>1</v>
      </c>
      <c r="C5" s="760" t="s">
        <v>3092</v>
      </c>
      <c r="E5" s="815" t="str">
        <f>Overview!H9</f>
        <v>Kingsland Abbington Sound, LP</v>
      </c>
      <c r="J5" s="3032"/>
      <c r="K5" s="3032"/>
    </row>
    <row r="6" spans="1:13" ht="3" customHeight="1">
      <c r="H6" s="777"/>
      <c r="J6" s="3032"/>
      <c r="K6" s="3032"/>
    </row>
    <row r="7" spans="1:13" ht="12" customHeight="1">
      <c r="A7" s="760">
        <v>2</v>
      </c>
      <c r="C7" s="760" t="s">
        <v>3093</v>
      </c>
      <c r="E7" s="815" t="str">
        <f>'Part II-Development Team'!H6</f>
        <v>2964 Peachtree Road NW, Suite 200</v>
      </c>
      <c r="J7" s="3032"/>
      <c r="K7" s="3032"/>
    </row>
    <row r="8" spans="1:13" ht="12" customHeight="1">
      <c r="E8" s="815" t="str">
        <f>+'Part II-Development Team'!H7&amp;","&amp;" "&amp;'Part II-Development Team'!H8&amp;" "&amp;LEFT('Part II-Development Team'!J8,5)</f>
        <v>Atlanta, GA 30305</v>
      </c>
      <c r="J8" s="3032"/>
      <c r="K8" s="3032"/>
    </row>
    <row r="9" spans="1:13" ht="12" customHeight="1">
      <c r="C9" s="760" t="s">
        <v>3094</v>
      </c>
      <c r="E9" s="3031">
        <f>'Part II-Development Team'!L7</f>
        <v>0</v>
      </c>
      <c r="F9" s="3031"/>
      <c r="J9" s="3032"/>
      <c r="K9" s="3032"/>
    </row>
    <row r="10" spans="1:13" ht="12" customHeight="1">
      <c r="C10" s="760" t="s">
        <v>3095</v>
      </c>
      <c r="E10" s="815" t="str">
        <f>'Part II-Development Team'!Q5</f>
        <v>William J. Rea, Jr.</v>
      </c>
    </row>
    <row r="11" spans="1:13" ht="12" customHeight="1">
      <c r="C11" s="760" t="s">
        <v>4255</v>
      </c>
      <c r="E11" s="815" t="str">
        <f>'Part II-Development Team'!L9</f>
        <v>billrea@reaventures.com</v>
      </c>
    </row>
    <row r="12" spans="1:13" ht="12" customHeight="1">
      <c r="C12" s="760" t="s">
        <v>4251</v>
      </c>
      <c r="E12" s="1875">
        <f>'Part II-Development Team'!H9</f>
        <v>4042504093</v>
      </c>
    </row>
    <row r="13" spans="1:13" ht="12" customHeight="1">
      <c r="C13" s="760" t="s">
        <v>4254</v>
      </c>
      <c r="E13" s="1875">
        <f>'Part II-Development Team'!Q7</f>
        <v>4042504093</v>
      </c>
    </row>
    <row r="14" spans="1:13" ht="3" customHeight="1"/>
    <row r="15" spans="1:13" ht="12" customHeight="1">
      <c r="A15" s="760">
        <v>3</v>
      </c>
      <c r="C15" s="760" t="s">
        <v>3096</v>
      </c>
      <c r="E15" s="815" t="str">
        <f>Overview!C8</f>
        <v>Abbington Sound</v>
      </c>
    </row>
    <row r="16" spans="1:13" ht="12" customHeight="1">
      <c r="C16" s="760" t="s">
        <v>3097</v>
      </c>
      <c r="E16" s="815" t="str">
        <f>'Part I-Project Information'!$F$35</f>
        <v>1455 Winding Road</v>
      </c>
    </row>
    <row r="17" spans="1:8" ht="12" customHeight="1">
      <c r="E17" s="815" t="str">
        <f>+'Part I-Project Information'!$F$38&amp;","&amp;" GA "&amp;LEFT('Part I-Project Information'!$J$38,5)</f>
        <v>Kingsland, GA 31548</v>
      </c>
    </row>
    <row r="18" spans="1:8" ht="3" customHeight="1"/>
    <row r="19" spans="1:8" ht="12" customHeight="1">
      <c r="A19" s="760">
        <v>4</v>
      </c>
      <c r="C19" s="760" t="s">
        <v>3098</v>
      </c>
      <c r="E19" s="815" t="str">
        <f>'Part II-Development Team'!H92</f>
        <v>Boyd Management</v>
      </c>
    </row>
    <row r="20" spans="1:8" ht="12" customHeight="1">
      <c r="C20" s="760" t="s">
        <v>3099</v>
      </c>
      <c r="E20" s="815" t="str">
        <f>'Part II-Development Team'!H93</f>
        <v>P.O. Box 23589</v>
      </c>
    </row>
    <row r="21" spans="1:8" ht="12" customHeight="1">
      <c r="E21" s="815" t="str">
        <f>+'Part II-Development Team'!H94&amp;","&amp;" "&amp;'Part II-Development Team'!H95&amp;" "&amp;LEFT('Part II-Development Team'!L95,5)</f>
        <v>Columbia, SC 29224</v>
      </c>
    </row>
    <row r="22" spans="1:8" ht="12" customHeight="1">
      <c r="C22" s="760" t="s">
        <v>4251</v>
      </c>
      <c r="E22" s="1875">
        <f>'Part II-Development Team'!H96</f>
        <v>8034196556</v>
      </c>
    </row>
    <row r="23" spans="1:8" ht="12" customHeight="1">
      <c r="C23" s="760" t="s">
        <v>4254</v>
      </c>
      <c r="E23" s="1875">
        <f>'Part II-Development Team'!Q94</f>
        <v>8034196556</v>
      </c>
    </row>
    <row r="24" spans="1:8" ht="12" customHeight="1">
      <c r="C24" s="760" t="s">
        <v>4255</v>
      </c>
      <c r="E24" s="1875" t="str">
        <f>'Part II-Development Team'!L96</f>
        <v>babbie.jaco@boydmanagement.com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2410</v>
      </c>
      <c r="F30" s="1876">
        <f>'Part III-Sources of Funds'!L20</f>
        <v>4150000</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2410</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2410</v>
      </c>
      <c r="F39" s="805">
        <f>'Part III-Sources of Funds'!L38*12</f>
        <v>240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2410</v>
      </c>
      <c r="F45" s="815" t="s">
        <v>3114</v>
      </c>
    </row>
    <row r="46" spans="1:7" ht="3" customHeight="1">
      <c r="F46" s="777"/>
    </row>
    <row r="47" spans="1:7" ht="12" customHeight="1">
      <c r="A47" s="760">
        <v>14</v>
      </c>
      <c r="C47" s="760" t="s">
        <v>3115</v>
      </c>
      <c r="E47" s="815" t="str">
        <f>'Part II-Development Team'!H14</f>
        <v>Abbington Sound Partner, LLC</v>
      </c>
    </row>
    <row r="48" spans="1:7" ht="3" customHeight="1">
      <c r="E48" s="815"/>
    </row>
    <row r="49" spans="1:7" ht="12" customHeight="1">
      <c r="A49" s="760">
        <v>15</v>
      </c>
      <c r="C49" s="760" t="s">
        <v>4257</v>
      </c>
      <c r="E49" s="815" t="str">
        <f>'Part II-Development Team'!Q98</f>
        <v>Greg Clark</v>
      </c>
      <c r="G49" s="815" t="str">
        <f>'Part II-Development Team'!H98</f>
        <v>Coleman Talley, LLC</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84</v>
      </c>
    </row>
    <row r="53" spans="1:7" ht="3" customHeight="1">
      <c r="F53" s="805"/>
    </row>
    <row r="54" spans="1:7" ht="12" customHeight="1">
      <c r="A54" s="833">
        <v>17</v>
      </c>
      <c r="B54" s="833"/>
      <c r="C54" s="833" t="s">
        <v>3118</v>
      </c>
      <c r="D54" s="833"/>
      <c r="E54" s="833"/>
      <c r="F54" s="1882">
        <f>'HOME Allocation Limit WS'!K18</f>
        <v>84</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Kingsland Abbington Sound,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2410</v>
      </c>
      <c r="F69" s="805">
        <v>20</v>
      </c>
      <c r="G69" s="760" t="s">
        <v>2470</v>
      </c>
    </row>
    <row r="70" spans="1:7" ht="3" customHeight="1"/>
    <row r="71" spans="1:7" ht="12" customHeight="1">
      <c r="A71" s="760">
        <v>25</v>
      </c>
      <c r="C71" s="760" t="s">
        <v>3127</v>
      </c>
      <c r="F71" s="1887">
        <f>'Part IV-A-Uses of Funds'!$G$122</f>
        <v>281567.18243249139</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83526.75</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zoomScalePageLayoutView="120" workbookViewId="0">
      <selection activeCell="C10" sqref="C10"/>
    </sheetView>
  </sheetViews>
  <sheetFormatPr defaultColWidth="9.140625" defaultRowHeight="12.75"/>
  <cols>
    <col min="1" max="1" width="23.42578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3047" t="s">
        <v>3319</v>
      </c>
      <c r="B1" s="3047"/>
      <c r="C1" s="3047"/>
      <c r="D1" s="3047"/>
      <c r="E1" s="3047"/>
      <c r="F1" s="3047"/>
      <c r="G1" s="3047"/>
      <c r="H1" s="3047"/>
      <c r="I1" s="3047"/>
      <c r="J1" s="3047"/>
    </row>
    <row r="2" spans="1:13" ht="15">
      <c r="A2" s="3047" t="str">
        <f>Overview!E8&amp;"  "&amp;Overview!C8</f>
        <v>2019-078  Abbington Sound</v>
      </c>
      <c r="B2" s="3047"/>
      <c r="C2" s="3047"/>
      <c r="D2" s="3047"/>
      <c r="E2" s="3047"/>
      <c r="F2" s="3047"/>
      <c r="G2" s="3047"/>
      <c r="H2" s="3047"/>
      <c r="I2" s="3047"/>
      <c r="J2" s="3047"/>
    </row>
    <row r="3" spans="1:13" ht="6" customHeight="1">
      <c r="K3" s="3032" t="s">
        <v>4250</v>
      </c>
      <c r="L3" s="3032"/>
      <c r="M3" s="3032"/>
    </row>
    <row r="4" spans="1:13" ht="12" customHeight="1">
      <c r="A4" s="801" t="s">
        <v>3131</v>
      </c>
      <c r="K4" s="3032"/>
      <c r="L4" s="3032"/>
      <c r="M4" s="3032"/>
    </row>
    <row r="5" spans="1:13" ht="12" customHeight="1">
      <c r="A5" s="760" t="s">
        <v>3132</v>
      </c>
      <c r="C5" s="802" t="str">
        <f>'Subsidy Layering Memo'!D6</f>
        <v>(Underwriter)</v>
      </c>
      <c r="I5" s="802"/>
      <c r="K5" s="3032"/>
      <c r="L5" s="3032"/>
      <c r="M5" s="3032"/>
    </row>
    <row r="6" spans="1:13" ht="6" customHeight="1">
      <c r="C6" s="697"/>
      <c r="D6" s="802"/>
      <c r="I6" s="802"/>
      <c r="K6" s="3032"/>
      <c r="L6" s="3032"/>
      <c r="M6" s="3032"/>
    </row>
    <row r="7" spans="1:13" ht="12" customHeight="1">
      <c r="A7" s="801" t="s">
        <v>3133</v>
      </c>
      <c r="C7" s="697"/>
      <c r="D7" s="802"/>
      <c r="I7" s="802"/>
      <c r="K7" s="3032"/>
      <c r="L7" s="3032"/>
      <c r="M7" s="3032"/>
    </row>
    <row r="8" spans="1:13" ht="12" customHeight="1">
      <c r="A8" s="760" t="s">
        <v>3134</v>
      </c>
      <c r="C8" s="802" t="str">
        <f>Overview!$H$9</f>
        <v>Kingsland Abbington Sound, LP</v>
      </c>
      <c r="I8" s="802"/>
      <c r="K8" s="3032"/>
      <c r="L8" s="3032"/>
      <c r="M8" s="3032"/>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2680</v>
      </c>
      <c r="D12" s="823" t="s">
        <v>1771</v>
      </c>
      <c r="I12" s="802"/>
    </row>
    <row r="13" spans="1:13" ht="12" customHeight="1">
      <c r="C13" s="802" t="s">
        <v>3136</v>
      </c>
      <c r="D13" s="3040"/>
      <c r="E13" s="3040"/>
      <c r="F13" s="3040"/>
      <c r="G13" s="3040"/>
      <c r="H13" s="3040"/>
      <c r="I13" s="3040"/>
      <c r="J13" s="3040"/>
    </row>
    <row r="14" spans="1:13" ht="3" customHeight="1">
      <c r="G14" s="697"/>
      <c r="H14" s="802"/>
      <c r="I14" s="802"/>
    </row>
    <row r="15" spans="1:13" ht="12" customHeight="1">
      <c r="A15" s="760" t="s">
        <v>3137</v>
      </c>
      <c r="C15" s="804" t="str">
        <f>'Preview term'!E10</f>
        <v>William J. Rea, Jr.</v>
      </c>
      <c r="G15" s="697"/>
      <c r="I15" s="802"/>
    </row>
    <row r="16" spans="1:13" ht="12" customHeight="1">
      <c r="A16" s="815" t="s">
        <v>4466</v>
      </c>
      <c r="C16" s="804" t="str">
        <f>'Part II-Development Team'!Q6</f>
        <v>Manager</v>
      </c>
      <c r="G16" s="697"/>
      <c r="I16" s="802"/>
    </row>
    <row r="17" spans="1:9" ht="3" customHeight="1">
      <c r="G17" s="697"/>
      <c r="H17" s="802"/>
      <c r="I17" s="802"/>
    </row>
    <row r="18" spans="1:9" ht="12" customHeight="1">
      <c r="A18" s="760" t="s">
        <v>3138</v>
      </c>
      <c r="C18" s="804" t="str">
        <f>'Preview term'!$E$7</f>
        <v>2964 Peachtree Road NW, Suite 200</v>
      </c>
      <c r="G18" s="697"/>
      <c r="I18" s="802"/>
    </row>
    <row r="19" spans="1:9" ht="12" customHeight="1">
      <c r="C19" s="804" t="str">
        <f>'Preview term'!$E$8</f>
        <v>Atlanta, GA 30305</v>
      </c>
      <c r="G19" s="697"/>
      <c r="I19" s="802"/>
    </row>
    <row r="20" spans="1:9" ht="3" customHeight="1">
      <c r="G20" s="697"/>
      <c r="H20" s="802"/>
      <c r="I20" s="802"/>
    </row>
    <row r="21" spans="1:9" ht="12" customHeight="1">
      <c r="A21" s="760" t="s">
        <v>3139</v>
      </c>
      <c r="C21" s="804" t="str">
        <f>CONCATENATE('Preview term'!E49," of  ",'Preview term'!G49)</f>
        <v>Greg Clark of  Coleman Talley, LLC</v>
      </c>
      <c r="G21" s="697"/>
      <c r="I21" s="802"/>
    </row>
    <row r="22" spans="1:9" ht="3" customHeight="1">
      <c r="C22" s="804"/>
      <c r="G22" s="697"/>
      <c r="I22" s="802"/>
    </row>
    <row r="23" spans="1:9" ht="12" customHeight="1">
      <c r="A23" s="760" t="s">
        <v>3140</v>
      </c>
      <c r="C23" s="804">
        <f>'Preview term'!E12</f>
        <v>4042504093</v>
      </c>
      <c r="G23" s="697"/>
      <c r="I23" s="802"/>
    </row>
    <row r="24" spans="1:9" ht="3" customHeight="1">
      <c r="C24" s="804"/>
      <c r="G24" s="697"/>
      <c r="I24" s="802"/>
    </row>
    <row r="25" spans="1:9" ht="12" customHeight="1">
      <c r="A25" s="760" t="s">
        <v>3141</v>
      </c>
      <c r="C25" s="1279" t="str">
        <f>'Preview term'!E11</f>
        <v>billrea@reaventures.com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Abbington Sound</v>
      </c>
      <c r="I28" s="802"/>
    </row>
    <row r="29" spans="1:9" ht="3" customHeight="1">
      <c r="C29" s="804"/>
      <c r="I29" s="802"/>
    </row>
    <row r="30" spans="1:9" ht="12" customHeight="1">
      <c r="A30" s="760" t="s">
        <v>3144</v>
      </c>
      <c r="C30" s="804" t="str">
        <f>'Preview term'!E16</f>
        <v>1455 Winding Road</v>
      </c>
      <c r="I30" s="802"/>
    </row>
    <row r="31" spans="1:9">
      <c r="C31" s="802" t="str">
        <f>'Preview term'!E17</f>
        <v>Kingsland, GA 31548</v>
      </c>
      <c r="I31" s="802"/>
    </row>
    <row r="32" spans="1:9" ht="3" customHeight="1">
      <c r="C32" s="697"/>
      <c r="D32" s="697"/>
      <c r="I32" s="697"/>
    </row>
    <row r="33" spans="1:10" ht="12" customHeight="1">
      <c r="A33" s="760" t="s">
        <v>3145</v>
      </c>
      <c r="C33" s="697" t="s">
        <v>3146</v>
      </c>
      <c r="D33" s="1278">
        <f>'Preview term'!F54</f>
        <v>84</v>
      </c>
      <c r="I33" s="697"/>
    </row>
    <row r="34" spans="1:10" ht="12" customHeight="1">
      <c r="C34" s="697" t="s">
        <v>3147</v>
      </c>
      <c r="D34" s="806">
        <f>'HOME Allocation Limit WS'!H12-'HOME Allocation Limit WS'!D12</f>
        <v>0</v>
      </c>
      <c r="I34" s="697"/>
    </row>
    <row r="35" spans="1:10" ht="12" customHeight="1">
      <c r="C35" s="697" t="s">
        <v>3148</v>
      </c>
      <c r="D35" s="807">
        <f>SUM(D33:D34)</f>
        <v>84</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3048"/>
      <c r="D39" s="3048"/>
      <c r="E39" s="3048"/>
      <c r="F39" s="3048"/>
      <c r="G39" s="3048"/>
      <c r="H39" s="3048"/>
      <c r="I39" s="3048"/>
      <c r="J39" s="3048"/>
    </row>
    <row r="40" spans="1:10" ht="3" customHeight="1">
      <c r="G40" s="697"/>
      <c r="H40" s="697"/>
      <c r="I40" s="697"/>
    </row>
    <row r="41" spans="1:10" ht="25.5" customHeight="1">
      <c r="A41" s="809" t="s">
        <v>3152</v>
      </c>
      <c r="C41" s="3049" t="s">
        <v>3510</v>
      </c>
      <c r="D41" s="3049"/>
      <c r="E41" s="3049"/>
      <c r="F41" s="3049"/>
      <c r="G41" s="3049"/>
      <c r="H41" s="3049"/>
      <c r="I41" s="3049"/>
      <c r="J41" s="3049"/>
    </row>
    <row r="42" spans="1:10" ht="3" customHeight="1">
      <c r="C42" s="560"/>
      <c r="D42" s="560"/>
      <c r="E42" s="560"/>
      <c r="F42" s="560"/>
      <c r="G42" s="560"/>
      <c r="H42" s="561"/>
      <c r="I42" s="562"/>
      <c r="J42" s="561"/>
    </row>
    <row r="43" spans="1:10" ht="12" customHeight="1">
      <c r="A43" s="760" t="s">
        <v>3153</v>
      </c>
      <c r="C43" s="633" t="str">
        <f>'Part I-Project Information'!J39</f>
        <v>Camden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3049" t="s">
        <v>575</v>
      </c>
      <c r="D49" s="3049"/>
      <c r="E49" s="3049"/>
      <c r="F49" s="3049"/>
      <c r="G49" s="3049"/>
      <c r="H49" s="3049"/>
      <c r="I49" s="3049"/>
      <c r="J49" s="3049"/>
    </row>
    <row r="50" spans="1:10" ht="12" customHeight="1">
      <c r="C50" s="3044" t="s">
        <v>1808</v>
      </c>
      <c r="D50" s="3044"/>
      <c r="E50" s="3044"/>
      <c r="F50" s="3044"/>
      <c r="G50" s="3044"/>
      <c r="H50" s="3044"/>
      <c r="I50" s="3044"/>
      <c r="J50" s="3044"/>
    </row>
    <row r="51" spans="1:10" ht="3" customHeight="1">
      <c r="D51" s="812"/>
      <c r="E51" s="812"/>
      <c r="F51" s="812"/>
      <c r="G51" s="813"/>
      <c r="H51" s="697"/>
      <c r="I51" s="812"/>
      <c r="J51" s="812"/>
    </row>
    <row r="52" spans="1:10" ht="12" customHeight="1">
      <c r="A52" s="809" t="s">
        <v>3157</v>
      </c>
      <c r="B52" s="809"/>
      <c r="C52" s="814" t="s">
        <v>3158</v>
      </c>
      <c r="D52" s="814" t="s">
        <v>3511</v>
      </c>
      <c r="E52" s="3045"/>
      <c r="F52" s="3045"/>
      <c r="G52" s="3045"/>
      <c r="H52" s="3045"/>
      <c r="I52" s="3045"/>
      <c r="J52" s="3045"/>
    </row>
    <row r="53" spans="1:10" ht="12" customHeight="1">
      <c r="A53" s="809"/>
      <c r="B53" s="809"/>
      <c r="C53" s="809"/>
      <c r="D53" s="814" t="s">
        <v>3512</v>
      </c>
      <c r="E53" s="3046"/>
      <c r="F53" s="3046"/>
      <c r="G53" s="3046"/>
      <c r="H53" s="3046"/>
      <c r="I53" s="3046"/>
      <c r="J53" s="3046"/>
    </row>
    <row r="54" spans="1:10" ht="12" customHeight="1">
      <c r="A54" s="801" t="s">
        <v>3159</v>
      </c>
      <c r="G54" s="697"/>
      <c r="H54" s="697"/>
      <c r="I54" s="697"/>
    </row>
    <row r="55" spans="1:10" ht="18" customHeight="1">
      <c r="A55" s="760" t="s">
        <v>3160</v>
      </c>
      <c r="C55" s="803" t="str">
        <f>Overview!C10</f>
        <v>Abbington Sound Partner,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2825</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4150000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3040"/>
      <c r="E68" s="3040"/>
      <c r="F68" s="3040"/>
      <c r="G68" s="3040"/>
      <c r="H68" s="3040"/>
      <c r="I68" s="3040"/>
      <c r="J68" s="3040"/>
    </row>
    <row r="69" spans="1:10" ht="3" customHeight="1">
      <c r="D69" s="815"/>
      <c r="E69" s="697"/>
      <c r="F69" s="697"/>
      <c r="I69" s="697"/>
    </row>
    <row r="70" spans="1:10" ht="12" customHeight="1">
      <c r="A70" s="760" t="s">
        <v>3171</v>
      </c>
      <c r="C70" s="760" t="s">
        <v>2410</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2410</v>
      </c>
      <c r="D79" s="821">
        <f>'Preview term'!F39</f>
        <v>240</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6.5864878706634045E-7</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CDBG-DR Construction-to-Perm Loan</v>
      </c>
      <c r="I92" s="697"/>
    </row>
    <row r="93" spans="1:9" ht="12" customHeight="1">
      <c r="C93" s="829"/>
      <c r="D93" s="697"/>
      <c r="E93" s="815" t="s">
        <v>1797</v>
      </c>
      <c r="F93" s="3035"/>
      <c r="G93" s="3035"/>
      <c r="H93" s="3035"/>
      <c r="I93" s="697"/>
    </row>
    <row r="94" spans="1:9" ht="12" customHeight="1">
      <c r="C94" s="815"/>
      <c r="D94" s="697"/>
      <c r="E94" s="815" t="s">
        <v>1983</v>
      </c>
      <c r="F94" s="3036"/>
      <c r="G94" s="3036"/>
      <c r="H94" s="3036"/>
      <c r="I94" s="697"/>
    </row>
    <row r="95" spans="1:9" ht="12" customHeight="1">
      <c r="C95" s="815"/>
      <c r="D95" s="697"/>
      <c r="E95" s="815" t="s">
        <v>1800</v>
      </c>
      <c r="F95" s="3037"/>
      <c r="G95" s="3037"/>
      <c r="H95" s="3037"/>
      <c r="I95" s="697"/>
    </row>
    <row r="96" spans="1:9" ht="12" customHeight="1">
      <c r="B96" s="805"/>
      <c r="C96" s="818" t="s">
        <v>3331</v>
      </c>
      <c r="D96" s="697" t="s">
        <v>3186</v>
      </c>
      <c r="E96" s="815" t="str">
        <f>'Part III-Sources of Funds'!E38</f>
        <v>CDBG-DR Construction-to-Perm Loan</v>
      </c>
      <c r="I96" s="697"/>
    </row>
    <row r="97" spans="1:10" ht="12" customHeight="1">
      <c r="C97" s="815"/>
      <c r="D97" s="697"/>
      <c r="E97" s="815" t="s">
        <v>1797</v>
      </c>
      <c r="F97" s="3035"/>
      <c r="G97" s="3035"/>
      <c r="H97" s="3035"/>
      <c r="I97" s="697"/>
    </row>
    <row r="98" spans="1:10" ht="12" customHeight="1">
      <c r="C98" s="815"/>
      <c r="D98" s="697"/>
      <c r="E98" s="815" t="s">
        <v>1983</v>
      </c>
      <c r="F98" s="3036"/>
      <c r="G98" s="3036"/>
      <c r="H98" s="3036"/>
      <c r="I98" s="697"/>
    </row>
    <row r="99" spans="1:10" ht="12" customHeight="1">
      <c r="C99" s="815"/>
      <c r="D99" s="697"/>
      <c r="E99" s="815" t="s">
        <v>1800</v>
      </c>
      <c r="F99" s="3037"/>
      <c r="G99" s="3037"/>
      <c r="H99" s="3037"/>
      <c r="I99" s="697"/>
    </row>
    <row r="100" spans="1:10" ht="3" customHeight="1">
      <c r="D100" s="826"/>
      <c r="G100" s="697"/>
      <c r="H100" s="697"/>
      <c r="I100" s="697"/>
    </row>
    <row r="101" spans="1:10" ht="12" customHeight="1">
      <c r="A101" s="760" t="s">
        <v>3187</v>
      </c>
      <c r="D101" s="1872"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3038"/>
      <c r="E106" s="3038"/>
      <c r="F106" s="3038"/>
      <c r="G106" s="3038"/>
      <c r="H106" s="3038"/>
      <c r="I106" s="3038"/>
      <c r="J106" s="3039"/>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3042" t="s">
        <v>4260</v>
      </c>
      <c r="F119" s="3042"/>
      <c r="G119" s="3042"/>
      <c r="H119" s="3042"/>
      <c r="I119" s="3042"/>
      <c r="J119" s="3042"/>
    </row>
    <row r="120" spans="1:10" ht="12" customHeight="1">
      <c r="C120" s="697" t="s">
        <v>3197</v>
      </c>
      <c r="D120" s="1287"/>
      <c r="E120" s="3042"/>
      <c r="F120" s="3042"/>
      <c r="G120" s="3042"/>
      <c r="H120" s="3042"/>
      <c r="I120" s="3042"/>
      <c r="J120" s="3042"/>
    </row>
    <row r="121" spans="1:10" ht="12" customHeight="1">
      <c r="C121" s="697" t="s">
        <v>3198</v>
      </c>
      <c r="D121" s="1287"/>
      <c r="E121" s="3042"/>
      <c r="F121" s="3042"/>
      <c r="G121" s="3042"/>
      <c r="H121" s="3042"/>
      <c r="I121" s="3042"/>
      <c r="J121" s="3042"/>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Rea Ventures Group, LLC</v>
      </c>
      <c r="D130" s="803" t="str">
        <f>Overview!K11</f>
        <v>Brady Development, LLC</v>
      </c>
      <c r="G130" s="803" t="str">
        <f>Overview!M11</f>
        <v>Paladin, Inc.</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497147</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Boyd Management</v>
      </c>
      <c r="G137" s="697"/>
      <c r="I137" s="697"/>
      <c r="J137" s="832"/>
    </row>
    <row r="138" spans="1:10" ht="3" customHeight="1">
      <c r="C138" s="803"/>
      <c r="G138" s="697"/>
      <c r="I138" s="697"/>
    </row>
    <row r="139" spans="1:10" ht="12" customHeight="1">
      <c r="A139" s="760" t="s">
        <v>3209</v>
      </c>
      <c r="C139" s="804" t="str">
        <f>C8</f>
        <v>Kingsland Abbington Sound, LP</v>
      </c>
      <c r="G139" s="697"/>
      <c r="I139" s="802"/>
      <c r="J139" s="833"/>
    </row>
    <row r="140" spans="1:10" ht="3" customHeight="1">
      <c r="C140" s="804"/>
      <c r="G140" s="697"/>
      <c r="I140" s="802"/>
      <c r="J140" s="833"/>
    </row>
    <row r="141" spans="1:10" ht="12" customHeight="1">
      <c r="A141" s="760" t="s">
        <v>3210</v>
      </c>
      <c r="C141" s="804" t="str">
        <f>C18</f>
        <v>2964 Peachtree Road NW, Suite 200</v>
      </c>
      <c r="G141" s="697"/>
      <c r="I141" s="802"/>
      <c r="J141" s="833"/>
    </row>
    <row r="142" spans="1:10">
      <c r="C142" s="804" t="str">
        <f>C19</f>
        <v>Atlanta, GA 30305</v>
      </c>
      <c r="G142" s="697"/>
      <c r="I142" s="802"/>
      <c r="J142" s="833"/>
    </row>
    <row r="143" spans="1:10" ht="3" customHeight="1">
      <c r="C143" s="834"/>
      <c r="G143" s="697"/>
      <c r="I143" s="802"/>
      <c r="J143" s="833"/>
    </row>
    <row r="144" spans="1:10" ht="12" customHeight="1">
      <c r="A144" s="760" t="s">
        <v>3211</v>
      </c>
      <c r="C144" s="804" t="str">
        <f>Overview!H10</f>
        <v>Churchill Stateside Group, LLC</v>
      </c>
      <c r="G144" s="697"/>
      <c r="I144" s="802"/>
      <c r="J144" s="832"/>
    </row>
    <row r="145" spans="1:10" ht="3" customHeight="1">
      <c r="C145" s="804"/>
      <c r="G145" s="697"/>
      <c r="I145" s="802"/>
      <c r="J145" s="833"/>
    </row>
    <row r="146" spans="1:10" ht="12" customHeight="1">
      <c r="A146" s="760" t="s">
        <v>3212</v>
      </c>
      <c r="C146" s="804" t="str">
        <f>Overview!K10</f>
        <v>Churchill Stateside Group, LLC</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2410</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3040"/>
      <c r="F164" s="3040"/>
      <c r="G164" s="3040"/>
      <c r="I164" s="697"/>
    </row>
    <row r="165" spans="1:13" ht="3" customHeight="1">
      <c r="E165" s="697"/>
      <c r="G165" s="697"/>
      <c r="I165" s="697"/>
    </row>
    <row r="166" spans="1:13" ht="12" customHeight="1">
      <c r="A166" s="760" t="s">
        <v>3221</v>
      </c>
      <c r="C166" s="760" t="s">
        <v>3222</v>
      </c>
      <c r="E166" s="836">
        <f>'Preview term'!F71</f>
        <v>281567.18243249139</v>
      </c>
      <c r="G166" s="697"/>
      <c r="I166" s="697"/>
    </row>
    <row r="167" spans="1:13" ht="12" customHeight="1">
      <c r="C167" s="760" t="s">
        <v>3517</v>
      </c>
      <c r="E167" s="3040"/>
      <c r="F167" s="3040"/>
      <c r="G167" s="3040"/>
      <c r="I167" s="697"/>
    </row>
    <row r="168" spans="1:13" ht="12" customHeight="1">
      <c r="C168" s="760" t="s">
        <v>3223</v>
      </c>
      <c r="E168" s="803" t="s">
        <v>2825</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21000</v>
      </c>
      <c r="F172" s="802" t="s">
        <v>3226</v>
      </c>
      <c r="J172" s="833"/>
      <c r="K172" s="833"/>
      <c r="L172" s="833"/>
      <c r="M172" s="833"/>
    </row>
    <row r="173" spans="1:13">
      <c r="E173" s="836">
        <f>E172/12</f>
        <v>1750</v>
      </c>
      <c r="F173" s="697" t="s">
        <v>3078</v>
      </c>
    </row>
    <row r="174" spans="1:13" ht="12" customHeight="1">
      <c r="C174" s="760" t="s">
        <v>3518</v>
      </c>
      <c r="E174" s="3040"/>
      <c r="F174" s="3040"/>
      <c r="G174" s="3040"/>
      <c r="I174" s="697"/>
    </row>
    <row r="175" spans="1:13" ht="12" customHeight="1">
      <c r="C175" s="760" t="s">
        <v>3227</v>
      </c>
      <c r="E175" s="697" t="s">
        <v>2990</v>
      </c>
      <c r="I175" s="697"/>
    </row>
    <row r="176" spans="1:13" ht="12" customHeight="1">
      <c r="C176" s="760" t="s">
        <v>3228</v>
      </c>
      <c r="E176" s="697" t="s">
        <v>2825</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3040"/>
      <c r="G179" s="3040"/>
      <c r="H179" s="3040"/>
      <c r="I179" s="3040"/>
      <c r="J179" s="3040"/>
    </row>
    <row r="180" spans="1:10" ht="12" customHeight="1">
      <c r="C180" s="760" t="s">
        <v>3519</v>
      </c>
      <c r="E180" s="697" t="s">
        <v>3167</v>
      </c>
      <c r="I180" s="697"/>
    </row>
    <row r="181" spans="1:10" ht="12" customHeight="1">
      <c r="C181" s="760" t="s">
        <v>3230</v>
      </c>
      <c r="E181" s="697" t="s">
        <v>2825</v>
      </c>
      <c r="I181" s="697"/>
    </row>
    <row r="182" spans="1:10" ht="3" customHeight="1">
      <c r="G182" s="697"/>
      <c r="H182" s="697"/>
      <c r="I182" s="697"/>
    </row>
    <row r="183" spans="1:10" ht="12" customHeight="1">
      <c r="A183" s="760" t="s">
        <v>3327</v>
      </c>
      <c r="C183" s="760" t="s">
        <v>3328</v>
      </c>
      <c r="E183" s="836">
        <f>'Preview term'!F75</f>
        <v>83526.75</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3041">
        <f>'Part VIII-Threshold Criteria'!E400</f>
        <v>0</v>
      </c>
      <c r="G197" s="3041"/>
      <c r="H197" s="3041"/>
      <c r="I197" s="3041"/>
      <c r="J197" s="3041"/>
    </row>
    <row r="198" spans="1:10" ht="9" customHeight="1">
      <c r="G198" s="697"/>
      <c r="H198" s="697"/>
      <c r="I198" s="697"/>
    </row>
    <row r="199" spans="1:10" ht="12" customHeight="1">
      <c r="A199" s="838" t="s">
        <v>3320</v>
      </c>
      <c r="G199" s="697"/>
      <c r="H199" s="697"/>
      <c r="I199" s="822"/>
    </row>
    <row r="200" spans="1:10" ht="25.5" hidden="1" customHeight="1">
      <c r="A200" s="3043" t="str">
        <f>'Subsidy Layering Memo'!A98</f>
        <v>Include any reserve requirements; explain any reserves far in excess of 6 month ODR, 3 mo lease up, 1 year RR, 6 mo T&amp;I standards.</v>
      </c>
      <c r="B200" s="3043"/>
      <c r="C200" s="3043"/>
      <c r="D200" s="3043"/>
      <c r="E200" s="3043"/>
      <c r="F200" s="3043"/>
      <c r="G200" s="3043"/>
      <c r="H200" s="3043"/>
      <c r="I200" s="3043"/>
      <c r="J200" s="3043"/>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3033" t="s">
        <v>2943</v>
      </c>
      <c r="B204" s="3033"/>
      <c r="C204" s="3033"/>
      <c r="D204" s="3033"/>
      <c r="E204" s="3033"/>
      <c r="F204" s="3033"/>
      <c r="G204" s="3033"/>
      <c r="H204" s="3033"/>
      <c r="I204" s="3033"/>
      <c r="J204" s="3033"/>
    </row>
    <row r="205" spans="1:10">
      <c r="A205" s="697" t="s">
        <v>2944</v>
      </c>
      <c r="G205" s="697"/>
      <c r="H205" s="697"/>
      <c r="I205" s="697"/>
    </row>
    <row r="206" spans="1:10" ht="38.25" customHeight="1">
      <c r="A206" s="3033" t="str">
        <f>'Subsidy Layering Memo'!A37&amp;".  "&amp;'Subsidy Layering Memo'!A38</f>
        <v xml:space="preserve">.  </v>
      </c>
      <c r="B206" s="3034"/>
      <c r="C206" s="3034"/>
      <c r="D206" s="3034"/>
      <c r="E206" s="3034"/>
      <c r="F206" s="3034"/>
      <c r="G206" s="3034"/>
      <c r="H206" s="3034"/>
      <c r="I206" s="3034"/>
      <c r="J206" s="3034"/>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zoomScalePageLayoutView="120" workbookViewId="0">
      <selection activeCell="E64" sqref="E64"/>
    </sheetView>
  </sheetViews>
  <sheetFormatPr defaultColWidth="9.140625" defaultRowHeight="12.75"/>
  <cols>
    <col min="1" max="1" width="3.42578125" style="760" customWidth="1"/>
    <col min="2" max="2" width="4.140625" style="760" customWidth="1"/>
    <col min="3" max="3" width="18.42578125" style="760" customWidth="1"/>
    <col min="4" max="4" width="2.7109375" style="760" customWidth="1"/>
    <col min="5" max="5" width="6.42578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Abbington Sound</v>
      </c>
    </row>
    <row r="2" spans="1:11">
      <c r="A2" s="697" t="s">
        <v>3238</v>
      </c>
      <c r="H2" s="760" t="str">
        <f>Overview!E8</f>
        <v>2019-078</v>
      </c>
    </row>
    <row r="3" spans="1:11" ht="3" customHeight="1"/>
    <row r="4" spans="1:11" ht="51.75" customHeight="1">
      <c r="A4" s="3034" t="s">
        <v>3337</v>
      </c>
      <c r="B4" s="3034"/>
      <c r="C4" s="3034"/>
      <c r="D4" s="3034"/>
      <c r="E4" s="3034"/>
      <c r="F4" s="3034"/>
      <c r="G4" s="3034"/>
      <c r="H4" s="3034"/>
      <c r="J4" s="1300">
        <f>SUM('Part VII-Pro Forma'!B14:B16)/12</f>
        <v>53609.180400000005</v>
      </c>
      <c r="K4" s="1299" t="s">
        <v>4467</v>
      </c>
    </row>
    <row r="5" spans="1:11" ht="1.5" customHeight="1">
      <c r="C5" s="839"/>
      <c r="D5" s="839"/>
      <c r="E5" s="839"/>
      <c r="F5" s="839"/>
      <c r="G5" s="839"/>
      <c r="H5" s="839"/>
    </row>
    <row r="6" spans="1:11" ht="12.75" customHeight="1">
      <c r="B6" s="840" t="s">
        <v>2436</v>
      </c>
      <c r="C6" s="3034" t="s">
        <v>3239</v>
      </c>
      <c r="D6" s="3034"/>
      <c r="E6" s="3034"/>
      <c r="F6" s="3034"/>
      <c r="G6" s="3034"/>
      <c r="H6" s="3034"/>
    </row>
    <row r="7" spans="1:11" ht="12.75" customHeight="1">
      <c r="B7" s="840" t="s">
        <v>2437</v>
      </c>
      <c r="C7" s="3034" t="s">
        <v>3240</v>
      </c>
      <c r="D7" s="3034"/>
      <c r="E7" s="3034"/>
      <c r="F7" s="3034"/>
      <c r="G7" s="3034"/>
      <c r="H7" s="3034"/>
    </row>
    <row r="8" spans="1:11" ht="3" customHeight="1"/>
    <row r="9" spans="1:11">
      <c r="A9" s="760" t="s">
        <v>3241</v>
      </c>
    </row>
    <row r="10" spans="1:11" ht="1.5" customHeight="1"/>
    <row r="11" spans="1:11" ht="26.25" customHeight="1">
      <c r="A11" s="841" t="s">
        <v>1984</v>
      </c>
      <c r="B11" s="3053" t="s">
        <v>3334</v>
      </c>
      <c r="C11" s="3053"/>
      <c r="D11" s="3053"/>
      <c r="E11" s="3053"/>
      <c r="F11" s="3053"/>
      <c r="G11" s="3054">
        <f>'Part III-Sources of Funds'!I49+'Part III-Sources of Funds'!I50</f>
        <v>10948104</v>
      </c>
      <c r="H11" s="3054"/>
    </row>
    <row r="12" spans="1:11" ht="1.5" customHeight="1">
      <c r="G12" s="809"/>
      <c r="H12" s="809"/>
    </row>
    <row r="13" spans="1:11" ht="26.25" customHeight="1">
      <c r="A13" s="841" t="s">
        <v>1986</v>
      </c>
      <c r="B13" s="3053" t="s">
        <v>3335</v>
      </c>
      <c r="C13" s="3053"/>
      <c r="D13" s="3053"/>
      <c r="E13" s="3053"/>
      <c r="F13" s="3053"/>
      <c r="G13" s="3055" t="s">
        <v>3167</v>
      </c>
      <c r="H13" s="3055"/>
    </row>
    <row r="14" spans="1:11" ht="12" hidden="1" customHeight="1">
      <c r="A14" s="841"/>
      <c r="B14" s="3048"/>
      <c r="C14" s="3048"/>
      <c r="D14" s="3048"/>
      <c r="E14" s="3048"/>
      <c r="F14" s="3048"/>
      <c r="G14" s="3048"/>
      <c r="H14" s="3048"/>
    </row>
    <row r="15" spans="1:11" ht="1.5" customHeight="1"/>
    <row r="16" spans="1:11" ht="12" customHeight="1">
      <c r="A16" s="841" t="s">
        <v>749</v>
      </c>
      <c r="B16" s="760" t="s">
        <v>3339</v>
      </c>
      <c r="F16" s="833"/>
      <c r="G16" s="3031" t="s">
        <v>2993</v>
      </c>
      <c r="H16" s="3031"/>
    </row>
    <row r="17" spans="1:8" ht="1.5" customHeight="1">
      <c r="G17" s="815"/>
    </row>
    <row r="18" spans="1:8" ht="12" customHeight="1">
      <c r="A18" s="841" t="s">
        <v>2116</v>
      </c>
      <c r="B18" s="809" t="s">
        <v>3336</v>
      </c>
      <c r="C18" s="841"/>
      <c r="D18" s="841"/>
      <c r="E18" s="841"/>
      <c r="G18" s="3048" t="s">
        <v>2825</v>
      </c>
      <c r="H18" s="3048"/>
    </row>
    <row r="19" spans="1:8" ht="12" hidden="1" customHeight="1">
      <c r="B19" s="3048"/>
      <c r="C19" s="3048"/>
      <c r="D19" s="3048"/>
      <c r="E19" s="3048"/>
      <c r="F19" s="3048"/>
      <c r="G19" s="3048"/>
      <c r="H19" s="3048"/>
    </row>
    <row r="20" spans="1:8" ht="13.5" customHeight="1"/>
    <row r="21" spans="1:8" ht="12" customHeight="1">
      <c r="A21" s="697" t="s">
        <v>3242</v>
      </c>
    </row>
    <row r="22" spans="1:8" ht="3" customHeight="1"/>
    <row r="23" spans="1:8" ht="26.25" customHeight="1">
      <c r="A23" s="3051" t="s">
        <v>3338</v>
      </c>
      <c r="B23" s="3051"/>
      <c r="C23" s="3051"/>
      <c r="D23" s="3051"/>
      <c r="E23" s="3051"/>
      <c r="F23" s="3051"/>
      <c r="G23" s="3051"/>
      <c r="H23" s="3051"/>
    </row>
    <row r="24" spans="1:8" ht="26.25" customHeight="1">
      <c r="A24" s="3052" t="s">
        <v>3243</v>
      </c>
      <c r="B24" s="3052"/>
      <c r="C24" s="3052"/>
      <c r="D24" s="3052"/>
      <c r="E24" s="3052"/>
      <c r="F24" s="3052"/>
      <c r="G24" s="3052"/>
      <c r="H24" s="3052"/>
    </row>
    <row r="25" spans="1:8" ht="9" customHeight="1">
      <c r="A25" s="782"/>
    </row>
    <row r="26" spans="1:8">
      <c r="A26" s="815" t="s">
        <v>3340</v>
      </c>
      <c r="B26" s="842"/>
      <c r="C26" s="815" t="s">
        <v>3341</v>
      </c>
      <c r="D26" s="843" t="s">
        <v>3527</v>
      </c>
    </row>
    <row r="27" spans="1:8" ht="6" customHeight="1"/>
    <row r="28" spans="1:8" ht="12.75" customHeight="1">
      <c r="C28" s="809" t="s">
        <v>3244</v>
      </c>
      <c r="D28" s="844" t="s">
        <v>1987</v>
      </c>
      <c r="E28" s="845"/>
      <c r="F28" s="3034" t="s">
        <v>3245</v>
      </c>
      <c r="G28" s="3034"/>
      <c r="H28" s="3034"/>
    </row>
    <row r="29" spans="1:8" ht="12.75" customHeight="1">
      <c r="C29" s="846" t="s">
        <v>1353</v>
      </c>
      <c r="D29" s="844" t="s">
        <v>1989</v>
      </c>
      <c r="E29" s="3034" t="s">
        <v>3345</v>
      </c>
      <c r="F29" s="3034"/>
      <c r="G29" s="3034"/>
      <c r="H29" s="3034"/>
    </row>
    <row r="30" spans="1:8" ht="12.75" customHeight="1">
      <c r="E30" s="3034" t="s">
        <v>3523</v>
      </c>
      <c r="F30" s="3034"/>
      <c r="G30" s="3034"/>
      <c r="H30" s="3034"/>
    </row>
    <row r="31" spans="1:8" ht="12.75" customHeight="1">
      <c r="D31" s="847" t="s">
        <v>3344</v>
      </c>
      <c r="E31" s="3034" t="s">
        <v>3524</v>
      </c>
      <c r="F31" s="3034"/>
      <c r="G31" s="3034"/>
      <c r="H31" s="3034"/>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1987</v>
      </c>
      <c r="E35" s="845"/>
      <c r="F35" s="3034" t="s">
        <v>3245</v>
      </c>
      <c r="G35" s="3034"/>
      <c r="H35" s="3034"/>
    </row>
    <row r="36" spans="1:11" ht="12.75" customHeight="1">
      <c r="C36" s="846" t="s">
        <v>1353</v>
      </c>
      <c r="D36" s="844" t="s">
        <v>1989</v>
      </c>
      <c r="E36" s="3034" t="s">
        <v>3346</v>
      </c>
      <c r="F36" s="3034"/>
      <c r="G36" s="3034"/>
      <c r="H36" s="3034"/>
    </row>
    <row r="37" spans="1:11" ht="12.75" customHeight="1">
      <c r="E37" s="3034" t="s">
        <v>3523</v>
      </c>
      <c r="F37" s="3034"/>
      <c r="G37" s="3034"/>
      <c r="H37" s="3034"/>
    </row>
    <row r="38" spans="1:11" ht="12.75" customHeight="1">
      <c r="D38" s="847" t="s">
        <v>3344</v>
      </c>
      <c r="E38" s="3034" t="s">
        <v>3524</v>
      </c>
      <c r="F38" s="3034"/>
      <c r="G38" s="3034"/>
      <c r="H38" s="3034"/>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1987</v>
      </c>
      <c r="E42" s="845"/>
      <c r="F42" s="3034" t="s">
        <v>3245</v>
      </c>
      <c r="G42" s="3034"/>
      <c r="H42" s="3034"/>
      <c r="K42" s="760" t="s">
        <v>243</v>
      </c>
    </row>
    <row r="43" spans="1:11" ht="12.75" customHeight="1">
      <c r="C43" s="846" t="s">
        <v>1353</v>
      </c>
      <c r="D43" s="844" t="s">
        <v>1989</v>
      </c>
      <c r="E43" s="3034" t="s">
        <v>3346</v>
      </c>
      <c r="F43" s="3034"/>
      <c r="G43" s="3034"/>
      <c r="H43" s="3034"/>
    </row>
    <row r="44" spans="1:11" ht="12.75" customHeight="1">
      <c r="E44" s="3034" t="s">
        <v>3523</v>
      </c>
      <c r="F44" s="3034"/>
      <c r="G44" s="3034"/>
      <c r="H44" s="3034"/>
    </row>
    <row r="45" spans="1:11" ht="12.75" customHeight="1">
      <c r="D45" s="847" t="s">
        <v>3344</v>
      </c>
      <c r="E45" s="3034" t="s">
        <v>3524</v>
      </c>
      <c r="F45" s="3034"/>
      <c r="G45" s="3034"/>
      <c r="H45" s="3034"/>
    </row>
    <row r="46" spans="1:11" ht="9" customHeight="1"/>
    <row r="47" spans="1:11" ht="7.5" customHeight="1">
      <c r="E47" s="3034"/>
      <c r="F47" s="3034"/>
      <c r="G47" s="3034"/>
      <c r="H47" s="3034"/>
    </row>
    <row r="48" spans="1:11" ht="24.75" customHeight="1">
      <c r="A48" s="3050" t="s">
        <v>4235</v>
      </c>
      <c r="B48" s="3050"/>
      <c r="C48" s="3050"/>
      <c r="D48" s="3050"/>
      <c r="E48" s="3050"/>
      <c r="F48" s="3050"/>
      <c r="G48" s="3050"/>
      <c r="H48" s="3050"/>
    </row>
    <row r="49" spans="1:11" ht="9" customHeight="1"/>
    <row r="50" spans="1:11" ht="26.25" customHeight="1">
      <c r="A50" s="3051" t="s">
        <v>3525</v>
      </c>
      <c r="B50" s="3051"/>
      <c r="C50" s="3051"/>
      <c r="D50" s="3051"/>
      <c r="E50" s="3051"/>
      <c r="F50" s="3051"/>
      <c r="G50" s="3051"/>
      <c r="H50" s="3051"/>
    </row>
    <row r="51" spans="1:11" ht="9" customHeight="1">
      <c r="A51" s="782"/>
    </row>
    <row r="52" spans="1:11">
      <c r="A52" s="815" t="s">
        <v>3340</v>
      </c>
      <c r="B52" s="842"/>
      <c r="C52" s="815" t="s">
        <v>3341</v>
      </c>
      <c r="D52" s="843" t="s">
        <v>3526</v>
      </c>
    </row>
    <row r="53" spans="1:11" ht="4.5" customHeight="1"/>
    <row r="54" spans="1:11" ht="12.75" customHeight="1">
      <c r="C54" s="809" t="s">
        <v>3244</v>
      </c>
      <c r="D54" s="844" t="s">
        <v>1987</v>
      </c>
      <c r="E54" s="845"/>
      <c r="F54" s="3034" t="s">
        <v>3245</v>
      </c>
      <c r="G54" s="3034"/>
      <c r="H54" s="3034"/>
    </row>
    <row r="55" spans="1:11" ht="12.75" customHeight="1">
      <c r="C55" s="846" t="s">
        <v>1353</v>
      </c>
      <c r="D55" s="844" t="s">
        <v>1989</v>
      </c>
      <c r="E55" s="3034" t="s">
        <v>3532</v>
      </c>
      <c r="F55" s="3034"/>
      <c r="G55" s="3034"/>
      <c r="H55" s="3034"/>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1987</v>
      </c>
      <c r="E59" s="845"/>
      <c r="F59" s="3034" t="s">
        <v>3245</v>
      </c>
      <c r="G59" s="3034"/>
      <c r="H59" s="3034"/>
    </row>
    <row r="60" spans="1:11" ht="12.75" customHeight="1">
      <c r="C60" s="846" t="s">
        <v>1353</v>
      </c>
      <c r="D60" s="844" t="s">
        <v>1989</v>
      </c>
      <c r="E60" s="3034" t="s">
        <v>3532</v>
      </c>
      <c r="F60" s="3034"/>
      <c r="G60" s="3034"/>
      <c r="H60" s="3034"/>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1987</v>
      </c>
      <c r="E64" s="845"/>
      <c r="F64" s="3034" t="s">
        <v>3245</v>
      </c>
      <c r="G64" s="3034"/>
      <c r="H64" s="3034"/>
      <c r="K64" s="760" t="s">
        <v>243</v>
      </c>
    </row>
    <row r="65" spans="3:8" ht="12.75" customHeight="1">
      <c r="C65" s="846" t="s">
        <v>1353</v>
      </c>
      <c r="D65" s="844" t="s">
        <v>1989</v>
      </c>
      <c r="E65" s="3034" t="s">
        <v>3532</v>
      </c>
      <c r="F65" s="3034"/>
      <c r="G65" s="3034"/>
      <c r="H65" s="3034"/>
    </row>
    <row r="66" spans="3:8" ht="7.5" customHeight="1">
      <c r="E66" s="3034"/>
      <c r="F66" s="3034"/>
      <c r="G66" s="3034"/>
      <c r="H66" s="303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zoomScalePageLayoutView="120" workbookViewId="0">
      <selection activeCell="G36" sqref="G36"/>
    </sheetView>
  </sheetViews>
  <sheetFormatPr defaultColWidth="9.140625" defaultRowHeight="12.75"/>
  <cols>
    <col min="1" max="1" width="2.140625" style="1890" customWidth="1"/>
    <col min="2" max="2" width="12.42578125" style="1890" customWidth="1"/>
    <col min="3" max="3" width="12.140625" style="1890" customWidth="1"/>
    <col min="4" max="4" width="9.7109375" style="1890" customWidth="1"/>
    <col min="5" max="5" width="10.42578125" style="1890" customWidth="1"/>
    <col min="6" max="6" width="9.140625" style="1890"/>
    <col min="7" max="7" width="11" style="1890" customWidth="1"/>
    <col min="8" max="8" width="14.42578125" style="1890" customWidth="1"/>
    <col min="9" max="9" width="10.140625" style="1890" customWidth="1"/>
    <col min="10" max="16384" width="9.140625" style="1890"/>
  </cols>
  <sheetData>
    <row r="1" spans="2:13" ht="15.75">
      <c r="B1" s="3071" t="s">
        <v>4274</v>
      </c>
      <c r="C1" s="3071"/>
      <c r="D1" s="3071"/>
      <c r="E1" s="3071"/>
      <c r="F1" s="3071"/>
      <c r="G1" s="3071"/>
      <c r="H1" s="3071"/>
      <c r="I1" s="3071"/>
    </row>
    <row r="2" spans="2:13" ht="15">
      <c r="B2" s="1891" t="s">
        <v>4262</v>
      </c>
      <c r="C2" s="808"/>
      <c r="D2" s="808"/>
      <c r="E2" s="808"/>
      <c r="F2" s="808"/>
      <c r="G2" s="808"/>
      <c r="H2" s="808"/>
      <c r="I2" s="808"/>
    </row>
    <row r="3" spans="2:13" ht="14.25">
      <c r="B3" s="1892" t="s">
        <v>4269</v>
      </c>
      <c r="C3" s="808"/>
      <c r="D3" s="808"/>
      <c r="E3" s="808"/>
      <c r="F3" s="808"/>
      <c r="G3" s="808"/>
      <c r="H3" s="808"/>
      <c r="I3" s="808"/>
    </row>
    <row r="4" spans="2:13">
      <c r="B4" s="3072" t="s">
        <v>3246</v>
      </c>
      <c r="C4" s="3072"/>
      <c r="D4" s="3072"/>
      <c r="E4" s="3078" t="s">
        <v>3247</v>
      </c>
      <c r="F4" s="3080"/>
      <c r="G4" s="3078" t="s">
        <v>617</v>
      </c>
      <c r="H4" s="3079"/>
      <c r="I4" s="3080"/>
      <c r="J4" s="1885" t="s">
        <v>3091</v>
      </c>
      <c r="K4" s="1885"/>
      <c r="L4" s="1893"/>
      <c r="M4" s="1893"/>
    </row>
    <row r="5" spans="2:13">
      <c r="B5" s="3073" t="str">
        <f>'Closing term sheet'!C8</f>
        <v>Kingsland Abbington Sound, LP</v>
      </c>
      <c r="C5" s="3074"/>
      <c r="D5" s="3074"/>
      <c r="E5" s="3084"/>
      <c r="F5" s="3085"/>
      <c r="G5" s="3081" t="str">
        <f>'Closing term sheet'!C28</f>
        <v>Abbington Sound</v>
      </c>
      <c r="H5" s="3082"/>
      <c r="I5" s="3083"/>
      <c r="K5" s="760"/>
    </row>
    <row r="6" spans="2:13" ht="4.5" customHeight="1">
      <c r="D6" s="1894"/>
      <c r="E6" s="1894"/>
      <c r="F6" s="1894"/>
      <c r="G6" s="1894"/>
      <c r="H6" s="1894"/>
      <c r="I6" s="1894"/>
      <c r="K6" s="760"/>
    </row>
    <row r="7" spans="2:13">
      <c r="B7" s="3075" t="s">
        <v>3248</v>
      </c>
      <c r="C7" s="3075"/>
      <c r="D7" s="1895"/>
      <c r="E7" s="1895"/>
      <c r="F7" s="1895"/>
      <c r="G7" s="1895"/>
      <c r="H7" s="3076">
        <f>'Preview term'!E9</f>
        <v>0</v>
      </c>
      <c r="I7" s="3077"/>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3056" t="s">
        <v>4282</v>
      </c>
      <c r="I35" s="3057"/>
    </row>
    <row r="36" spans="2:9">
      <c r="B36" s="1922" t="s">
        <v>4281</v>
      </c>
      <c r="C36" s="1920"/>
      <c r="D36" s="1920"/>
      <c r="E36" s="1895"/>
      <c r="F36" s="2228"/>
      <c r="G36" s="1923"/>
      <c r="H36" s="3056"/>
      <c r="I36" s="3057"/>
    </row>
    <row r="37" spans="2:9">
      <c r="B37" s="1922" t="s">
        <v>4279</v>
      </c>
      <c r="D37" s="1920"/>
      <c r="E37" s="1895"/>
      <c r="F37" s="2229"/>
      <c r="G37" s="1923"/>
      <c r="H37" s="3056"/>
      <c r="I37" s="3057"/>
    </row>
    <row r="38" spans="2:9">
      <c r="B38" s="1922" t="s">
        <v>4280</v>
      </c>
      <c r="D38" s="1895"/>
      <c r="E38" s="1895"/>
      <c r="F38" s="2229"/>
      <c r="G38" s="1923"/>
      <c r="H38" s="1923"/>
      <c r="I38" s="1924"/>
    </row>
    <row r="39" spans="2:9" ht="12.75" customHeight="1">
      <c r="B39" s="1922" t="s">
        <v>4278</v>
      </c>
      <c r="C39" s="1895"/>
      <c r="D39" s="1895"/>
      <c r="E39" s="1895"/>
      <c r="F39" s="2229"/>
      <c r="G39" s="1923"/>
      <c r="H39" s="1923"/>
      <c r="I39" s="1924"/>
    </row>
    <row r="40" spans="2:9">
      <c r="B40" s="1925" t="s">
        <v>4277</v>
      </c>
      <c r="C40" s="1926"/>
      <c r="D40" s="1927"/>
      <c r="E40" s="1928"/>
      <c r="F40" s="2229"/>
      <c r="G40" s="1928"/>
      <c r="H40" s="2227"/>
      <c r="I40" s="1905"/>
    </row>
    <row r="41" spans="2:9">
      <c r="B41" s="1925" t="s">
        <v>4276</v>
      </c>
      <c r="C41" s="1926"/>
      <c r="D41" s="1927"/>
      <c r="E41" s="1895"/>
      <c r="F41" s="2229"/>
      <c r="G41" s="1895"/>
      <c r="H41" s="1895"/>
      <c r="I41" s="1905"/>
    </row>
    <row r="42" spans="2:9">
      <c r="B42" s="1929" t="s">
        <v>4275</v>
      </c>
      <c r="C42" s="1930"/>
      <c r="D42" s="1930"/>
      <c r="E42" s="1895"/>
      <c r="F42" s="2230"/>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8">
      <c r="B47" s="1906" t="s">
        <v>4271</v>
      </c>
      <c r="C47" s="1895"/>
      <c r="D47" s="1931"/>
      <c r="E47" s="1932" t="str">
        <f>Overview!H7</f>
        <v>New Construction</v>
      </c>
      <c r="F47" s="784" t="s">
        <v>4283</v>
      </c>
      <c r="H47" s="1895"/>
      <c r="I47" s="1905"/>
    </row>
    <row r="48" spans="2:9">
      <c r="B48" s="1911" t="s">
        <v>3261</v>
      </c>
      <c r="C48" s="1920"/>
      <c r="D48" s="1920" t="s">
        <v>3262</v>
      </c>
      <c r="E48" s="1895"/>
      <c r="F48" s="3065" t="str">
        <f>'Closing term sheet'!$C$30</f>
        <v>1455 Winding Road</v>
      </c>
      <c r="G48" s="3066"/>
      <c r="H48" s="3066"/>
      <c r="I48" s="3067"/>
    </row>
    <row r="49" spans="2:9">
      <c r="B49" s="1911" t="s">
        <v>3263</v>
      </c>
      <c r="D49" s="1920" t="s">
        <v>3264</v>
      </c>
      <c r="E49" s="1895"/>
      <c r="F49" s="3068"/>
      <c r="G49" s="3069"/>
      <c r="H49" s="3069"/>
      <c r="I49" s="3070"/>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3088" t="str">
        <f>'Part I-Project Information'!F38</f>
        <v>Kingsland</v>
      </c>
      <c r="D52" s="3089"/>
      <c r="E52" s="1937" t="s">
        <v>4285</v>
      </c>
      <c r="F52" s="1897" t="s">
        <v>848</v>
      </c>
      <c r="G52" s="1937" t="s">
        <v>4286</v>
      </c>
      <c r="H52" s="1938">
        <f>'Part I-Project Information'!J38</f>
        <v>315480000</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84</v>
      </c>
      <c r="E55" s="1941"/>
      <c r="F55" s="817" t="s">
        <v>3266</v>
      </c>
      <c r="G55" s="1895"/>
      <c r="H55" s="1895"/>
      <c r="I55" s="1905"/>
    </row>
    <row r="56" spans="2:9">
      <c r="B56" s="1929" t="s">
        <v>4452</v>
      </c>
      <c r="D56" s="1942">
        <f>'Closing term sheet'!$D$62</f>
        <v>4150000</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3093" t="s">
        <v>3269</v>
      </c>
      <c r="C61" s="3094"/>
      <c r="D61" s="3094"/>
      <c r="E61" s="3094"/>
      <c r="F61" s="3094"/>
      <c r="G61" s="3094"/>
      <c r="H61" s="3094"/>
      <c r="I61" s="3095"/>
    </row>
    <row r="62" spans="2:9" ht="7.5" customHeight="1">
      <c r="B62" s="3090"/>
      <c r="C62" s="3091"/>
      <c r="D62" s="3091"/>
      <c r="E62" s="1895"/>
      <c r="F62" s="1895"/>
      <c r="G62" s="1945"/>
      <c r="H62" s="1895"/>
      <c r="I62" s="1905"/>
    </row>
    <row r="63" spans="2:9">
      <c r="B63" s="1946" t="s">
        <v>3271</v>
      </c>
      <c r="C63" s="1895"/>
      <c r="D63" s="1940">
        <v>4</v>
      </c>
      <c r="F63" s="1895"/>
      <c r="G63" s="3075" t="s">
        <v>3270</v>
      </c>
      <c r="H63" s="3075"/>
      <c r="I63" s="3092"/>
    </row>
    <row r="64" spans="2:9">
      <c r="B64" s="1903"/>
      <c r="C64" s="1920" t="s">
        <v>3274</v>
      </c>
      <c r="D64" s="1920" t="s">
        <v>3275</v>
      </c>
      <c r="F64" s="1895"/>
      <c r="G64" s="829" t="s">
        <v>3272</v>
      </c>
      <c r="H64" s="1895"/>
      <c r="I64" s="1947">
        <f>'Closing term sheet'!$D$35</f>
        <v>84</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3093" t="s">
        <v>3282</v>
      </c>
      <c r="C81" s="3094"/>
      <c r="D81" s="3094"/>
      <c r="E81" s="3094"/>
      <c r="F81" s="3094"/>
      <c r="G81" s="3094"/>
      <c r="H81" s="3094"/>
      <c r="I81" s="3095"/>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3061">
        <f>'Closing term sheet'!D62</f>
        <v>4150000</v>
      </c>
      <c r="G84" s="3061"/>
      <c r="H84" s="1895"/>
      <c r="I84" s="1905"/>
    </row>
    <row r="85" spans="2:9">
      <c r="B85" s="1903"/>
      <c r="C85" s="837" t="s">
        <v>3285</v>
      </c>
      <c r="D85" s="1895"/>
      <c r="E85" s="1895"/>
      <c r="F85" s="3087" t="e">
        <f>'Part III-Sources of Funds'!I45+'Part III-Sources of Funds'!L45</f>
        <v>#N/A</v>
      </c>
      <c r="G85" s="3087"/>
      <c r="H85" s="1895"/>
      <c r="I85" s="1905"/>
    </row>
    <row r="86" spans="2:9">
      <c r="B86" s="1903"/>
      <c r="C86" s="837" t="s">
        <v>3286</v>
      </c>
      <c r="D86" s="1895"/>
      <c r="E86" s="1895"/>
      <c r="F86" s="3086"/>
      <c r="G86" s="3086"/>
      <c r="H86" s="1895"/>
      <c r="I86" s="1905"/>
    </row>
    <row r="87" spans="2:9">
      <c r="B87" s="1903"/>
      <c r="C87" s="1920" t="s">
        <v>3287</v>
      </c>
      <c r="D87" s="1895"/>
      <c r="E87" s="1895"/>
      <c r="F87" s="3087">
        <v>11000</v>
      </c>
      <c r="G87" s="3087"/>
      <c r="H87" s="1895"/>
      <c r="I87" s="1905"/>
    </row>
    <row r="88" spans="2:9">
      <c r="B88" s="1903"/>
      <c r="C88" s="837" t="s">
        <v>3288</v>
      </c>
      <c r="D88" s="1895"/>
      <c r="E88" s="1895"/>
      <c r="F88" s="3064"/>
      <c r="G88" s="3064"/>
      <c r="H88" s="1895"/>
      <c r="I88" s="1905"/>
    </row>
    <row r="89" spans="2:9">
      <c r="B89" s="1903"/>
      <c r="C89" s="817" t="s">
        <v>3289</v>
      </c>
      <c r="D89" s="1895"/>
      <c r="E89" s="1895"/>
      <c r="F89" s="3059" t="e">
        <f>SUM(F84:G88)</f>
        <v>#N/A</v>
      </c>
      <c r="G89" s="3059"/>
      <c r="H89" s="1895"/>
      <c r="I89" s="1905"/>
    </row>
    <row r="90" spans="2:9">
      <c r="B90" s="1903"/>
      <c r="C90" s="1895"/>
      <c r="D90" s="1895"/>
      <c r="E90" s="1895"/>
      <c r="F90" s="3060"/>
      <c r="G90" s="3060"/>
      <c r="H90" s="1895"/>
      <c r="I90" s="1905"/>
    </row>
    <row r="91" spans="2:9">
      <c r="B91" s="1906" t="s">
        <v>3290</v>
      </c>
      <c r="C91" s="1895"/>
      <c r="D91" s="1895"/>
      <c r="E91" s="1895"/>
      <c r="F91" s="1895"/>
      <c r="G91" s="1895"/>
      <c r="H91" s="1895"/>
      <c r="I91" s="1905"/>
    </row>
    <row r="92" spans="2:9">
      <c r="B92" s="1903"/>
      <c r="C92" s="837" t="s">
        <v>3291</v>
      </c>
      <c r="D92" s="1895"/>
      <c r="E92" s="1895"/>
      <c r="F92" s="3061"/>
      <c r="G92" s="3061"/>
      <c r="H92" s="1895"/>
      <c r="I92" s="1905"/>
    </row>
    <row r="93" spans="2:9">
      <c r="B93" s="1903"/>
      <c r="C93" s="837" t="s">
        <v>3292</v>
      </c>
      <c r="D93" s="1895"/>
      <c r="E93" s="1895"/>
      <c r="F93" s="3062"/>
      <c r="G93" s="3062"/>
      <c r="H93" s="1895"/>
      <c r="I93" s="1905"/>
    </row>
    <row r="94" spans="2:9">
      <c r="B94" s="1903"/>
      <c r="C94" s="837" t="s">
        <v>3293</v>
      </c>
      <c r="D94" s="1895"/>
      <c r="E94" s="1895"/>
      <c r="F94" s="3063" t="s">
        <v>3167</v>
      </c>
      <c r="G94" s="3058"/>
      <c r="H94" s="1895"/>
      <c r="I94" s="1905"/>
    </row>
    <row r="95" spans="2:9">
      <c r="B95" s="1903"/>
      <c r="C95" s="817" t="s">
        <v>3294</v>
      </c>
      <c r="D95" s="1895"/>
      <c r="E95" s="1895"/>
      <c r="F95" s="3059">
        <f>+SUM(F92:G94)</f>
        <v>0</v>
      </c>
      <c r="G95" s="3059"/>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3061"/>
      <c r="G98" s="3061"/>
      <c r="H98" s="1895"/>
      <c r="I98" s="1905"/>
    </row>
    <row r="99" spans="2:9">
      <c r="B99" s="1903"/>
      <c r="C99" s="837" t="s">
        <v>3297</v>
      </c>
      <c r="D99" s="1895"/>
      <c r="E99" s="1895"/>
      <c r="F99" s="3062"/>
      <c r="G99" s="3062"/>
      <c r="H99" s="1895"/>
      <c r="I99" s="1905"/>
    </row>
    <row r="100" spans="2:9">
      <c r="B100" s="1903"/>
      <c r="C100" s="837" t="s">
        <v>3298</v>
      </c>
      <c r="D100" s="1895"/>
      <c r="E100" s="1895"/>
      <c r="F100" s="3064"/>
      <c r="G100" s="3064"/>
      <c r="H100" s="1895"/>
      <c r="I100" s="1905"/>
    </row>
    <row r="101" spans="2:9">
      <c r="B101" s="1903"/>
      <c r="C101" s="817" t="s">
        <v>3299</v>
      </c>
      <c r="D101" s="1895"/>
      <c r="E101" s="1895"/>
      <c r="F101" s="3059">
        <f>+SUM(F98:G100)</f>
        <v>0</v>
      </c>
      <c r="G101" s="3059"/>
      <c r="H101" s="1895"/>
      <c r="I101" s="1905"/>
    </row>
    <row r="102" spans="2:9">
      <c r="B102" s="1903"/>
      <c r="C102" s="1895"/>
      <c r="D102" s="1895"/>
      <c r="E102" s="1895"/>
      <c r="F102" s="1895"/>
      <c r="G102" s="1895"/>
      <c r="H102" s="1895"/>
      <c r="I102" s="1905"/>
    </row>
    <row r="103" spans="2:9">
      <c r="B103" s="1946" t="s">
        <v>3300</v>
      </c>
      <c r="C103" s="837"/>
      <c r="D103" s="1895"/>
      <c r="E103" s="1895"/>
      <c r="F103" s="3058">
        <f>'Part III-Sources of Funds'!I46+'Part III-Sources of Funds'!I47</f>
        <v>0</v>
      </c>
      <c r="G103" s="3058"/>
      <c r="H103" s="1895"/>
      <c r="I103" s="1905"/>
    </row>
    <row r="104" spans="2:9">
      <c r="B104" s="1903"/>
      <c r="C104" s="1895"/>
      <c r="D104" s="1895"/>
      <c r="E104" s="1895"/>
      <c r="F104" s="1895"/>
      <c r="G104" s="1895"/>
      <c r="H104" s="1895"/>
      <c r="I104" s="1951" t="s">
        <v>3301</v>
      </c>
    </row>
    <row r="105" spans="2:9">
      <c r="B105" s="1906" t="s">
        <v>3302</v>
      </c>
      <c r="C105" s="1895"/>
      <c r="D105" s="1895"/>
      <c r="E105" s="1895"/>
      <c r="F105" s="3058" t="e">
        <f>+F103+F101+F95+F89</f>
        <v>#N/A</v>
      </c>
      <c r="G105" s="3058"/>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7109375" defaultRowHeight="15.75"/>
  <cols>
    <col min="1" max="1" width="2.140625" style="4187" customWidth="1"/>
    <col min="2" max="13" width="7.7109375" style="4187" customWidth="1"/>
    <col min="14" max="15" width="5.7109375" style="4187" customWidth="1"/>
    <col min="16" max="16384" width="8.7109375" style="4187"/>
  </cols>
  <sheetData>
    <row r="1" spans="1:26" ht="18">
      <c r="N1" s="4188" t="s">
        <v>1498</v>
      </c>
      <c r="O1" s="4188"/>
      <c r="P1" s="4188"/>
      <c r="Q1" s="4188"/>
      <c r="R1" s="4188"/>
      <c r="S1" s="4188"/>
      <c r="T1" s="4188"/>
      <c r="U1" s="4188"/>
      <c r="V1" s="4188"/>
      <c r="W1" s="4188"/>
      <c r="X1" s="4188"/>
      <c r="Y1" s="4188"/>
      <c r="Z1" s="4188"/>
    </row>
    <row r="2" spans="1:26">
      <c r="N2" s="4189" t="s">
        <v>1499</v>
      </c>
      <c r="O2" s="4189"/>
      <c r="P2" s="4189"/>
      <c r="Q2" s="4189"/>
      <c r="R2" s="4189"/>
      <c r="S2" s="4189"/>
      <c r="T2" s="4189"/>
      <c r="U2" s="4189"/>
      <c r="V2" s="4189"/>
      <c r="W2" s="4189"/>
      <c r="X2" s="4189"/>
      <c r="Y2" s="4189"/>
      <c r="Z2" s="4189"/>
    </row>
    <row r="3" spans="1:26">
      <c r="N3" s="4190" t="s">
        <v>1500</v>
      </c>
      <c r="O3" s="4190"/>
      <c r="P3" s="4190"/>
      <c r="Q3" s="4190"/>
      <c r="R3" s="4190"/>
      <c r="S3" s="4190"/>
      <c r="T3" s="4190"/>
      <c r="U3" s="4190"/>
      <c r="V3" s="4190"/>
      <c r="W3" s="4190"/>
      <c r="X3" s="4190"/>
      <c r="Y3" s="4190"/>
      <c r="Z3" s="4190"/>
    </row>
    <row r="4" spans="1:26" ht="16.5">
      <c r="B4" s="4191"/>
      <c r="C4" s="4191"/>
      <c r="D4" s="4191"/>
      <c r="E4" s="4191"/>
      <c r="F4" s="4191"/>
      <c r="G4" s="4191"/>
      <c r="H4" s="4191"/>
      <c r="I4" s="4191"/>
      <c r="J4" s="4191"/>
      <c r="K4" s="4191"/>
      <c r="L4" s="4191"/>
      <c r="M4" s="4191"/>
      <c r="N4" s="4192" t="s">
        <v>702</v>
      </c>
    </row>
    <row r="5" spans="1:26" ht="59.25" customHeight="1">
      <c r="A5" s="4193" t="s">
        <v>2751</v>
      </c>
      <c r="B5" s="4193"/>
      <c r="C5" s="4193"/>
      <c r="D5" s="4193"/>
      <c r="E5" s="4193"/>
      <c r="F5" s="4193"/>
      <c r="G5" s="4193"/>
      <c r="H5" s="4193"/>
      <c r="I5" s="4193"/>
      <c r="J5" s="4193"/>
      <c r="K5" s="4193"/>
      <c r="L5" s="4193"/>
      <c r="M5" s="4193"/>
    </row>
    <row r="6" spans="1:26" ht="11.65" customHeight="1">
      <c r="A6" s="4191"/>
      <c r="B6" s="4191"/>
      <c r="C6" s="4191"/>
      <c r="D6" s="4191"/>
      <c r="E6" s="4191"/>
      <c r="F6" s="4191"/>
      <c r="G6" s="4191"/>
      <c r="H6" s="4191"/>
      <c r="I6" s="4191"/>
      <c r="J6" s="4191"/>
      <c r="K6" s="4191"/>
      <c r="L6" s="4191"/>
      <c r="M6" s="4191"/>
    </row>
    <row r="7" spans="1:26" ht="16.5">
      <c r="A7" s="4191" t="s">
        <v>707</v>
      </c>
      <c r="B7" s="4191"/>
      <c r="C7" s="4191"/>
      <c r="D7" s="4191"/>
      <c r="E7" s="4191"/>
      <c r="F7" s="4191"/>
      <c r="G7" s="4191"/>
      <c r="H7" s="4191"/>
      <c r="I7" s="4191"/>
      <c r="J7" s="4191"/>
      <c r="K7" s="4191"/>
      <c r="L7" s="4191"/>
      <c r="M7" s="4191"/>
    </row>
    <row r="8" spans="1:26" ht="11.65" customHeight="1">
      <c r="A8" s="4191"/>
      <c r="B8" s="4191"/>
      <c r="C8" s="4191"/>
      <c r="D8" s="4191"/>
      <c r="E8" s="4191"/>
      <c r="F8" s="4191"/>
      <c r="G8" s="4191"/>
      <c r="H8" s="4191"/>
      <c r="I8" s="4191"/>
      <c r="J8" s="4191"/>
      <c r="K8" s="4191"/>
      <c r="L8" s="4191"/>
      <c r="M8" s="4191"/>
    </row>
    <row r="9" spans="1:26" ht="16.5">
      <c r="A9" s="4194" t="s">
        <v>1907</v>
      </c>
      <c r="B9" s="4194"/>
      <c r="C9" s="4194"/>
      <c r="D9" s="4194"/>
      <c r="E9" s="4194"/>
      <c r="F9" s="4194"/>
      <c r="G9" s="4194"/>
      <c r="H9" s="4194"/>
      <c r="I9" s="4194"/>
      <c r="J9" s="4194"/>
      <c r="K9" s="4194"/>
      <c r="L9" s="4194"/>
      <c r="M9" s="4194"/>
    </row>
    <row r="10" spans="1:26" ht="6.75" customHeight="1">
      <c r="A10" s="4194"/>
      <c r="B10" s="4194"/>
      <c r="C10" s="4194"/>
      <c r="D10" s="4194"/>
      <c r="E10" s="4194"/>
      <c r="F10" s="4194"/>
      <c r="G10" s="4194"/>
      <c r="H10" s="4194"/>
      <c r="I10" s="4194"/>
      <c r="J10" s="4194"/>
      <c r="K10" s="4194"/>
      <c r="L10" s="4194"/>
      <c r="M10" s="4194"/>
    </row>
    <row r="11" spans="1:26" ht="44.25" customHeight="1">
      <c r="A11" s="4195" t="s">
        <v>4931</v>
      </c>
      <c r="B11" s="4195"/>
      <c r="C11" s="4195"/>
      <c r="D11" s="4195"/>
      <c r="E11" s="4195"/>
      <c r="F11" s="4195"/>
      <c r="G11" s="4195"/>
      <c r="H11" s="4195"/>
      <c r="I11" s="4195"/>
      <c r="J11" s="4195"/>
      <c r="K11" s="4195"/>
      <c r="L11" s="4195"/>
      <c r="M11" s="4195"/>
    </row>
    <row r="12" spans="1:26" ht="3" customHeight="1">
      <c r="A12" s="4194"/>
      <c r="B12" s="4194"/>
      <c r="C12" s="4194"/>
      <c r="D12" s="4194"/>
      <c r="E12" s="4194"/>
      <c r="F12" s="4194"/>
      <c r="G12" s="4194"/>
      <c r="H12" s="4194"/>
      <c r="I12" s="4194"/>
      <c r="J12" s="4194"/>
      <c r="K12" s="4194"/>
      <c r="L12" s="4194"/>
      <c r="M12" s="4194"/>
    </row>
    <row r="13" spans="1:26" ht="96" customHeight="1">
      <c r="A13" s="4196" t="s">
        <v>1737</v>
      </c>
      <c r="B13" s="4197" t="s">
        <v>3674</v>
      </c>
      <c r="C13" s="4197"/>
      <c r="D13" s="4197"/>
      <c r="E13" s="4197"/>
      <c r="F13" s="4197"/>
      <c r="G13" s="4197"/>
      <c r="H13" s="4197"/>
      <c r="I13" s="4197"/>
      <c r="J13" s="4197"/>
      <c r="K13" s="4197"/>
      <c r="L13" s="4197"/>
      <c r="M13" s="4197"/>
    </row>
    <row r="14" spans="1:26" ht="47.25" customHeight="1">
      <c r="A14" s="4196" t="s">
        <v>1738</v>
      </c>
      <c r="B14" s="4197" t="s">
        <v>3675</v>
      </c>
      <c r="C14" s="4197"/>
      <c r="D14" s="4197"/>
      <c r="E14" s="4197"/>
      <c r="F14" s="4197"/>
      <c r="G14" s="4197"/>
      <c r="H14" s="4197"/>
      <c r="I14" s="4197"/>
      <c r="J14" s="4197"/>
      <c r="K14" s="4197"/>
      <c r="L14" s="4197"/>
      <c r="M14" s="4197"/>
    </row>
    <row r="15" spans="1:26" ht="117" customHeight="1">
      <c r="A15" s="4196" t="s">
        <v>1739</v>
      </c>
      <c r="B15" s="4197" t="s">
        <v>3676</v>
      </c>
      <c r="C15" s="4197"/>
      <c r="D15" s="4197"/>
      <c r="E15" s="4197"/>
      <c r="F15" s="4197"/>
      <c r="G15" s="4197"/>
      <c r="H15" s="4197"/>
      <c r="I15" s="4197"/>
      <c r="J15" s="4197"/>
      <c r="K15" s="4197"/>
      <c r="L15" s="4197"/>
      <c r="M15" s="4197"/>
    </row>
    <row r="16" spans="1:26" ht="147" customHeight="1">
      <c r="A16" s="4196" t="s">
        <v>2366</v>
      </c>
      <c r="B16" s="4197" t="s">
        <v>3457</v>
      </c>
      <c r="C16" s="4197"/>
      <c r="D16" s="4197"/>
      <c r="E16" s="4197"/>
      <c r="F16" s="4197"/>
      <c r="G16" s="4197"/>
      <c r="H16" s="4197"/>
      <c r="I16" s="4197"/>
      <c r="J16" s="4197"/>
      <c r="K16" s="4197"/>
      <c r="L16" s="4197"/>
      <c r="M16" s="4197"/>
    </row>
    <row r="17" spans="1:13" ht="48.75" customHeight="1">
      <c r="A17" s="4196" t="s">
        <v>1549</v>
      </c>
      <c r="B17" s="4197" t="s">
        <v>683</v>
      </c>
      <c r="C17" s="4197"/>
      <c r="D17" s="4197"/>
      <c r="E17" s="4197"/>
      <c r="F17" s="4197"/>
      <c r="G17" s="4197"/>
      <c r="H17" s="4197"/>
      <c r="I17" s="4197"/>
      <c r="J17" s="4197"/>
      <c r="K17" s="4197"/>
      <c r="L17" s="4197"/>
      <c r="M17" s="4197"/>
    </row>
    <row r="18" spans="1:13" ht="165" customHeight="1">
      <c r="A18" s="4196" t="s">
        <v>1550</v>
      </c>
      <c r="B18" s="4197" t="s">
        <v>3456</v>
      </c>
      <c r="C18" s="4197"/>
      <c r="D18" s="4197"/>
      <c r="E18" s="4197"/>
      <c r="F18" s="4197"/>
      <c r="G18" s="4197"/>
      <c r="H18" s="4197"/>
      <c r="I18" s="4197"/>
      <c r="J18" s="4197"/>
      <c r="K18" s="4197"/>
      <c r="L18" s="4197"/>
      <c r="M18" s="4197"/>
    </row>
    <row r="19" spans="1:13" ht="48.75" customHeight="1">
      <c r="A19" s="4196" t="s">
        <v>98</v>
      </c>
      <c r="B19" s="4198" t="s">
        <v>3677</v>
      </c>
      <c r="C19" s="4198"/>
      <c r="D19" s="4198"/>
      <c r="E19" s="4198"/>
      <c r="F19" s="4198"/>
      <c r="G19" s="4198"/>
      <c r="H19" s="4198"/>
      <c r="I19" s="4198"/>
      <c r="J19" s="4198"/>
      <c r="K19" s="4198"/>
      <c r="L19" s="4198"/>
      <c r="M19" s="4198"/>
    </row>
    <row r="20" spans="1:13" ht="50.25" customHeight="1">
      <c r="A20" s="4196" t="s">
        <v>511</v>
      </c>
      <c r="B20" s="4197" t="s">
        <v>3459</v>
      </c>
      <c r="C20" s="4197"/>
      <c r="D20" s="4197"/>
      <c r="E20" s="4197"/>
      <c r="F20" s="4197"/>
      <c r="G20" s="4197"/>
      <c r="H20" s="4197"/>
      <c r="I20" s="4197"/>
      <c r="J20" s="4197"/>
      <c r="K20" s="4197"/>
      <c r="L20" s="4197"/>
      <c r="M20" s="4197"/>
    </row>
    <row r="21" spans="1:13" ht="31.5" customHeight="1">
      <c r="A21" s="4196" t="s">
        <v>512</v>
      </c>
      <c r="B21" s="4197" t="s">
        <v>3486</v>
      </c>
      <c r="C21" s="4197"/>
      <c r="D21" s="4197"/>
      <c r="E21" s="4197"/>
      <c r="F21" s="4197"/>
      <c r="G21" s="4197"/>
      <c r="H21" s="4197"/>
      <c r="I21" s="4197"/>
      <c r="J21" s="4197"/>
      <c r="K21" s="4197"/>
      <c r="L21" s="4197"/>
      <c r="M21" s="4197"/>
    </row>
    <row r="22" spans="1:13" ht="1.5" customHeight="1">
      <c r="A22" s="4194"/>
      <c r="B22" s="4194"/>
      <c r="C22" s="4194"/>
      <c r="D22" s="4194"/>
      <c r="E22" s="4194"/>
      <c r="F22" s="4194"/>
      <c r="G22" s="4194"/>
      <c r="H22" s="4194"/>
      <c r="I22" s="4194"/>
      <c r="J22" s="4194"/>
      <c r="K22" s="4194"/>
      <c r="L22" s="4194"/>
      <c r="M22" s="4194"/>
    </row>
    <row r="23" spans="1:13" ht="3" customHeight="1">
      <c r="A23" s="4194"/>
      <c r="B23" s="4194"/>
      <c r="C23" s="4194"/>
      <c r="D23" s="4194"/>
      <c r="E23" s="4194"/>
      <c r="F23" s="4194"/>
      <c r="G23" s="4194"/>
      <c r="H23" s="4194"/>
      <c r="I23" s="4194"/>
      <c r="J23" s="4194"/>
      <c r="K23" s="4194"/>
      <c r="L23" s="4194"/>
      <c r="M23" s="4194"/>
    </row>
    <row r="24" spans="1:13" ht="13.5" customHeight="1">
      <c r="A24" s="4194" t="s">
        <v>1465</v>
      </c>
      <c r="B24" s="4194"/>
      <c r="C24" s="4194"/>
      <c r="D24" s="4194"/>
      <c r="E24" s="4194"/>
      <c r="F24" s="4194"/>
      <c r="G24" s="4194"/>
      <c r="H24" s="4194"/>
      <c r="I24" s="4194"/>
      <c r="J24" s="4194"/>
      <c r="K24" s="4194"/>
      <c r="L24" s="4194"/>
      <c r="M24" s="4194"/>
    </row>
    <row r="25" spans="1:13" ht="32.25" customHeight="1">
      <c r="A25" s="4196" t="s">
        <v>1466</v>
      </c>
      <c r="B25" s="4197" t="s">
        <v>3487</v>
      </c>
      <c r="C25" s="4197"/>
      <c r="D25" s="4197"/>
      <c r="E25" s="4197"/>
      <c r="F25" s="4197"/>
      <c r="G25" s="4197"/>
      <c r="H25" s="4197"/>
      <c r="I25" s="4197"/>
      <c r="J25" s="4197"/>
      <c r="K25" s="4197"/>
      <c r="L25" s="4197"/>
      <c r="M25" s="4197"/>
    </row>
    <row r="26" spans="1:13" ht="31.5" customHeight="1">
      <c r="A26" s="4196" t="s">
        <v>1466</v>
      </c>
      <c r="B26" s="4197" t="s">
        <v>3488</v>
      </c>
      <c r="C26" s="4197"/>
      <c r="D26" s="4197"/>
      <c r="E26" s="4197"/>
      <c r="F26" s="4197"/>
      <c r="G26" s="4197"/>
      <c r="H26" s="4197"/>
      <c r="I26" s="4197"/>
      <c r="J26" s="4197"/>
      <c r="K26" s="4197"/>
      <c r="L26" s="4197"/>
      <c r="M26" s="4197"/>
    </row>
    <row r="27" spans="1:13" ht="78.75" customHeight="1">
      <c r="A27" s="4196" t="s">
        <v>1466</v>
      </c>
      <c r="B27" s="4197" t="s">
        <v>2752</v>
      </c>
      <c r="C27" s="4197"/>
      <c r="D27" s="4197"/>
      <c r="E27" s="4197"/>
      <c r="F27" s="4197"/>
      <c r="G27" s="4197"/>
      <c r="H27" s="4197"/>
      <c r="I27" s="4197"/>
      <c r="J27" s="4197"/>
      <c r="K27" s="4197"/>
      <c r="L27" s="4197"/>
      <c r="M27" s="4197"/>
    </row>
    <row r="28" spans="1:13" ht="7.5" customHeight="1">
      <c r="A28" s="4194"/>
      <c r="B28" s="4194"/>
      <c r="C28" s="4194"/>
      <c r="D28" s="4194"/>
      <c r="E28" s="4194"/>
      <c r="F28" s="4194"/>
      <c r="G28" s="4194"/>
      <c r="H28" s="4194"/>
      <c r="I28" s="4194"/>
      <c r="J28" s="4194"/>
      <c r="K28" s="4194"/>
      <c r="L28" s="4194"/>
      <c r="M28" s="4194"/>
    </row>
    <row r="29" spans="1:13" ht="43.5" customHeight="1">
      <c r="A29" s="4197" t="s">
        <v>946</v>
      </c>
      <c r="B29" s="4197"/>
      <c r="C29" s="4197"/>
      <c r="D29" s="4197"/>
      <c r="E29" s="4197"/>
      <c r="F29" s="4197"/>
      <c r="G29" s="4197"/>
      <c r="H29" s="4197"/>
      <c r="I29" s="4197"/>
      <c r="J29" s="4197"/>
      <c r="K29" s="4197"/>
      <c r="L29" s="4197"/>
      <c r="M29" s="4197"/>
    </row>
    <row r="30" spans="1:13" ht="3" customHeight="1">
      <c r="A30" s="4194"/>
      <c r="B30" s="4194"/>
      <c r="C30" s="4194"/>
      <c r="D30" s="4194"/>
      <c r="E30" s="4194"/>
      <c r="F30" s="4194"/>
      <c r="G30" s="4194"/>
      <c r="H30" s="4194"/>
      <c r="I30" s="4194"/>
      <c r="J30" s="4194"/>
      <c r="K30" s="4194"/>
      <c r="L30" s="4194"/>
      <c r="M30" s="4194"/>
    </row>
    <row r="31" spans="1:13" ht="32.25" customHeight="1">
      <c r="A31" s="4197" t="s">
        <v>2753</v>
      </c>
      <c r="B31" s="4197"/>
      <c r="C31" s="4197"/>
      <c r="D31" s="4197"/>
      <c r="E31" s="4197"/>
      <c r="F31" s="4197"/>
      <c r="G31" s="4197"/>
      <c r="H31" s="4197"/>
      <c r="I31" s="4197"/>
      <c r="J31" s="4197"/>
      <c r="K31" s="4197"/>
      <c r="L31" s="4197"/>
      <c r="M31" s="4197"/>
    </row>
    <row r="32" spans="1:13" ht="4.5" customHeight="1">
      <c r="A32" s="4194"/>
      <c r="B32" s="4194"/>
      <c r="C32" s="4194"/>
      <c r="D32" s="4194"/>
      <c r="E32" s="4194"/>
      <c r="F32" s="4194"/>
      <c r="G32" s="4194"/>
      <c r="H32" s="4194"/>
      <c r="I32" s="4194"/>
      <c r="J32" s="4194"/>
      <c r="K32" s="4194"/>
      <c r="L32" s="4194"/>
      <c r="M32" s="4194"/>
    </row>
    <row r="33" spans="1:13" ht="16.5">
      <c r="A33" s="4194" t="s">
        <v>922</v>
      </c>
      <c r="B33" s="4194"/>
      <c r="C33" s="4194"/>
      <c r="D33" s="4194"/>
      <c r="E33" s="4194"/>
      <c r="F33" s="4194"/>
      <c r="G33" s="4194"/>
      <c r="H33" s="4194"/>
      <c r="I33" s="4194"/>
      <c r="J33" s="4194"/>
      <c r="K33" s="4194"/>
      <c r="L33" s="4194"/>
      <c r="M33" s="4194"/>
    </row>
    <row r="34" spans="1:13" ht="6" customHeight="1">
      <c r="A34" s="4199"/>
      <c r="B34" s="4199"/>
      <c r="C34" s="4199"/>
      <c r="D34" s="4199"/>
      <c r="E34" s="4199"/>
      <c r="F34" s="4199"/>
      <c r="G34" s="4199"/>
      <c r="H34" s="4199"/>
      <c r="I34" s="4199"/>
      <c r="J34" s="4199"/>
      <c r="K34" s="4199"/>
      <c r="L34" s="4199"/>
      <c r="M34" s="4199"/>
    </row>
    <row r="35" spans="1:13" ht="16.5">
      <c r="A35" s="4200"/>
      <c r="B35" s="4200"/>
      <c r="C35" s="4200"/>
      <c r="D35" s="4200"/>
      <c r="E35" s="4200"/>
      <c r="F35" s="4200"/>
      <c r="G35" s="4201"/>
      <c r="H35" s="4200"/>
      <c r="I35" s="4200"/>
      <c r="J35" s="4200"/>
      <c r="K35" s="4200"/>
      <c r="L35" s="4200"/>
      <c r="M35" s="4200"/>
    </row>
    <row r="36" spans="1:13" ht="12" customHeight="1">
      <c r="A36" s="4202" t="s">
        <v>923</v>
      </c>
      <c r="B36" s="4202"/>
      <c r="C36" s="4202"/>
      <c r="D36" s="4202"/>
      <c r="E36" s="4202"/>
      <c r="F36" s="4202"/>
      <c r="G36" s="4201"/>
      <c r="H36" s="4202" t="s">
        <v>1981</v>
      </c>
      <c r="I36" s="4202"/>
      <c r="J36" s="4202"/>
      <c r="K36" s="4202"/>
      <c r="L36" s="4202"/>
      <c r="M36" s="4202"/>
    </row>
    <row r="37" spans="1:13" ht="6" customHeight="1">
      <c r="A37" s="4201"/>
      <c r="B37" s="4201"/>
      <c r="C37" s="4201"/>
      <c r="D37" s="4201"/>
      <c r="E37" s="4201"/>
      <c r="F37" s="4201"/>
      <c r="G37" s="4201"/>
      <c r="H37" s="4201"/>
      <c r="I37" s="4201"/>
      <c r="J37" s="4201"/>
      <c r="K37" s="4201"/>
      <c r="L37" s="4201"/>
      <c r="M37" s="4201"/>
    </row>
    <row r="38" spans="1:13" ht="16.5">
      <c r="A38" s="4200"/>
      <c r="B38" s="4200"/>
      <c r="C38" s="4200"/>
      <c r="D38" s="4200"/>
      <c r="E38" s="4200"/>
      <c r="F38" s="4200"/>
      <c r="G38" s="4201"/>
      <c r="H38" s="4203"/>
      <c r="I38" s="4203"/>
      <c r="J38" s="4203"/>
      <c r="K38" s="4203"/>
      <c r="L38" s="4203"/>
      <c r="M38" s="4203"/>
    </row>
    <row r="39" spans="1:13" ht="12" customHeight="1">
      <c r="A39" s="4202" t="s">
        <v>924</v>
      </c>
      <c r="B39" s="4202"/>
      <c r="C39" s="4202"/>
      <c r="D39" s="4202"/>
      <c r="E39" s="4202"/>
      <c r="F39" s="4202"/>
      <c r="G39" s="4201"/>
      <c r="H39" s="4202" t="s">
        <v>925</v>
      </c>
      <c r="I39" s="4202"/>
      <c r="J39" s="4202"/>
      <c r="K39" s="4202"/>
      <c r="L39" s="4202"/>
      <c r="M39" s="4202"/>
    </row>
    <row r="40" spans="1:13" ht="3" customHeight="1">
      <c r="A40" s="4204"/>
      <c r="B40" s="4204"/>
      <c r="C40" s="4204"/>
      <c r="D40" s="4204"/>
      <c r="E40" s="4204"/>
      <c r="F40" s="4204"/>
      <c r="G40" s="4201"/>
      <c r="H40" s="4204"/>
      <c r="I40" s="4204"/>
      <c r="J40" s="4204"/>
      <c r="K40" s="4204"/>
      <c r="L40" s="4204"/>
      <c r="M40" s="4204"/>
    </row>
    <row r="41" spans="1:13" ht="11.65" customHeight="1">
      <c r="A41" s="4191"/>
      <c r="B41" s="4191"/>
      <c r="C41" s="4191"/>
      <c r="D41" s="4191"/>
      <c r="E41" s="4191"/>
      <c r="F41" s="4191"/>
      <c r="G41" s="4191"/>
      <c r="H41" s="4205" t="s">
        <v>926</v>
      </c>
      <c r="I41" s="4205"/>
      <c r="J41" s="4205"/>
      <c r="K41" s="4205"/>
      <c r="L41" s="4205"/>
      <c r="M41" s="4205"/>
    </row>
    <row r="42" spans="1:13" ht="11.65" customHeight="1">
      <c r="A42" s="4191"/>
      <c r="B42" s="4191"/>
      <c r="C42" s="4191"/>
      <c r="D42" s="4191"/>
      <c r="E42" s="4191"/>
      <c r="F42" s="4191"/>
      <c r="G42" s="4191"/>
    </row>
    <row r="43" spans="1:13" ht="11.65" customHeight="1">
      <c r="A43" s="4191"/>
      <c r="B43" s="4191"/>
      <c r="C43" s="4191"/>
      <c r="D43" s="4191"/>
      <c r="E43" s="4191"/>
      <c r="F43" s="4191"/>
      <c r="G43" s="4191"/>
      <c r="H43" s="4191"/>
      <c r="I43" s="4191"/>
      <c r="J43" s="4191"/>
      <c r="K43" s="4191"/>
      <c r="L43" s="4191"/>
      <c r="M43" s="4191"/>
    </row>
    <row r="44" spans="1:13" ht="11.65" customHeight="1">
      <c r="A44" s="4191"/>
      <c r="B44" s="4191"/>
      <c r="C44" s="4191"/>
      <c r="D44" s="4191"/>
      <c r="E44" s="4191"/>
      <c r="F44" s="4191"/>
      <c r="G44" s="4191"/>
      <c r="H44" s="4191"/>
      <c r="I44" s="4191"/>
      <c r="J44" s="4191"/>
      <c r="K44" s="4191"/>
      <c r="L44" s="4191"/>
      <c r="M44" s="4191"/>
    </row>
    <row r="45" spans="1:13" ht="11.65" customHeight="1"/>
    <row r="46" spans="1:13" ht="11.65" customHeight="1"/>
    <row r="47" spans="1:13" ht="11.65" customHeight="1"/>
    <row r="48" spans="1:13" ht="11.65" customHeight="1"/>
    <row r="49" ht="11.65" customHeight="1"/>
  </sheetData>
  <sheetProtection algorithmName="SHA-512" hashValue="NY8hmIYyrkq4UM81IZJPMN1t8kQaq4qEUrQnFqK6oZGSLoFgzBdJnuqL4npFN0xYxwpsgfakiXIOfZLr2Ut8vA==" saltValue="3aQnfXqT8GmtiXhxcJ/Ho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landscape"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7" zoomScale="120" zoomScaleNormal="120" zoomScalePageLayoutView="120" workbookViewId="0">
      <selection activeCell="H158" sqref="H158:H317"/>
    </sheetView>
  </sheetViews>
  <sheetFormatPr defaultColWidth="8.7109375" defaultRowHeight="12.75"/>
  <cols>
    <col min="1" max="1" width="1.7109375" style="26" customWidth="1"/>
    <col min="2" max="2" width="5.140625" style="26" customWidth="1"/>
    <col min="3" max="3" width="9.7109375" style="26" customWidth="1"/>
    <col min="4" max="6" width="7.7109375" style="26" customWidth="1"/>
    <col min="7" max="7" width="10.7109375" style="26" customWidth="1"/>
    <col min="8" max="8" width="7.7109375" style="26" customWidth="1"/>
    <col min="9" max="9" width="17.42578125" style="26" customWidth="1"/>
    <col min="10" max="10" width="7.7109375" style="26" customWidth="1"/>
    <col min="11" max="11" width="7.140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15" customHeight="1">
      <c r="A2" s="3105" t="s">
        <v>721</v>
      </c>
      <c r="B2" s="3106"/>
      <c r="C2" s="3106"/>
      <c r="D2" s="3106"/>
      <c r="E2" s="3106"/>
      <c r="F2" s="3106"/>
      <c r="G2" s="3106"/>
      <c r="H2" s="3106"/>
      <c r="I2" s="3106"/>
      <c r="J2" s="3106"/>
      <c r="K2" s="3106"/>
      <c r="L2" s="3106"/>
      <c r="M2" s="3106"/>
      <c r="N2" s="3106"/>
      <c r="O2" s="3106"/>
      <c r="P2" s="3106"/>
      <c r="Q2" s="3106"/>
      <c r="R2" s="3107"/>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65"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6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65"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65"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65"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6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65" customHeight="1">
      <c r="A13" s="170"/>
      <c r="B13" s="170"/>
      <c r="C13" s="170"/>
      <c r="D13" s="2049">
        <v>2018</v>
      </c>
      <c r="E13" s="168"/>
      <c r="F13" s="3108" t="s">
        <v>3359</v>
      </c>
      <c r="G13" s="3109"/>
      <c r="H13" s="3109"/>
      <c r="I13" s="3109"/>
      <c r="J13" s="3110"/>
      <c r="K13" s="281"/>
      <c r="L13" s="566" t="s">
        <v>3579</v>
      </c>
      <c r="M13" s="281"/>
      <c r="N13" s="3108" t="s">
        <v>3359</v>
      </c>
      <c r="O13" s="3109"/>
      <c r="P13" s="3109"/>
      <c r="Q13" s="3109"/>
      <c r="R13" s="3110"/>
      <c r="S13" s="292"/>
      <c r="T13" s="168"/>
      <c r="U13" s="168"/>
      <c r="V13" s="987"/>
      <c r="W13" s="987"/>
      <c r="X13" s="987"/>
      <c r="AA13" s="512"/>
      <c r="AB13" s="512"/>
    </row>
    <row r="14" spans="1:28" s="271" customFormat="1" ht="11.65" customHeight="1">
      <c r="A14" s="170"/>
      <c r="D14" s="567" t="s">
        <v>2614</v>
      </c>
      <c r="E14" s="567" t="s">
        <v>1296</v>
      </c>
      <c r="F14" s="568">
        <v>0</v>
      </c>
      <c r="G14" s="569">
        <v>1</v>
      </c>
      <c r="H14" s="1057">
        <v>2</v>
      </c>
      <c r="I14" s="1057">
        <v>3</v>
      </c>
      <c r="J14" s="570" t="s">
        <v>3356</v>
      </c>
      <c r="L14" s="567" t="s">
        <v>2614</v>
      </c>
      <c r="M14" s="567" t="s">
        <v>1296</v>
      </c>
      <c r="N14" s="568">
        <v>0</v>
      </c>
      <c r="O14" s="569">
        <v>1</v>
      </c>
      <c r="P14" s="1057">
        <v>2</v>
      </c>
      <c r="Q14" s="1057">
        <v>3</v>
      </c>
      <c r="R14" s="570" t="s">
        <v>3356</v>
      </c>
      <c r="S14" s="292"/>
      <c r="T14" s="168"/>
      <c r="U14" s="168"/>
      <c r="V14" s="987"/>
      <c r="W14" s="987"/>
      <c r="X14" s="987"/>
      <c r="AA14" s="512"/>
      <c r="AB14" s="512"/>
    </row>
    <row r="15" spans="1:28" s="271" customFormat="1" ht="11.65"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65"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65"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65"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65"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65"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65"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65"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65"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65"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65"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65"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65"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65"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65"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65"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65"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65"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65"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65"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65"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65"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65"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65"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65"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65"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65"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65"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65"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65"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65"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65"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65"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65"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65"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65"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87"/>
      <c r="W53" s="987"/>
      <c r="X53" s="987"/>
      <c r="AA53" s="512"/>
      <c r="AB53" s="512"/>
    </row>
    <row r="54" spans="1:28" s="271" customFormat="1" ht="11.6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65" customHeight="1">
      <c r="A55" s="170"/>
      <c r="B55" s="170"/>
      <c r="C55" s="170"/>
      <c r="D55" s="168"/>
      <c r="E55" s="168"/>
      <c r="O55" s="170"/>
      <c r="T55" s="277"/>
      <c r="U55" s="168"/>
      <c r="V55" s="987"/>
      <c r="W55" s="987"/>
      <c r="X55" s="987"/>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65"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65"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65"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65"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65"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3862</v>
      </c>
      <c r="K70" s="170"/>
      <c r="L70" s="170"/>
      <c r="M70" s="170"/>
      <c r="N70" s="170"/>
      <c r="O70" s="170"/>
      <c r="P70" s="168"/>
      <c r="Q70" s="1059">
        <v>25000</v>
      </c>
      <c r="R70" s="282" t="s">
        <v>507</v>
      </c>
      <c r="S70" s="283"/>
      <c r="T70" s="283"/>
      <c r="U70" s="283"/>
      <c r="AA70" s="512"/>
      <c r="AB70" s="512"/>
    </row>
    <row r="71" spans="1:28" s="271" customFormat="1" ht="11.65" customHeight="1">
      <c r="A71" s="170"/>
      <c r="B71" s="170" t="s">
        <v>1962</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65"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65" customHeight="1">
      <c r="A73" s="170"/>
      <c r="B73" s="170" t="s">
        <v>2039</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65" customHeight="1">
      <c r="A74" s="170"/>
      <c r="B74" s="170" t="s">
        <v>2040</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65" customHeight="1">
      <c r="A75" s="170"/>
      <c r="B75" s="170" t="s">
        <v>2818</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65" customHeight="1">
      <c r="A77" s="168"/>
      <c r="B77" s="283" t="s">
        <v>3843</v>
      </c>
      <c r="C77" s="170"/>
      <c r="D77" s="170"/>
      <c r="E77" s="168"/>
      <c r="F77" s="172" t="s">
        <v>3479</v>
      </c>
      <c r="G77" s="170"/>
      <c r="H77" s="168"/>
      <c r="I77" s="168"/>
      <c r="J77" s="170" t="s">
        <v>1200</v>
      </c>
      <c r="K77" s="170"/>
      <c r="L77" s="170"/>
      <c r="M77" s="170"/>
      <c r="N77" s="170"/>
      <c r="O77" s="170"/>
      <c r="P77" s="168"/>
      <c r="Q77" s="3097">
        <v>1000</v>
      </c>
      <c r="R77" s="3098"/>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3097">
        <v>500</v>
      </c>
      <c r="R78" s="3098"/>
      <c r="S78" s="283"/>
      <c r="T78" s="283"/>
      <c r="U78" s="283"/>
      <c r="AA78" s="512"/>
      <c r="AB78" s="512"/>
    </row>
    <row r="79" spans="1:28" s="271" customFormat="1" ht="11.65" customHeight="1">
      <c r="A79" s="170"/>
      <c r="B79" s="170"/>
      <c r="C79" s="170"/>
      <c r="D79" s="170"/>
      <c r="E79" s="168"/>
      <c r="F79" s="172" t="s">
        <v>3951</v>
      </c>
      <c r="G79" s="170"/>
      <c r="H79" s="168"/>
      <c r="I79" s="168"/>
      <c r="J79" s="172" t="s">
        <v>3947</v>
      </c>
      <c r="K79" s="170"/>
      <c r="L79" s="170"/>
      <c r="M79" s="170"/>
      <c r="N79" s="170"/>
      <c r="O79" s="170"/>
      <c r="P79" s="168"/>
      <c r="Q79" s="3097">
        <v>1500</v>
      </c>
      <c r="R79" s="3098"/>
      <c r="S79" s="283"/>
      <c r="T79" s="283"/>
      <c r="U79" s="283"/>
      <c r="AA79" s="512"/>
      <c r="AB79" s="512"/>
    </row>
    <row r="80" spans="1:28" s="271" customFormat="1" ht="11.65" customHeight="1">
      <c r="A80" s="170"/>
      <c r="B80" s="170"/>
      <c r="C80" s="170"/>
      <c r="D80" s="170"/>
      <c r="E80" s="168"/>
      <c r="G80" s="170"/>
      <c r="H80" s="168"/>
      <c r="I80" s="168"/>
      <c r="J80" s="172" t="s">
        <v>3948</v>
      </c>
      <c r="K80" s="170"/>
      <c r="L80" s="170"/>
      <c r="M80" s="170"/>
      <c r="N80" s="170"/>
      <c r="O80" s="170"/>
      <c r="P80" s="168"/>
      <c r="Q80" s="3097">
        <v>1500</v>
      </c>
      <c r="R80" s="3098"/>
      <c r="S80" s="283"/>
      <c r="T80" s="283"/>
      <c r="U80" s="283"/>
      <c r="AA80" s="512"/>
      <c r="AB80" s="512"/>
    </row>
    <row r="81" spans="1:28" s="271" customFormat="1" ht="11.65" customHeight="1">
      <c r="A81" s="170"/>
      <c r="B81" s="170"/>
      <c r="C81" s="170"/>
      <c r="D81" s="170"/>
      <c r="E81" s="168"/>
      <c r="G81" s="170"/>
      <c r="H81" s="168"/>
      <c r="I81" s="168"/>
      <c r="J81" s="172" t="s">
        <v>3949</v>
      </c>
      <c r="K81" s="170"/>
      <c r="L81" s="170"/>
      <c r="M81" s="170"/>
      <c r="N81" s="170"/>
      <c r="O81" s="170"/>
      <c r="P81" s="168"/>
      <c r="Q81" s="3097">
        <v>1500</v>
      </c>
      <c r="R81" s="3098"/>
      <c r="S81" s="283"/>
      <c r="T81" s="283"/>
      <c r="U81" s="283"/>
      <c r="AA81" s="512"/>
      <c r="AB81" s="512"/>
    </row>
    <row r="82" spans="1:28" s="271" customFormat="1" ht="11.65" customHeight="1">
      <c r="A82" s="170"/>
      <c r="B82" s="170"/>
      <c r="C82" s="170"/>
      <c r="D82" s="170"/>
      <c r="E82" s="168"/>
      <c r="G82" s="170"/>
      <c r="H82" s="168"/>
      <c r="I82" s="168"/>
      <c r="J82" s="172" t="s">
        <v>3950</v>
      </c>
      <c r="K82" s="170"/>
      <c r="L82" s="170"/>
      <c r="M82" s="170"/>
      <c r="N82" s="170"/>
      <c r="O82" s="170"/>
      <c r="P82" s="168"/>
      <c r="Q82" s="3097">
        <v>1500</v>
      </c>
      <c r="R82" s="3098"/>
      <c r="S82" s="283"/>
      <c r="T82" s="283"/>
      <c r="U82" s="283"/>
      <c r="AA82" s="512"/>
      <c r="AB82" s="512"/>
    </row>
    <row r="83" spans="1:28" s="271" customFormat="1" ht="11.65" customHeight="1">
      <c r="A83" s="170"/>
      <c r="B83" s="170"/>
      <c r="C83" s="170"/>
      <c r="D83" s="170"/>
      <c r="E83" s="168"/>
      <c r="F83" s="172" t="s">
        <v>4730</v>
      </c>
      <c r="G83" s="170"/>
      <c r="H83" s="168"/>
      <c r="I83" s="168"/>
      <c r="J83" s="170" t="s">
        <v>1200</v>
      </c>
      <c r="K83" s="170"/>
      <c r="L83" s="170"/>
      <c r="M83" s="170"/>
      <c r="N83" s="170"/>
      <c r="O83" s="170"/>
      <c r="P83" s="168"/>
      <c r="Q83" s="3097">
        <v>6500</v>
      </c>
      <c r="R83" s="3098"/>
      <c r="S83" s="283"/>
      <c r="T83" s="283"/>
      <c r="U83" s="283"/>
      <c r="AA83" s="512"/>
      <c r="AB83" s="512"/>
    </row>
    <row r="84" spans="1:28" s="271" customFormat="1" ht="11.65" customHeight="1">
      <c r="A84" s="170"/>
      <c r="B84" s="170"/>
      <c r="C84" s="170"/>
      <c r="D84" s="170"/>
      <c r="E84" s="168"/>
      <c r="F84" s="172" t="s">
        <v>4730</v>
      </c>
      <c r="G84" s="170"/>
      <c r="H84" s="168"/>
      <c r="I84" s="168"/>
      <c r="J84" s="170" t="s">
        <v>1201</v>
      </c>
      <c r="K84" s="170"/>
      <c r="L84" s="170"/>
      <c r="M84" s="170"/>
      <c r="N84" s="170"/>
      <c r="O84" s="170"/>
      <c r="P84" s="168"/>
      <c r="Q84" s="3097">
        <v>5500</v>
      </c>
      <c r="R84" s="3098"/>
      <c r="S84" s="283"/>
      <c r="T84" s="283"/>
      <c r="U84" s="283"/>
      <c r="AA84" s="512"/>
      <c r="AB84" s="512"/>
    </row>
    <row r="85" spans="1:28" s="271" customFormat="1" ht="11.65" customHeight="1">
      <c r="A85" s="170"/>
      <c r="B85" s="170"/>
      <c r="C85" s="170"/>
      <c r="D85" s="170"/>
      <c r="E85" s="168"/>
      <c r="F85" s="172" t="s">
        <v>3439</v>
      </c>
      <c r="G85" s="170"/>
      <c r="H85" s="168"/>
      <c r="I85" s="168"/>
      <c r="J85" s="170"/>
      <c r="K85" s="170"/>
      <c r="L85" s="170"/>
      <c r="M85" s="170"/>
      <c r="N85" s="170"/>
      <c r="O85" s="170"/>
      <c r="P85" s="168"/>
      <c r="Q85" s="3097">
        <v>5000</v>
      </c>
      <c r="R85" s="3098"/>
      <c r="S85" s="283"/>
      <c r="T85" s="283"/>
      <c r="U85" s="283"/>
      <c r="AA85" s="512"/>
      <c r="AB85" s="512"/>
    </row>
    <row r="86" spans="1:28" s="271" customFormat="1" ht="11.65" customHeight="1">
      <c r="A86" s="170"/>
      <c r="B86" s="170"/>
      <c r="C86" s="170"/>
      <c r="D86" s="170"/>
      <c r="E86" s="168"/>
      <c r="F86" s="172"/>
      <c r="G86" s="170" t="s">
        <v>4728</v>
      </c>
      <c r="H86" s="168"/>
      <c r="I86" s="168"/>
      <c r="J86" s="170" t="s">
        <v>4729</v>
      </c>
      <c r="K86" s="170"/>
      <c r="L86" s="170"/>
      <c r="M86" s="170"/>
      <c r="N86" s="170"/>
      <c r="O86" s="170"/>
      <c r="P86" s="168"/>
      <c r="Q86" s="3097">
        <v>500</v>
      </c>
      <c r="R86" s="3098"/>
      <c r="S86" s="283"/>
      <c r="T86" s="283"/>
      <c r="U86" s="283"/>
      <c r="AA86" s="512"/>
      <c r="AB86" s="512"/>
    </row>
    <row r="87" spans="1:28" s="271" customFormat="1" ht="11.65" customHeight="1">
      <c r="A87" s="170"/>
      <c r="B87" s="170"/>
      <c r="C87" s="170"/>
      <c r="D87" s="170"/>
      <c r="E87" s="168"/>
      <c r="F87" s="172" t="s">
        <v>3945</v>
      </c>
      <c r="G87" s="170"/>
      <c r="H87" s="168"/>
      <c r="I87" s="168"/>
      <c r="J87" s="170"/>
      <c r="K87" s="170"/>
      <c r="L87" s="170"/>
      <c r="M87" s="170"/>
      <c r="N87" s="170"/>
      <c r="O87" s="170"/>
      <c r="P87" s="168"/>
      <c r="Q87" s="3097">
        <v>1500</v>
      </c>
      <c r="R87" s="3098"/>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3099">
        <v>0.08</v>
      </c>
      <c r="R88" s="3099"/>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3099">
        <v>0.08</v>
      </c>
      <c r="R89" s="3099"/>
      <c r="S89" s="283"/>
      <c r="T89" s="283"/>
      <c r="U89" s="283"/>
      <c r="AA89" s="512"/>
      <c r="AB89" s="512"/>
    </row>
    <row r="90" spans="1:28" s="271" customFormat="1" ht="11.65" customHeight="1">
      <c r="A90" s="170"/>
      <c r="C90" s="170"/>
      <c r="D90" s="168"/>
      <c r="E90" s="168"/>
      <c r="F90" s="172" t="s">
        <v>4731</v>
      </c>
      <c r="H90" s="170"/>
      <c r="I90" s="168"/>
      <c r="J90" s="170"/>
      <c r="K90" s="170"/>
      <c r="L90" s="170"/>
      <c r="M90" s="170"/>
      <c r="N90" s="170"/>
      <c r="O90" s="170"/>
      <c r="P90" s="168"/>
      <c r="Q90" s="3097">
        <v>3000</v>
      </c>
      <c r="R90" s="3098"/>
      <c r="S90" s="283"/>
      <c r="T90" s="283"/>
      <c r="U90" s="283"/>
      <c r="AA90" s="512"/>
      <c r="AB90" s="512"/>
    </row>
    <row r="91" spans="1:28" s="271" customFormat="1" ht="11.65" customHeight="1">
      <c r="A91" s="170"/>
      <c r="C91" s="170"/>
      <c r="D91" s="168"/>
      <c r="E91" s="168"/>
      <c r="F91" s="172" t="s">
        <v>3861</v>
      </c>
      <c r="H91" s="170"/>
      <c r="I91" s="168"/>
      <c r="J91" s="170"/>
      <c r="K91" s="170"/>
      <c r="L91" s="170"/>
      <c r="M91" s="170"/>
      <c r="N91" s="170"/>
      <c r="O91" s="170"/>
      <c r="P91" s="168"/>
      <c r="Q91" s="3097">
        <v>1500</v>
      </c>
      <c r="R91" s="3098"/>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3097">
        <v>800</v>
      </c>
      <c r="R92" s="3098"/>
      <c r="S92" s="283"/>
      <c r="T92" s="283"/>
      <c r="U92" s="283"/>
      <c r="AA92" s="512"/>
      <c r="AB92" s="512"/>
    </row>
    <row r="93" spans="1:28" s="271" customFormat="1" ht="11.65" customHeight="1">
      <c r="A93" s="170"/>
      <c r="C93" s="170"/>
      <c r="D93" s="168"/>
      <c r="E93" s="168"/>
      <c r="F93" s="170"/>
      <c r="H93" s="170"/>
      <c r="I93" s="170" t="s">
        <v>4732</v>
      </c>
      <c r="J93" s="170" t="s">
        <v>1530</v>
      </c>
      <c r="K93" s="170"/>
      <c r="L93" s="170"/>
      <c r="M93" s="170"/>
      <c r="N93" s="170"/>
      <c r="O93" s="170"/>
      <c r="P93" s="168"/>
      <c r="Q93" s="3097">
        <v>1000</v>
      </c>
      <c r="R93" s="3098"/>
      <c r="S93" s="283"/>
      <c r="T93" s="283"/>
      <c r="U93" s="283"/>
      <c r="AA93" s="512"/>
      <c r="AB93" s="512"/>
    </row>
    <row r="94" spans="1:28" s="271" customFormat="1" ht="11.65" customHeight="1">
      <c r="A94" s="170"/>
      <c r="B94" s="170"/>
      <c r="C94" s="170"/>
      <c r="D94" s="168"/>
      <c r="E94" s="168"/>
      <c r="H94" s="172" t="s">
        <v>2683</v>
      </c>
      <c r="I94" s="294"/>
      <c r="J94" s="172" t="s">
        <v>1530</v>
      </c>
      <c r="K94" s="172" t="s">
        <v>3878</v>
      </c>
      <c r="L94" s="172"/>
      <c r="M94" s="172"/>
      <c r="N94" s="172"/>
      <c r="O94" s="172"/>
      <c r="P94" s="294"/>
      <c r="Q94" s="3097">
        <v>800</v>
      </c>
      <c r="R94" s="3098"/>
      <c r="S94" s="283"/>
      <c r="T94" s="283"/>
      <c r="U94" s="283"/>
      <c r="AA94" s="512"/>
      <c r="AB94" s="512"/>
    </row>
    <row r="95" spans="1:28" s="271" customFormat="1" ht="11.65" customHeight="1">
      <c r="A95" s="170"/>
      <c r="B95" s="170"/>
      <c r="C95" s="170"/>
      <c r="D95" s="168"/>
      <c r="E95" s="168"/>
      <c r="H95" s="170" t="s">
        <v>2823</v>
      </c>
      <c r="I95" s="168"/>
      <c r="J95" s="170" t="s">
        <v>2682</v>
      </c>
      <c r="K95" s="170"/>
      <c r="L95" s="170"/>
      <c r="M95" s="170"/>
      <c r="N95" s="170"/>
      <c r="O95" s="170"/>
      <c r="P95" s="168"/>
      <c r="Q95" s="3097">
        <v>1500</v>
      </c>
      <c r="R95" s="3098"/>
      <c r="S95" s="283"/>
      <c r="T95" s="283"/>
      <c r="U95" s="283"/>
      <c r="AA95" s="512"/>
      <c r="AB95" s="512"/>
    </row>
    <row r="96" spans="1:28" s="271" customFormat="1" ht="11.65" customHeight="1">
      <c r="A96" s="170"/>
      <c r="B96" s="170"/>
      <c r="C96" s="170"/>
      <c r="D96" s="168"/>
      <c r="E96" s="168"/>
      <c r="F96" s="170" t="s">
        <v>4195</v>
      </c>
      <c r="I96" s="168"/>
      <c r="J96" s="170" t="s">
        <v>4734</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4733</v>
      </c>
      <c r="I97" s="168"/>
      <c r="J97" s="170" t="s">
        <v>1763</v>
      </c>
      <c r="K97" s="170"/>
      <c r="L97" s="170"/>
      <c r="M97" s="170"/>
      <c r="N97" s="170"/>
      <c r="O97" s="170"/>
      <c r="P97" s="168"/>
      <c r="Q97" s="3097">
        <v>3000</v>
      </c>
      <c r="R97" s="3098"/>
      <c r="S97" s="283"/>
      <c r="T97" s="283"/>
      <c r="U97" s="283"/>
      <c r="AA97" s="512"/>
      <c r="AB97" s="512"/>
    </row>
    <row r="98" spans="1:28" s="271" customFormat="1" ht="11.65" customHeight="1">
      <c r="A98" s="170"/>
      <c r="B98" s="172"/>
      <c r="C98" s="170"/>
      <c r="D98" s="168"/>
      <c r="E98" s="168"/>
      <c r="F98" s="170" t="s">
        <v>3440</v>
      </c>
      <c r="I98" s="168"/>
      <c r="J98" s="170" t="s">
        <v>3441</v>
      </c>
      <c r="K98" s="170"/>
      <c r="L98" s="170" t="s">
        <v>2822</v>
      </c>
      <c r="M98" s="170"/>
      <c r="N98" s="170"/>
      <c r="O98" s="170"/>
      <c r="P98" s="168"/>
      <c r="Q98" s="3097">
        <v>75</v>
      </c>
      <c r="R98" s="3098"/>
      <c r="S98" s="283"/>
      <c r="T98" s="283"/>
      <c r="U98" s="283"/>
      <c r="AA98" s="512"/>
      <c r="AB98" s="512"/>
    </row>
    <row r="99" spans="1:28" s="271" customFormat="1" ht="13.5">
      <c r="A99" s="170"/>
      <c r="B99" s="170" t="s">
        <v>1863</v>
      </c>
      <c r="C99" s="170"/>
      <c r="D99" s="1109" t="s">
        <v>3944</v>
      </c>
      <c r="E99" s="168"/>
      <c r="F99" s="170"/>
      <c r="G99" s="170"/>
      <c r="H99" s="170"/>
      <c r="I99" s="168"/>
      <c r="J99" s="170" t="s">
        <v>1730</v>
      </c>
      <c r="K99" s="170"/>
      <c r="L99" s="170"/>
      <c r="M99" s="170"/>
      <c r="N99" s="170"/>
      <c r="O99" s="170"/>
      <c r="P99" s="168"/>
      <c r="Q99" s="3102">
        <v>1800000</v>
      </c>
      <c r="R99" s="3103"/>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3102">
        <v>3500000</v>
      </c>
      <c r="R100" s="3103"/>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3100">
        <v>0.15</v>
      </c>
      <c r="R101" s="3101"/>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3100">
        <v>0.15</v>
      </c>
      <c r="R102" s="3101"/>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100">
        <v>0.15</v>
      </c>
      <c r="R103" s="3101"/>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100">
        <v>0.15</v>
      </c>
      <c r="R104" s="3101"/>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100">
        <v>0.15</v>
      </c>
      <c r="R105" s="3101"/>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3100">
        <v>0.15</v>
      </c>
      <c r="R106" s="3101"/>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3100" t="s">
        <v>2374</v>
      </c>
      <c r="R107" s="3101"/>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3480</v>
      </c>
      <c r="C113" s="170"/>
      <c r="D113" s="168"/>
      <c r="E113" s="170"/>
      <c r="F113" s="170"/>
      <c r="G113" s="170"/>
      <c r="H113" s="168"/>
      <c r="I113" s="168"/>
      <c r="J113" s="170" t="s">
        <v>1763</v>
      </c>
      <c r="K113" s="170"/>
      <c r="L113" s="170"/>
      <c r="M113" s="170"/>
      <c r="N113" s="170"/>
      <c r="O113" s="170"/>
      <c r="P113" s="168"/>
      <c r="Q113" s="3097">
        <v>3000</v>
      </c>
      <c r="R113" s="3098"/>
      <c r="S113" s="283"/>
      <c r="T113" s="283"/>
      <c r="U113" s="283"/>
      <c r="AA113" s="512"/>
      <c r="AB113" s="512"/>
    </row>
    <row r="114" spans="1:28" s="271" customFormat="1" ht="11.65" customHeight="1">
      <c r="A114" s="170"/>
      <c r="B114" s="170"/>
      <c r="C114" s="170"/>
      <c r="D114" s="168"/>
      <c r="E114" s="168"/>
      <c r="O114" s="170"/>
      <c r="T114" s="277"/>
      <c r="U114" s="168"/>
      <c r="V114" s="987"/>
      <c r="W114" s="987"/>
      <c r="X114" s="987"/>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3099">
        <v>0.02</v>
      </c>
      <c r="R121" s="3099"/>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3099">
        <v>7.0000000000000007E-2</v>
      </c>
      <c r="R122" s="3099"/>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3099">
        <v>7.0000000000000007E-2</v>
      </c>
      <c r="R123" s="3099"/>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3099">
        <v>0.03</v>
      </c>
      <c r="R124" s="3099"/>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3099">
        <v>0.03</v>
      </c>
      <c r="R125" s="3099"/>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3099">
        <v>0</v>
      </c>
      <c r="R126" s="3099"/>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099">
        <v>0.1</v>
      </c>
      <c r="R128" s="3099"/>
      <c r="S128" s="168"/>
      <c r="T128" s="168"/>
      <c r="U128" s="168"/>
      <c r="V128" s="936"/>
      <c r="W128" s="936"/>
      <c r="X128" s="171"/>
      <c r="AA128" s="512"/>
      <c r="AB128" s="512"/>
    </row>
    <row r="129" spans="1:28" s="271" customFormat="1" ht="11.65" customHeight="1">
      <c r="A129" s="276"/>
      <c r="B129" s="170"/>
      <c r="C129" s="170"/>
      <c r="D129" s="168"/>
      <c r="E129" s="168"/>
      <c r="F129" s="170"/>
      <c r="G129" s="170"/>
      <c r="H129" s="170" t="s">
        <v>3894</v>
      </c>
      <c r="I129" s="168"/>
      <c r="J129" s="170" t="s">
        <v>3895</v>
      </c>
      <c r="K129" s="170"/>
      <c r="L129" s="170"/>
      <c r="M129" s="170"/>
      <c r="N129" s="170"/>
      <c r="O129" s="170"/>
      <c r="P129" s="168"/>
      <c r="Q129" s="3096">
        <v>1000000</v>
      </c>
      <c r="R129" s="3096"/>
      <c r="S129" s="168"/>
      <c r="T129" s="168"/>
      <c r="U129" s="168"/>
      <c r="V129" s="936"/>
      <c r="W129" s="936"/>
      <c r="X129" s="171"/>
      <c r="AA129" s="512"/>
      <c r="AB129" s="512"/>
    </row>
    <row r="130" spans="1:28" s="271" customFormat="1" ht="11.65" customHeight="1">
      <c r="A130" s="170"/>
      <c r="B130" s="170"/>
      <c r="C130" s="170"/>
      <c r="D130" s="168"/>
      <c r="E130" s="168"/>
      <c r="F130" s="170"/>
      <c r="G130" s="170"/>
      <c r="H130" s="170" t="s">
        <v>3888</v>
      </c>
      <c r="I130" s="168"/>
      <c r="J130" s="170" t="s">
        <v>3896</v>
      </c>
      <c r="K130" s="170"/>
      <c r="L130" s="170"/>
      <c r="M130" s="170"/>
      <c r="N130" s="170"/>
      <c r="O130" s="170"/>
      <c r="P130" s="168"/>
      <c r="Q130" s="3096">
        <v>1500000</v>
      </c>
      <c r="R130" s="3096"/>
      <c r="S130" s="277"/>
      <c r="T130" s="277"/>
      <c r="U130" s="168"/>
      <c r="V130" s="987"/>
      <c r="W130" s="987"/>
      <c r="X130" s="987"/>
      <c r="AA130" s="512"/>
      <c r="AB130" s="512"/>
    </row>
    <row r="131" spans="1:28" s="271" customFormat="1" ht="11.65" customHeight="1">
      <c r="A131" s="170"/>
      <c r="B131" s="170"/>
      <c r="C131" s="170"/>
      <c r="D131" s="168"/>
      <c r="E131" s="168"/>
      <c r="F131" s="170"/>
      <c r="G131" s="170"/>
      <c r="H131" s="170"/>
      <c r="I131" s="168"/>
      <c r="J131" s="170" t="s">
        <v>3897</v>
      </c>
      <c r="K131" s="170"/>
      <c r="L131" s="170"/>
      <c r="M131" s="170"/>
      <c r="N131" s="170"/>
      <c r="O131" s="170"/>
      <c r="P131" s="168"/>
      <c r="Q131" s="3096">
        <v>375000</v>
      </c>
      <c r="R131" s="3096"/>
      <c r="S131" s="277"/>
      <c r="T131" s="277"/>
      <c r="U131" s="168"/>
      <c r="V131" s="987"/>
      <c r="W131" s="987"/>
      <c r="X131" s="987"/>
      <c r="AA131" s="512"/>
      <c r="AB131" s="512"/>
    </row>
    <row r="132" spans="1:28" s="271" customFormat="1" ht="11.65" customHeight="1">
      <c r="A132" s="170"/>
      <c r="B132" s="170"/>
      <c r="C132" s="170"/>
      <c r="D132" s="168"/>
      <c r="E132" s="168"/>
      <c r="F132" s="170"/>
      <c r="G132" s="170"/>
      <c r="H132" s="170" t="s">
        <v>4726</v>
      </c>
      <c r="I132" s="168"/>
      <c r="J132" s="170"/>
      <c r="K132" s="170"/>
      <c r="L132" s="170"/>
      <c r="M132" s="170"/>
      <c r="N132" s="170"/>
      <c r="O132" s="170"/>
      <c r="P132" s="168"/>
      <c r="Q132" s="3096"/>
      <c r="R132" s="3096"/>
      <c r="S132" s="277"/>
      <c r="T132" s="277"/>
      <c r="U132" s="168"/>
      <c r="V132" s="987"/>
      <c r="W132" s="987"/>
      <c r="X132" s="987"/>
      <c r="AA132" s="512"/>
      <c r="AB132" s="512"/>
    </row>
    <row r="133" spans="1:28" s="271" customFormat="1" ht="11.65" customHeight="1">
      <c r="A133" s="170"/>
      <c r="B133" s="170"/>
      <c r="C133" s="170"/>
      <c r="D133" s="168"/>
      <c r="E133" s="168"/>
      <c r="F133" s="170" t="s">
        <v>2410</v>
      </c>
      <c r="G133" s="170"/>
      <c r="H133" s="170" t="s">
        <v>2680</v>
      </c>
      <c r="I133" s="168"/>
      <c r="J133" s="170" t="s">
        <v>3940</v>
      </c>
      <c r="K133" s="170"/>
      <c r="L133" s="170"/>
      <c r="M133" s="170"/>
      <c r="N133" s="170"/>
      <c r="O133" s="170"/>
      <c r="P133" s="168"/>
      <c r="Q133" s="3096">
        <v>4000000</v>
      </c>
      <c r="R133" s="3096"/>
      <c r="S133" s="277"/>
      <c r="T133" s="277"/>
      <c r="U133" s="168"/>
      <c r="V133" s="987"/>
      <c r="W133" s="987"/>
      <c r="X133" s="987"/>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2819</v>
      </c>
      <c r="F136" s="170" t="s">
        <v>2600</v>
      </c>
      <c r="G136" s="170"/>
      <c r="H136" s="168"/>
      <c r="I136" s="168"/>
      <c r="J136" s="170" t="s">
        <v>4727</v>
      </c>
      <c r="K136" s="170"/>
      <c r="L136" s="170"/>
      <c r="M136" s="170"/>
      <c r="N136" s="170"/>
      <c r="O136" s="170"/>
      <c r="P136" s="168"/>
      <c r="Q136" s="3099">
        <v>0.35</v>
      </c>
      <c r="R136" s="3099"/>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099" t="s">
        <v>2821</v>
      </c>
      <c r="R137" s="3099"/>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099">
        <v>0.05</v>
      </c>
      <c r="R139" s="3099"/>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099">
        <v>0.4</v>
      </c>
      <c r="R140" s="3099"/>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099">
        <v>0.02</v>
      </c>
      <c r="R141" s="3099"/>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104" t="s">
        <v>4175</v>
      </c>
      <c r="E154" s="283"/>
      <c r="F154" s="283"/>
    </row>
    <row r="155" spans="2:30" ht="10.5" customHeight="1">
      <c r="C155" s="3104"/>
      <c r="E155" s="283"/>
      <c r="F155" s="283"/>
    </row>
    <row r="156" spans="2:30" ht="10.5" customHeight="1">
      <c r="C156" s="3104"/>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3886</v>
      </c>
      <c r="O157" s="551" t="s">
        <v>4287</v>
      </c>
      <c r="P157" s="549" t="s">
        <v>2403</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4288</v>
      </c>
      <c r="P158" s="554" t="s">
        <v>1522</v>
      </c>
      <c r="Q158" s="292"/>
      <c r="R158" s="170"/>
      <c r="S158" s="389"/>
      <c r="T158" s="501" t="s">
        <v>2404</v>
      </c>
      <c r="U158" s="501" t="s">
        <v>1952</v>
      </c>
      <c r="W158" s="431" t="s">
        <v>2404</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4289</v>
      </c>
      <c r="P159" s="554" t="s">
        <v>1524</v>
      </c>
      <c r="Q159" s="292"/>
      <c r="R159" s="170"/>
      <c r="S159" s="389"/>
      <c r="T159" s="501" t="s">
        <v>1523</v>
      </c>
      <c r="U159" s="501" t="s">
        <v>2487</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4291</v>
      </c>
      <c r="P161" s="554" t="s">
        <v>2081</v>
      </c>
      <c r="Q161" s="292"/>
      <c r="R161" s="170"/>
      <c r="S161" s="389"/>
      <c r="T161" s="501" t="s">
        <v>463</v>
      </c>
      <c r="U161" s="501" t="s">
        <v>2530</v>
      </c>
      <c r="W161" s="431" t="s">
        <v>2082</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4292</v>
      </c>
      <c r="P162" s="554" t="s">
        <v>2083</v>
      </c>
      <c r="Q162" s="292"/>
      <c r="R162" s="170"/>
      <c r="S162" s="389"/>
      <c r="T162" s="501" t="s">
        <v>2082</v>
      </c>
      <c r="U162" s="501" t="s">
        <v>332</v>
      </c>
      <c r="W162" s="431" t="s">
        <v>2086</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4293</v>
      </c>
      <c r="P163" s="554" t="s">
        <v>2085</v>
      </c>
      <c r="Q163" s="292"/>
      <c r="R163" s="170"/>
      <c r="S163" s="389"/>
      <c r="T163" s="501" t="s">
        <v>2084</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4294</v>
      </c>
      <c r="P164" s="554" t="s">
        <v>2087</v>
      </c>
      <c r="Q164" s="292"/>
      <c r="R164" s="170"/>
      <c r="S164" s="389"/>
      <c r="T164" s="501" t="s">
        <v>2086</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4295</v>
      </c>
      <c r="P165" s="554" t="s">
        <v>2089</v>
      </c>
      <c r="Q165" s="292"/>
      <c r="R165" s="170"/>
      <c r="S165" s="389"/>
      <c r="T165" s="501" t="s">
        <v>2088</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4296</v>
      </c>
      <c r="P166" s="554" t="s">
        <v>1963</v>
      </c>
      <c r="Q166" s="520"/>
      <c r="R166" s="170"/>
      <c r="S166" s="389"/>
      <c r="T166" s="501" t="s">
        <v>1782</v>
      </c>
      <c r="U166" s="501" t="s">
        <v>955</v>
      </c>
      <c r="W166" s="431" t="s">
        <v>1849</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4297</v>
      </c>
      <c r="P167" s="554" t="s">
        <v>180</v>
      </c>
      <c r="Q167" s="520"/>
      <c r="R167" s="283"/>
      <c r="S167" s="389"/>
      <c r="T167" s="501" t="s">
        <v>1964</v>
      </c>
      <c r="U167" s="501" t="s">
        <v>429</v>
      </c>
      <c r="W167" s="431" t="s">
        <v>2549</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4298</v>
      </c>
      <c r="P168" s="554" t="s">
        <v>182</v>
      </c>
      <c r="Q168" s="520"/>
      <c r="R168" s="170"/>
      <c r="S168" s="389"/>
      <c r="T168" s="501" t="s">
        <v>181</v>
      </c>
      <c r="U168" s="501" t="s">
        <v>1456</v>
      </c>
      <c r="W168" s="431" t="s">
        <v>2555</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4299</v>
      </c>
      <c r="P169" s="554" t="s">
        <v>443</v>
      </c>
      <c r="Q169" s="292"/>
      <c r="R169" s="170"/>
      <c r="S169" s="389"/>
      <c r="T169" s="501" t="s">
        <v>183</v>
      </c>
      <c r="U169" s="501" t="s">
        <v>2400</v>
      </c>
      <c r="W169" s="431" t="s">
        <v>2560</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4302</v>
      </c>
      <c r="P172" s="554" t="s">
        <v>449</v>
      </c>
      <c r="Q172" s="292"/>
      <c r="R172" s="170"/>
      <c r="S172" s="389"/>
      <c r="T172" s="501" t="s">
        <v>448</v>
      </c>
      <c r="U172" s="501" t="s">
        <v>184</v>
      </c>
      <c r="W172" s="431" t="s">
        <v>2072</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4303</v>
      </c>
      <c r="P173" s="554" t="s">
        <v>2263</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4304</v>
      </c>
      <c r="P174" s="554" t="s">
        <v>2265</v>
      </c>
      <c r="Q174" s="292"/>
      <c r="R174" s="170"/>
      <c r="S174" s="389"/>
      <c r="T174" s="501" t="s">
        <v>2264</v>
      </c>
      <c r="U174" s="501" t="s">
        <v>2488</v>
      </c>
      <c r="W174" s="431" t="s">
        <v>2075</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4305</v>
      </c>
      <c r="P175" s="554" t="s">
        <v>368</v>
      </c>
      <c r="Q175" s="292"/>
      <c r="R175" s="170"/>
      <c r="S175" s="389"/>
      <c r="T175" s="501" t="s">
        <v>1849</v>
      </c>
      <c r="U175" s="501" t="s">
        <v>2178</v>
      </c>
      <c r="W175" s="431" t="s">
        <v>2108</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4306</v>
      </c>
      <c r="P176" s="554" t="s">
        <v>370</v>
      </c>
      <c r="Q176" s="292"/>
      <c r="R176" s="170"/>
      <c r="S176" s="389"/>
      <c r="T176" s="501" t="s">
        <v>369</v>
      </c>
      <c r="U176" s="501" t="s">
        <v>2178</v>
      </c>
      <c r="W176" s="431" t="s">
        <v>2112</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4307</v>
      </c>
      <c r="P177" s="554" t="s">
        <v>2546</v>
      </c>
      <c r="Q177" s="292"/>
      <c r="R177" s="170"/>
      <c r="S177" s="389"/>
      <c r="T177" s="501" t="s">
        <v>1210</v>
      </c>
      <c r="U177" s="501" t="s">
        <v>2529</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4308</v>
      </c>
      <c r="P178" s="554" t="s">
        <v>2548</v>
      </c>
      <c r="Q178" s="292"/>
      <c r="R178" s="170"/>
      <c r="S178" s="389"/>
      <c r="T178" s="501" t="s">
        <v>2547</v>
      </c>
      <c r="U178" s="501" t="s">
        <v>2534</v>
      </c>
      <c r="W178" s="431" t="s">
        <v>1007</v>
      </c>
      <c r="X178" s="431" t="s">
        <v>3389</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4309</v>
      </c>
      <c r="P179" s="554" t="s">
        <v>2550</v>
      </c>
      <c r="Q179" s="292"/>
      <c r="R179" s="170"/>
      <c r="S179" s="389"/>
      <c r="T179" s="501" t="s">
        <v>2549</v>
      </c>
      <c r="U179" s="501" t="s">
        <v>1097</v>
      </c>
      <c r="W179" s="431" t="s">
        <v>2446</v>
      </c>
      <c r="X179" s="431" t="s">
        <v>3389</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4310</v>
      </c>
      <c r="P180" s="554" t="s">
        <v>2552</v>
      </c>
      <c r="Q180" s="292"/>
      <c r="R180" s="170"/>
      <c r="S180" s="389"/>
      <c r="T180" s="501" t="s">
        <v>2551</v>
      </c>
      <c r="U180" s="501" t="s">
        <v>323</v>
      </c>
      <c r="W180" s="431" t="s">
        <v>2448</v>
      </c>
      <c r="X180" s="431" t="s">
        <v>3389</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4311</v>
      </c>
      <c r="P181" s="554" t="s">
        <v>2554</v>
      </c>
      <c r="Q181" s="292"/>
      <c r="R181" s="170"/>
      <c r="S181" s="389"/>
      <c r="T181" s="501" t="s">
        <v>2553</v>
      </c>
      <c r="U181" s="501" t="s">
        <v>2485</v>
      </c>
      <c r="W181" s="431" t="s">
        <v>2450</v>
      </c>
      <c r="X181" s="431" t="s">
        <v>3389</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4312</v>
      </c>
      <c r="P182" s="554" t="s">
        <v>2556</v>
      </c>
      <c r="Q182" s="292"/>
      <c r="R182" s="170"/>
      <c r="S182" s="389"/>
      <c r="T182" s="501" t="s">
        <v>2555</v>
      </c>
      <c r="U182" s="501" t="s">
        <v>1332</v>
      </c>
      <c r="W182" s="431" t="s">
        <v>2453</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4313</v>
      </c>
      <c r="P183" s="554" t="s">
        <v>2557</v>
      </c>
      <c r="Q183" s="292"/>
      <c r="R183" s="170"/>
      <c r="S183" s="389"/>
      <c r="T183" s="501" t="s">
        <v>2558</v>
      </c>
      <c r="U183" s="501" t="s">
        <v>2592</v>
      </c>
      <c r="W183" s="431" t="s">
        <v>2232</v>
      </c>
      <c r="X183" s="431" t="s">
        <v>3389</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4314</v>
      </c>
      <c r="P184" s="554" t="s">
        <v>2559</v>
      </c>
      <c r="Q184" s="292"/>
      <c r="R184" s="170"/>
      <c r="S184" s="389"/>
      <c r="T184" s="501" t="s">
        <v>2560</v>
      </c>
      <c r="U184" s="501" t="s">
        <v>1918</v>
      </c>
      <c r="W184" s="431" t="s">
        <v>2332</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4318</v>
      </c>
      <c r="P188" s="554" t="s">
        <v>780</v>
      </c>
      <c r="Q188" s="520"/>
      <c r="R188" s="170"/>
      <c r="S188" s="389"/>
      <c r="T188" s="501" t="s">
        <v>2072</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4319</v>
      </c>
      <c r="P189" s="554" t="s">
        <v>2073</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4320</v>
      </c>
      <c r="P190" s="554" t="s">
        <v>2074</v>
      </c>
      <c r="Q190" s="520"/>
      <c r="R190" s="170"/>
      <c r="S190" s="389"/>
      <c r="T190" s="501" t="s">
        <v>2075</v>
      </c>
      <c r="U190" s="501" t="s">
        <v>2487</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4321</v>
      </c>
      <c r="P191" s="554" t="s">
        <v>2076</v>
      </c>
      <c r="Q191" s="520"/>
      <c r="R191" s="170"/>
      <c r="S191" s="389"/>
      <c r="T191" s="501" t="s">
        <v>2000</v>
      </c>
      <c r="U191" s="501" t="s">
        <v>2174</v>
      </c>
      <c r="W191" s="431" t="s">
        <v>356</v>
      </c>
      <c r="X191" s="431" t="s">
        <v>3389</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4322</v>
      </c>
      <c r="P192" s="554" t="s">
        <v>2107</v>
      </c>
      <c r="Q192" s="520"/>
      <c r="R192" s="170"/>
      <c r="S192" s="389"/>
      <c r="T192" s="501" t="s">
        <v>2077</v>
      </c>
      <c r="U192" s="501" t="s">
        <v>328</v>
      </c>
      <c r="W192" s="431" t="s">
        <v>2291</v>
      </c>
      <c r="X192" s="431" t="s">
        <v>3389</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4323</v>
      </c>
      <c r="P193" s="554" t="s">
        <v>2109</v>
      </c>
      <c r="Q193" s="520"/>
      <c r="R193" s="170"/>
      <c r="S193" s="389"/>
      <c r="T193" s="501" t="s">
        <v>2108</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4324</v>
      </c>
      <c r="P194" s="554" t="s">
        <v>2111</v>
      </c>
      <c r="Q194" s="520"/>
      <c r="R194" s="170"/>
      <c r="S194" s="389"/>
      <c r="T194" s="501" t="s">
        <v>2110</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4325</v>
      </c>
      <c r="P195" s="554" t="s">
        <v>2113</v>
      </c>
      <c r="Q195" s="520"/>
      <c r="R195" s="170"/>
      <c r="S195" s="389"/>
      <c r="T195" s="501" t="s">
        <v>2112</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4326</v>
      </c>
      <c r="P196" s="554" t="s">
        <v>2540</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4327</v>
      </c>
      <c r="P197" s="554" t="s">
        <v>1006</v>
      </c>
      <c r="Q197" s="520"/>
      <c r="R197" s="170"/>
      <c r="S197" s="389"/>
      <c r="T197" s="501" t="s">
        <v>2541</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4328</v>
      </c>
      <c r="P198" s="554" t="s">
        <v>2003</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4330</v>
      </c>
      <c r="P200" s="554" t="s">
        <v>2236</v>
      </c>
      <c r="Q200" s="520"/>
      <c r="R200" s="170"/>
      <c r="S200" s="389"/>
      <c r="T200" s="501" t="s">
        <v>16</v>
      </c>
      <c r="U200" s="501" t="s">
        <v>1666</v>
      </c>
      <c r="W200" s="431" t="s">
        <v>2065</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4331</v>
      </c>
      <c r="P201" s="554" t="s">
        <v>2238</v>
      </c>
      <c r="Q201" s="520"/>
      <c r="R201" s="170"/>
      <c r="S201" s="389"/>
      <c r="T201" s="501" t="s">
        <v>2237</v>
      </c>
      <c r="U201" s="501" t="s">
        <v>1210</v>
      </c>
      <c r="W201" s="431" t="s">
        <v>2067</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4332</v>
      </c>
      <c r="P202" s="554" t="s">
        <v>2240</v>
      </c>
      <c r="Q202" s="520"/>
      <c r="R202" s="170"/>
      <c r="S202" s="389"/>
      <c r="T202" s="555" t="s">
        <v>2239</v>
      </c>
      <c r="U202" s="555" t="s">
        <v>2245</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4333</v>
      </c>
      <c r="P203" s="554" t="s">
        <v>2270</v>
      </c>
      <c r="Q203" s="520"/>
      <c r="R203" s="170"/>
      <c r="S203" s="389"/>
      <c r="T203" s="501" t="s">
        <v>2562</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4334</v>
      </c>
      <c r="P204" s="554" t="s">
        <v>1773</v>
      </c>
      <c r="Q204" s="520"/>
      <c r="R204" s="170"/>
      <c r="S204" s="389"/>
      <c r="T204" s="501" t="s">
        <v>2241</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4335</v>
      </c>
      <c r="P205" s="554" t="s">
        <v>1775</v>
      </c>
      <c r="Q205" s="520"/>
      <c r="R205" s="170"/>
      <c r="S205" s="389"/>
      <c r="T205" s="501" t="s">
        <v>1749</v>
      </c>
      <c r="U205" s="501" t="s">
        <v>2490</v>
      </c>
      <c r="W205" s="431" t="s">
        <v>2484</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4336</v>
      </c>
      <c r="P206" s="554" t="s">
        <v>2159</v>
      </c>
      <c r="Q206" s="520"/>
      <c r="R206" s="170"/>
      <c r="S206" s="389"/>
      <c r="T206" s="501" t="s">
        <v>1774</v>
      </c>
      <c r="U206" s="501" t="s">
        <v>1313</v>
      </c>
      <c r="W206" s="431" t="s">
        <v>2494</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4337</v>
      </c>
      <c r="P207" s="554" t="s">
        <v>2160</v>
      </c>
      <c r="Q207" s="520"/>
      <c r="R207" s="170"/>
      <c r="S207" s="389"/>
      <c r="T207" s="501" t="s">
        <v>1776</v>
      </c>
      <c r="U207" s="501" t="s">
        <v>2009</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4338</v>
      </c>
      <c r="P208" s="554" t="s">
        <v>2445</v>
      </c>
      <c r="Q208" s="292"/>
      <c r="R208" s="170"/>
      <c r="S208" s="389"/>
      <c r="T208" s="501" t="s">
        <v>825</v>
      </c>
      <c r="U208" s="501" t="s">
        <v>2589</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4339</v>
      </c>
      <c r="P209" s="554" t="s">
        <v>2447</v>
      </c>
      <c r="Q209" s="292"/>
      <c r="R209" s="170"/>
      <c r="S209" s="389"/>
      <c r="T209" s="501" t="s">
        <v>2161</v>
      </c>
      <c r="U209" s="501" t="s">
        <v>2591</v>
      </c>
      <c r="W209" s="431" t="s">
        <v>161</v>
      </c>
      <c r="X209" s="431" t="s">
        <v>3389</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4340</v>
      </c>
      <c r="P210" s="554" t="s">
        <v>2449</v>
      </c>
      <c r="Q210" s="292"/>
      <c r="R210" s="170"/>
      <c r="S210" s="389"/>
      <c r="T210" s="555" t="s">
        <v>2446</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4341</v>
      </c>
      <c r="P211" s="554" t="s">
        <v>2451</v>
      </c>
      <c r="Q211" s="292"/>
      <c r="R211" s="170"/>
      <c r="S211" s="389"/>
      <c r="T211" s="501" t="s">
        <v>2563</v>
      </c>
      <c r="U211" s="501" t="s">
        <v>319</v>
      </c>
      <c r="W211" s="431" t="s">
        <v>2141</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4342</v>
      </c>
      <c r="P212" s="554" t="s">
        <v>2452</v>
      </c>
      <c r="Q212" s="292"/>
      <c r="R212" s="170"/>
      <c r="S212" s="389"/>
      <c r="T212" s="501" t="s">
        <v>2448</v>
      </c>
      <c r="U212" s="501" t="s">
        <v>1921</v>
      </c>
      <c r="W212" s="431" t="s">
        <v>2059</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4343</v>
      </c>
      <c r="P213" s="554" t="s">
        <v>2231</v>
      </c>
      <c r="Q213" s="292"/>
      <c r="R213" s="170"/>
      <c r="S213" s="389"/>
      <c r="T213" s="501" t="s">
        <v>2450</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4344</v>
      </c>
      <c r="P214" s="554" t="s">
        <v>708</v>
      </c>
      <c r="Q214" s="292"/>
      <c r="R214" s="170"/>
      <c r="S214" s="389"/>
      <c r="T214" s="501" t="s">
        <v>2453</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4345</v>
      </c>
      <c r="P215" s="554" t="s">
        <v>710</v>
      </c>
      <c r="Q215" s="292"/>
      <c r="R215" s="170"/>
      <c r="S215" s="389"/>
      <c r="T215" s="501" t="s">
        <v>2232</v>
      </c>
      <c r="U215" s="501" t="s">
        <v>655</v>
      </c>
      <c r="W215" s="431" t="s">
        <v>2533</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4346</v>
      </c>
      <c r="P216" s="554" t="s">
        <v>712</v>
      </c>
      <c r="Q216" s="292"/>
      <c r="R216" s="170"/>
      <c r="S216" s="389"/>
      <c r="T216" s="501" t="s">
        <v>709</v>
      </c>
      <c r="U216" s="501" t="s">
        <v>2482</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4348</v>
      </c>
      <c r="P218" s="554" t="s">
        <v>2223</v>
      </c>
      <c r="Q218" s="292"/>
      <c r="R218" s="170"/>
      <c r="S218" s="389"/>
      <c r="T218" s="555" t="s">
        <v>713</v>
      </c>
      <c r="U218" s="555" t="s">
        <v>2591</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4349</v>
      </c>
      <c r="P219" s="554" t="s">
        <v>2224</v>
      </c>
      <c r="Q219" s="292"/>
      <c r="R219" s="170"/>
      <c r="S219" s="389"/>
      <c r="T219" s="501" t="s">
        <v>2564</v>
      </c>
      <c r="U219" s="501" t="s">
        <v>2484</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4350</v>
      </c>
      <c r="P220" s="554" t="s">
        <v>2226</v>
      </c>
      <c r="Q220" s="292"/>
      <c r="R220" s="170"/>
      <c r="S220" s="389"/>
      <c r="T220" s="501" t="s">
        <v>2225</v>
      </c>
      <c r="U220" s="501" t="s">
        <v>1666</v>
      </c>
      <c r="W220" s="431" t="s">
        <v>1968</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4351</v>
      </c>
      <c r="P221" s="554" t="s">
        <v>684</v>
      </c>
      <c r="Q221" s="292"/>
      <c r="R221" s="170"/>
      <c r="S221" s="389"/>
      <c r="T221" s="501" t="s">
        <v>2227</v>
      </c>
      <c r="U221" s="501" t="s">
        <v>2585</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4353</v>
      </c>
      <c r="P223" s="554" t="s">
        <v>2272</v>
      </c>
      <c r="Q223" s="292"/>
      <c r="R223" s="170"/>
      <c r="S223" s="389"/>
      <c r="T223" s="501" t="s">
        <v>2271</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4354</v>
      </c>
      <c r="P224" s="554" t="s">
        <v>2301</v>
      </c>
      <c r="Q224" s="292"/>
      <c r="R224" s="170"/>
      <c r="S224" s="389"/>
      <c r="T224" s="501" t="s">
        <v>2332</v>
      </c>
      <c r="U224" s="501" t="s">
        <v>878</v>
      </c>
      <c r="W224" s="431" t="s">
        <v>2156</v>
      </c>
      <c r="X224" s="431" t="s">
        <v>3389</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4356</v>
      </c>
      <c r="P226" s="554" t="s">
        <v>633</v>
      </c>
      <c r="Q226" s="292"/>
      <c r="R226" s="170"/>
      <c r="S226" s="389"/>
      <c r="T226" s="501" t="s">
        <v>634</v>
      </c>
      <c r="U226" s="501" t="s">
        <v>2593</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4358</v>
      </c>
      <c r="P228" s="554" t="s">
        <v>2370</v>
      </c>
      <c r="Q228" s="292"/>
      <c r="R228" s="170"/>
      <c r="S228" s="389"/>
      <c r="T228" s="501" t="s">
        <v>2371</v>
      </c>
      <c r="U228" s="501" t="s">
        <v>196</v>
      </c>
      <c r="W228" s="431" t="s">
        <v>1925</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4359</v>
      </c>
      <c r="P229" s="554" t="s">
        <v>2393</v>
      </c>
      <c r="Q229" s="292"/>
      <c r="R229" s="170"/>
      <c r="S229" s="389"/>
      <c r="T229" s="501" t="s">
        <v>2394</v>
      </c>
      <c r="U229" s="501" t="s">
        <v>1665</v>
      </c>
      <c r="W229" s="431" t="s">
        <v>1929</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4360</v>
      </c>
      <c r="P230" s="554" t="s">
        <v>2395</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4361</v>
      </c>
      <c r="P231" s="554" t="s">
        <v>2396</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4362</v>
      </c>
      <c r="P232" s="554" t="s">
        <v>2362</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4363</v>
      </c>
      <c r="P233" s="554" t="s">
        <v>10</v>
      </c>
      <c r="Q233" s="292"/>
      <c r="R233" s="170"/>
      <c r="S233" s="389"/>
      <c r="T233" s="501" t="s">
        <v>2363</v>
      </c>
      <c r="U233" s="501" t="s">
        <v>2488</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4364</v>
      </c>
      <c r="P234" s="554" t="s">
        <v>12</v>
      </c>
      <c r="Q234" s="292"/>
      <c r="R234" s="170"/>
      <c r="S234" s="389"/>
      <c r="T234" s="501" t="s">
        <v>11</v>
      </c>
      <c r="U234" s="501" t="s">
        <v>666</v>
      </c>
      <c r="W234" s="431" t="s">
        <v>2515</v>
      </c>
      <c r="X234" s="431" t="s">
        <v>3389</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4366</v>
      </c>
      <c r="P236" s="554" t="s">
        <v>58</v>
      </c>
      <c r="Q236" s="292"/>
      <c r="R236" s="170"/>
      <c r="S236" s="389"/>
      <c r="T236" s="501" t="s">
        <v>57</v>
      </c>
      <c r="U236" s="501" t="s">
        <v>2585</v>
      </c>
      <c r="W236" s="431" t="s">
        <v>301</v>
      </c>
      <c r="X236" s="431" t="s">
        <v>3389</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4369</v>
      </c>
      <c r="P239" s="554" t="s">
        <v>353</v>
      </c>
      <c r="Q239" s="292"/>
      <c r="R239" s="170"/>
      <c r="S239" s="389"/>
      <c r="T239" s="501" t="s">
        <v>352</v>
      </c>
      <c r="U239" s="501" t="s">
        <v>2186</v>
      </c>
      <c r="W239" s="431" t="s">
        <v>1896</v>
      </c>
      <c r="X239" s="431" t="s">
        <v>3389</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4370</v>
      </c>
      <c r="P240" s="554" t="s">
        <v>355</v>
      </c>
      <c r="Q240" s="292"/>
      <c r="R240" s="170"/>
      <c r="S240" s="389"/>
      <c r="T240" s="501" t="s">
        <v>354</v>
      </c>
      <c r="U240" s="501" t="s">
        <v>953</v>
      </c>
      <c r="W240" s="431" t="s">
        <v>2245</v>
      </c>
      <c r="X240" s="431" t="s">
        <v>3389</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4371</v>
      </c>
      <c r="P241" s="554" t="s">
        <v>2290</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4372</v>
      </c>
      <c r="P242" s="554" t="s">
        <v>2292</v>
      </c>
      <c r="Q242" s="292"/>
      <c r="R242" s="170"/>
      <c r="S242" s="389"/>
      <c r="T242" s="501" t="s">
        <v>630</v>
      </c>
      <c r="U242" s="501" t="s">
        <v>1453</v>
      </c>
      <c r="W242" s="431" t="s">
        <v>2282</v>
      </c>
      <c r="X242" s="431" t="s">
        <v>3389</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4373</v>
      </c>
      <c r="P243" s="554" t="s">
        <v>2293</v>
      </c>
      <c r="Q243" s="292"/>
      <c r="R243" s="170"/>
      <c r="S243" s="389"/>
      <c r="T243" s="501" t="s">
        <v>2291</v>
      </c>
      <c r="U243" s="501" t="s">
        <v>669</v>
      </c>
      <c r="W243" s="431" t="s">
        <v>3379</v>
      </c>
      <c r="X243" s="431" t="s">
        <v>3389</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4374</v>
      </c>
      <c r="P244" s="554" t="s">
        <v>2294</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4375</v>
      </c>
      <c r="P245" s="554" t="s">
        <v>1559</v>
      </c>
      <c r="Q245" s="292"/>
      <c r="R245" s="170"/>
      <c r="S245" s="389"/>
      <c r="T245" s="501" t="s">
        <v>2849</v>
      </c>
      <c r="U245" s="501" t="s">
        <v>669</v>
      </c>
      <c r="W245" s="431" t="s">
        <v>2389</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4376</v>
      </c>
      <c r="P246" s="554" t="s">
        <v>1561</v>
      </c>
      <c r="Q246" s="292"/>
      <c r="R246" s="170"/>
      <c r="S246" s="389"/>
      <c r="T246" s="501" t="s">
        <v>2295</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3737</v>
      </c>
      <c r="L247" s="1012" t="s">
        <v>424</v>
      </c>
      <c r="M247" s="1099" t="s">
        <v>2600</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4378</v>
      </c>
      <c r="P248" s="554" t="s">
        <v>1565</v>
      </c>
      <c r="Q248" s="292"/>
      <c r="R248" s="170"/>
      <c r="S248" s="389"/>
      <c r="T248" s="501" t="s">
        <v>2565</v>
      </c>
      <c r="U248" s="501" t="s">
        <v>628</v>
      </c>
      <c r="W248" s="431" t="s">
        <v>234</v>
      </c>
      <c r="X248" s="431" t="s">
        <v>3389</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4380</v>
      </c>
      <c r="P250" s="554" t="s">
        <v>1742</v>
      </c>
      <c r="Q250" s="292"/>
      <c r="R250" s="170"/>
      <c r="S250" s="389"/>
      <c r="T250" s="501" t="s">
        <v>2850</v>
      </c>
      <c r="U250" s="501" t="s">
        <v>2243</v>
      </c>
      <c r="W250" s="431" t="s">
        <v>787</v>
      </c>
      <c r="X250" s="431" t="s">
        <v>3389</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4388</v>
      </c>
      <c r="P258" s="554" t="s">
        <v>2060</v>
      </c>
      <c r="Q258" s="292"/>
      <c r="R258" s="170"/>
      <c r="S258" s="389"/>
      <c r="T258" s="501" t="s">
        <v>237</v>
      </c>
      <c r="U258" s="501" t="s">
        <v>2530</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4389</v>
      </c>
      <c r="P259" s="554" t="s">
        <v>2062</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4390</v>
      </c>
      <c r="P260" s="554" t="s">
        <v>2064</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3736</v>
      </c>
      <c r="L261" s="1012" t="s">
        <v>424</v>
      </c>
      <c r="M261" s="1099" t="s">
        <v>2600</v>
      </c>
      <c r="N261" s="1099" t="s">
        <v>1205</v>
      </c>
      <c r="O261" s="1288" t="s">
        <v>4391</v>
      </c>
      <c r="P261" s="554" t="s">
        <v>2066</v>
      </c>
      <c r="Q261" s="292"/>
      <c r="R261" s="170"/>
      <c r="S261" s="389"/>
      <c r="T261" s="501" t="s">
        <v>2061</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4392</v>
      </c>
      <c r="P262" s="554" t="s">
        <v>2068</v>
      </c>
      <c r="Q262" s="292"/>
      <c r="R262" s="170"/>
      <c r="S262" s="389"/>
      <c r="T262" s="501" t="s">
        <v>2063</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4393</v>
      </c>
      <c r="P263" s="554" t="s">
        <v>2070</v>
      </c>
      <c r="Q263" s="292"/>
      <c r="R263" s="170"/>
      <c r="S263" s="389"/>
      <c r="T263" s="501" t="s">
        <v>2065</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4394</v>
      </c>
      <c r="P264" s="554" t="s">
        <v>675</v>
      </c>
      <c r="Q264" s="292"/>
      <c r="R264" s="170"/>
      <c r="S264" s="389"/>
      <c r="T264" s="501" t="s">
        <v>2067</v>
      </c>
      <c r="U264" s="501" t="s">
        <v>2587</v>
      </c>
      <c r="W264" s="431" t="s">
        <v>1679</v>
      </c>
      <c r="X264" s="431" t="s">
        <v>3389</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4395</v>
      </c>
      <c r="P265" s="554" t="s">
        <v>2329</v>
      </c>
      <c r="Q265" s="292"/>
      <c r="R265" s="170"/>
      <c r="S265" s="389"/>
      <c r="T265" s="501" t="s">
        <v>4735</v>
      </c>
      <c r="U265" s="501" t="s">
        <v>1206</v>
      </c>
      <c r="W265" s="431" t="s">
        <v>866</v>
      </c>
      <c r="X265" s="431" t="s">
        <v>3389</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4396</v>
      </c>
      <c r="P266" s="554" t="s">
        <v>2330</v>
      </c>
      <c r="Q266" s="292"/>
      <c r="R266" s="170"/>
      <c r="S266" s="389"/>
      <c r="T266" s="501" t="s">
        <v>2566</v>
      </c>
      <c r="U266" s="501" t="s">
        <v>2008</v>
      </c>
      <c r="W266" s="431" t="s">
        <v>1740</v>
      </c>
      <c r="X266" s="431" t="s">
        <v>3389</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4397</v>
      </c>
      <c r="P267" s="554" t="s">
        <v>1246</v>
      </c>
      <c r="Q267" s="292"/>
      <c r="R267" s="170"/>
      <c r="S267" s="389"/>
      <c r="T267" s="501" t="s">
        <v>2069</v>
      </c>
      <c r="U267" s="501" t="s">
        <v>199</v>
      </c>
      <c r="W267" s="431" t="s">
        <v>631</v>
      </c>
      <c r="X267" s="431" t="s">
        <v>3389</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4398</v>
      </c>
      <c r="P268" s="554" t="s">
        <v>1248</v>
      </c>
      <c r="Q268" s="292"/>
      <c r="R268" s="170"/>
      <c r="S268" s="389"/>
      <c r="T268" s="501" t="s">
        <v>2852</v>
      </c>
      <c r="U268" s="501" t="s">
        <v>662</v>
      </c>
      <c r="W268" s="431" t="s">
        <v>2289</v>
      </c>
      <c r="X268" s="431" t="s">
        <v>3389</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4399</v>
      </c>
      <c r="P269" s="554" t="s">
        <v>1250</v>
      </c>
      <c r="Q269" s="292"/>
      <c r="R269" s="170"/>
      <c r="S269" s="389"/>
      <c r="T269" s="501" t="s">
        <v>2071</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4400</v>
      </c>
      <c r="P270" s="554" t="s">
        <v>1251</v>
      </c>
      <c r="Q270" s="292"/>
      <c r="R270" s="170"/>
      <c r="S270" s="389"/>
      <c r="T270" s="501" t="s">
        <v>676</v>
      </c>
      <c r="U270" s="501" t="s">
        <v>2008</v>
      </c>
      <c r="W270" s="431" t="s">
        <v>1945</v>
      </c>
      <c r="X270" s="431" t="s">
        <v>3389</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4401</v>
      </c>
      <c r="P271" s="554" t="s">
        <v>1253</v>
      </c>
      <c r="Q271" s="292"/>
      <c r="R271" s="170"/>
      <c r="S271" s="389"/>
      <c r="T271" s="501" t="s">
        <v>2331</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4402</v>
      </c>
      <c r="P272" s="554" t="s">
        <v>2495</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4403</v>
      </c>
      <c r="P273" s="554" t="s">
        <v>82</v>
      </c>
      <c r="Q273" s="292"/>
      <c r="R273" s="170"/>
      <c r="S273" s="389"/>
      <c r="T273" s="501" t="s">
        <v>1249</v>
      </c>
      <c r="U273" s="501" t="s">
        <v>2245</v>
      </c>
      <c r="W273" s="431" t="s">
        <v>943</v>
      </c>
      <c r="X273" s="431" t="s">
        <v>3389</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4404</v>
      </c>
      <c r="P274" s="554" t="s">
        <v>83</v>
      </c>
      <c r="Q274" s="292"/>
      <c r="R274" s="170"/>
      <c r="S274" s="389"/>
      <c r="T274" s="501" t="s">
        <v>2484</v>
      </c>
      <c r="U274" s="501" t="s">
        <v>1105</v>
      </c>
      <c r="W274" s="431" t="s">
        <v>2308</v>
      </c>
      <c r="X274" s="431" t="s">
        <v>3389</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4406</v>
      </c>
      <c r="P276" s="554" t="s">
        <v>86</v>
      </c>
      <c r="Q276" s="292"/>
      <c r="R276" s="170"/>
      <c r="S276" s="389"/>
      <c r="T276" s="501" t="s">
        <v>2494</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4408</v>
      </c>
      <c r="P278" s="554" t="s">
        <v>1229</v>
      </c>
      <c r="Q278" s="292"/>
      <c r="R278" s="170"/>
      <c r="S278" s="389"/>
      <c r="T278" s="501" t="s">
        <v>85</v>
      </c>
      <c r="U278" s="501" t="s">
        <v>2184</v>
      </c>
      <c r="W278" s="431" t="s">
        <v>1756</v>
      </c>
      <c r="X278" s="431" t="s">
        <v>3389</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4410</v>
      </c>
      <c r="P280" s="554" t="s">
        <v>1233</v>
      </c>
      <c r="Q280" s="292"/>
      <c r="R280" s="170"/>
      <c r="S280" s="389"/>
      <c r="T280" s="501" t="s">
        <v>1228</v>
      </c>
      <c r="U280" s="501" t="s">
        <v>1951</v>
      </c>
      <c r="W280" s="431" t="s">
        <v>2354</v>
      </c>
      <c r="X280" s="431" t="s">
        <v>3389</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4414</v>
      </c>
      <c r="P284" s="554" t="s">
        <v>892</v>
      </c>
      <c r="Q284" s="292"/>
      <c r="R284" s="170"/>
      <c r="S284" s="389"/>
      <c r="T284" s="501" t="s">
        <v>1236</v>
      </c>
      <c r="U284" s="501" t="s">
        <v>2184</v>
      </c>
      <c r="W284" s="431" t="s">
        <v>78</v>
      </c>
      <c r="X284" s="431" t="s">
        <v>3389</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4415</v>
      </c>
      <c r="P285" s="554" t="s">
        <v>894</v>
      </c>
      <c r="Q285" s="292"/>
      <c r="R285" s="170"/>
      <c r="S285" s="389"/>
      <c r="T285" s="501" t="s">
        <v>2490</v>
      </c>
      <c r="U285" s="501" t="s">
        <v>1631</v>
      </c>
      <c r="W285" s="431" t="s">
        <v>2414</v>
      </c>
      <c r="X285" s="431" t="s">
        <v>3389</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4416</v>
      </c>
      <c r="P286" s="554" t="s">
        <v>896</v>
      </c>
      <c r="Q286" s="292"/>
      <c r="R286" s="170"/>
      <c r="S286" s="389"/>
      <c r="T286" s="501" t="s">
        <v>161</v>
      </c>
      <c r="U286" s="501" t="s">
        <v>2589</v>
      </c>
      <c r="W286" s="431" t="s">
        <v>613</v>
      </c>
      <c r="X286" s="431" t="s">
        <v>3389</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4417</v>
      </c>
      <c r="P287" s="554" t="s">
        <v>2139</v>
      </c>
      <c r="Q287" s="292"/>
      <c r="R287" s="170"/>
      <c r="S287" s="389"/>
      <c r="T287" s="501" t="s">
        <v>893</v>
      </c>
      <c r="U287" s="501" t="s">
        <v>179</v>
      </c>
      <c r="W287" s="431" t="s">
        <v>967</v>
      </c>
      <c r="X287" s="431" t="s">
        <v>3389</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4418</v>
      </c>
      <c r="P288" s="554" t="s">
        <v>2140</v>
      </c>
      <c r="Q288" s="292"/>
      <c r="R288" s="170"/>
      <c r="S288" s="389"/>
      <c r="T288" s="501" t="s">
        <v>895</v>
      </c>
      <c r="U288" s="501" t="s">
        <v>323</v>
      </c>
      <c r="W288" s="431" t="s">
        <v>1492</v>
      </c>
      <c r="X288" s="431" t="s">
        <v>3389</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4419</v>
      </c>
      <c r="P289" s="554" t="s">
        <v>2056</v>
      </c>
      <c r="Q289" s="292"/>
      <c r="R289" s="170"/>
      <c r="S289" s="389"/>
      <c r="T289" s="555" t="s">
        <v>897</v>
      </c>
      <c r="U289" s="555" t="s">
        <v>1096</v>
      </c>
      <c r="W289" s="431" t="s">
        <v>2338</v>
      </c>
      <c r="X289" s="431" t="s">
        <v>3389</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4420</v>
      </c>
      <c r="P290" s="554" t="s">
        <v>2058</v>
      </c>
      <c r="Q290" s="292"/>
      <c r="R290" s="170"/>
      <c r="S290" s="389"/>
      <c r="T290" s="501" t="s">
        <v>2567</v>
      </c>
      <c r="U290" s="501" t="s">
        <v>2484</v>
      </c>
      <c r="W290" s="431" t="s">
        <v>821</v>
      </c>
      <c r="X290" s="431" t="s">
        <v>3389</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4421</v>
      </c>
      <c r="P291" s="554" t="s">
        <v>597</v>
      </c>
      <c r="Q291" s="292"/>
      <c r="R291" s="170"/>
      <c r="S291" s="389"/>
      <c r="T291" s="501" t="s">
        <v>2141</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4422</v>
      </c>
      <c r="P292" s="554" t="s">
        <v>598</v>
      </c>
      <c r="Q292" s="292"/>
      <c r="R292" s="170"/>
      <c r="S292" s="389"/>
      <c r="T292" s="501" t="s">
        <v>2057</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4423</v>
      </c>
      <c r="P293" s="554" t="s">
        <v>600</v>
      </c>
      <c r="Q293" s="292"/>
      <c r="R293" s="170"/>
      <c r="S293" s="389"/>
      <c r="T293" s="501" t="s">
        <v>2059</v>
      </c>
      <c r="U293" s="501" t="s">
        <v>2534</v>
      </c>
      <c r="W293" s="431" t="s">
        <v>483</v>
      </c>
      <c r="X293" s="431" t="s">
        <v>3389</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4426</v>
      </c>
      <c r="P296" s="554" t="s">
        <v>604</v>
      </c>
      <c r="Q296" s="292"/>
      <c r="R296" s="170"/>
      <c r="S296" s="389"/>
      <c r="T296" s="501" t="s">
        <v>2568</v>
      </c>
      <c r="U296" s="501" t="s">
        <v>1327</v>
      </c>
      <c r="W296" s="431" t="s">
        <v>2493</v>
      </c>
      <c r="X296" s="431" t="s">
        <v>3389</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4427</v>
      </c>
      <c r="P297" s="554" t="s">
        <v>606</v>
      </c>
      <c r="Q297" s="292"/>
      <c r="R297" s="170"/>
      <c r="S297" s="389"/>
      <c r="T297" s="501" t="s">
        <v>601</v>
      </c>
      <c r="U297" s="501" t="s">
        <v>2590</v>
      </c>
      <c r="W297" s="431" t="s">
        <v>1057</v>
      </c>
      <c r="X297" s="431" t="s">
        <v>3389</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4428</v>
      </c>
      <c r="P298" s="554" t="s">
        <v>608</v>
      </c>
      <c r="Q298" s="292"/>
      <c r="R298" s="170"/>
      <c r="S298" s="389"/>
      <c r="T298" s="501" t="s">
        <v>2533</v>
      </c>
      <c r="U298" s="501" t="s">
        <v>2592</v>
      </c>
      <c r="W298" s="431" t="s">
        <v>1320</v>
      </c>
      <c r="X298" s="431" t="s">
        <v>3389</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4429</v>
      </c>
      <c r="P299" s="554" t="s">
        <v>547</v>
      </c>
      <c r="Q299" s="292"/>
      <c r="R299" s="170"/>
      <c r="S299" s="389"/>
      <c r="T299" s="501" t="s">
        <v>605</v>
      </c>
      <c r="U299" s="501" t="s">
        <v>2182</v>
      </c>
      <c r="W299" s="431" t="s">
        <v>179</v>
      </c>
      <c r="X299" s="431" t="s">
        <v>3389</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4433</v>
      </c>
      <c r="P303" s="554" t="s">
        <v>1965</v>
      </c>
      <c r="Q303" s="292"/>
      <c r="R303" s="170"/>
      <c r="S303" s="389"/>
      <c r="T303" s="501" t="s">
        <v>548</v>
      </c>
      <c r="U303" s="501" t="s">
        <v>160</v>
      </c>
      <c r="W303" s="431" t="s">
        <v>1607</v>
      </c>
      <c r="X303" s="431" t="s">
        <v>3389</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4434</v>
      </c>
      <c r="P304" s="554" t="s">
        <v>1967</v>
      </c>
      <c r="Q304" s="292"/>
      <c r="R304" s="170"/>
      <c r="S304" s="389"/>
      <c r="T304" s="501" t="s">
        <v>746</v>
      </c>
      <c r="U304" s="501" t="s">
        <v>1107</v>
      </c>
      <c r="W304" s="431" t="s">
        <v>1088</v>
      </c>
      <c r="X304" s="431" t="s">
        <v>3389</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4437</v>
      </c>
      <c r="P307" s="554" t="s">
        <v>338</v>
      </c>
      <c r="Q307" s="292"/>
      <c r="R307" s="170"/>
      <c r="S307" s="389"/>
      <c r="T307" s="501" t="s">
        <v>1966</v>
      </c>
      <c r="U307" s="501" t="s">
        <v>2245</v>
      </c>
      <c r="W307" s="431" t="s">
        <v>521</v>
      </c>
      <c r="X307" s="431" t="s">
        <v>3389</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4438</v>
      </c>
      <c r="P308" s="554" t="s">
        <v>340</v>
      </c>
      <c r="Q308" s="292"/>
      <c r="R308" s="170"/>
      <c r="S308" s="389"/>
      <c r="T308" s="501" t="s">
        <v>1968</v>
      </c>
      <c r="U308" s="501" t="s">
        <v>2593</v>
      </c>
      <c r="W308" s="431" t="s">
        <v>523</v>
      </c>
      <c r="X308" s="431" t="s">
        <v>3389</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4439</v>
      </c>
      <c r="P309" s="554" t="s">
        <v>342</v>
      </c>
      <c r="Q309" s="292"/>
      <c r="R309" s="170"/>
      <c r="S309" s="389"/>
      <c r="T309" s="501" t="s">
        <v>335</v>
      </c>
      <c r="U309" s="501" t="s">
        <v>1951</v>
      </c>
      <c r="W309" s="431" t="s">
        <v>529</v>
      </c>
      <c r="X309" s="431" t="s">
        <v>3389</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4441</v>
      </c>
      <c r="P311" s="554" t="s">
        <v>1941</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4442</v>
      </c>
      <c r="P312" s="554" t="s">
        <v>1943</v>
      </c>
      <c r="Q312" s="292"/>
      <c r="R312" s="170"/>
      <c r="S312" s="389"/>
      <c r="T312" s="501" t="s">
        <v>341</v>
      </c>
      <c r="U312" s="501" t="s">
        <v>2400</v>
      </c>
      <c r="W312" s="431" t="s">
        <v>2096</v>
      </c>
      <c r="X312" s="431" t="s">
        <v>3389</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4443</v>
      </c>
      <c r="P313" s="554" t="s">
        <v>2155</v>
      </c>
      <c r="Q313" s="292"/>
      <c r="R313" s="170"/>
      <c r="S313" s="389"/>
      <c r="T313" s="555" t="s">
        <v>343</v>
      </c>
      <c r="U313" s="555" t="s">
        <v>1878</v>
      </c>
      <c r="W313" s="431" t="s">
        <v>3386</v>
      </c>
      <c r="X313" s="431" t="s">
        <v>3389</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4444</v>
      </c>
      <c r="P314" s="554" t="s">
        <v>153</v>
      </c>
      <c r="Q314" s="292"/>
      <c r="R314" s="170"/>
      <c r="S314" s="389"/>
      <c r="T314" s="501" t="s">
        <v>345</v>
      </c>
      <c r="U314" s="501" t="s">
        <v>175</v>
      </c>
      <c r="W314" s="431" t="s">
        <v>2249</v>
      </c>
      <c r="X314" s="431" t="s">
        <v>3389</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4445</v>
      </c>
      <c r="P315" s="554" t="s">
        <v>154</v>
      </c>
      <c r="Q315" s="292"/>
      <c r="R315" s="170"/>
      <c r="S315" s="389"/>
      <c r="T315" s="501" t="s">
        <v>1942</v>
      </c>
      <c r="U315" s="501" t="s">
        <v>106</v>
      </c>
      <c r="W315" s="431" t="s">
        <v>398</v>
      </c>
      <c r="X315" s="431" t="s">
        <v>3389</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4447</v>
      </c>
      <c r="P317" s="554" t="s">
        <v>790</v>
      </c>
      <c r="Q317" s="292"/>
      <c r="R317" s="170"/>
      <c r="S317" s="389"/>
      <c r="T317" s="501" t="s">
        <v>2156</v>
      </c>
      <c r="U317" s="501" t="s">
        <v>195</v>
      </c>
      <c r="W317" s="431" t="s">
        <v>2273</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3389</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3389</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3389</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2485</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3389</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2417</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3389</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3389</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3389</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4736</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3389</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3389</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3389</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2866</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2873</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cM7PmumoxgY0WY0jJGDNYnrVhrZ9UNt6d88U0/yDhZxQJg4+Smres0WF7tQg0S3xxGp8joyuYXDY49fkpdMp6g==" saltValue="eKMqytUTkSHEpO9Rprv3y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topLeftCell="D1873" workbookViewId="0">
      <selection activeCell="D1873" sqref="A1:XFD1048576"/>
    </sheetView>
  </sheetViews>
  <sheetFormatPr defaultColWidth="9.140625" defaultRowHeight="12.75"/>
  <cols>
    <col min="1" max="1" width="9.42578125" style="638" bestFit="1" customWidth="1"/>
    <col min="2" max="2" width="11.85546875" style="638" bestFit="1" customWidth="1"/>
    <col min="3" max="7" width="10.5703125" style="638" bestFit="1" customWidth="1"/>
    <col min="8" max="8" width="12.42578125" style="638" bestFit="1" customWidth="1"/>
    <col min="9" max="9" width="14.5703125" style="638" bestFit="1" customWidth="1"/>
    <col min="10" max="10" width="12.42578125" style="638" bestFit="1" customWidth="1"/>
    <col min="11" max="15" width="13" style="638" bestFit="1" customWidth="1"/>
    <col min="16" max="16" width="15.42578125" style="638" bestFit="1" customWidth="1"/>
    <col min="17" max="17" width="11.85546875" style="638" bestFit="1" customWidth="1"/>
    <col min="18" max="357" width="9.42578125" style="638" bestFit="1" customWidth="1"/>
    <col min="358" max="16384" width="9.140625" style="638"/>
  </cols>
  <sheetData>
    <row r="1" spans="1:1" ht="15.75">
      <c r="A1" s="3112" t="s">
        <v>979</v>
      </c>
    </row>
    <row r="2" spans="1:1" ht="16.5">
      <c r="A2" s="1327" t="str">
        <f>'Part I-Project Information'!F34</f>
        <v>Abbington Sound</v>
      </c>
    </row>
    <row r="3" spans="1:1" ht="16.5">
      <c r="A3" s="1327" t="str">
        <f>CONCATENATE('Part I-Project Information'!F38,", ", 'Part I-Project Information'!J39," County")</f>
        <v>Kingsland, Camden County</v>
      </c>
    </row>
    <row r="5" spans="1:1" ht="12.75" customHeight="1">
      <c r="A5" s="1365" t="str">
        <f>'Project Narrative'!$A$5</f>
        <v xml:space="preserve">Abbington Sound apartments, located at the intersection of Laurel Island Parkway and Winding Road at approximately 1455 Winding Road, Kingsland, GA 31548, in Camden County, will consist of 84 rental apartments for working families.  The site is located in an area experiencing high growth in between downtown Kingsland and St. Mary’s, and within 4 miles of Kings Bay Naval base. The market demand numbers show a huge need for workforce housing units to be included in these communities and the site is within a zip code (31548) targeted as a 2019 disaster relief area. 
The development unit mix will comprise twelve (12) 1-bedroom/1 bathroom; thirty-six (36) 2-bedroom/2-bathroom; and thirty-six (36) 3-bedroom/2-bathroom units in four (4) garden style apartment buildings with a separate community center. The development will feature free surface parking for all residents.  The development will be 100% affordable, with below-market affordable rents at or below an average 58% area median income levels.  
The property will achieve a DCA approved green building certification standard (to be determined). Units will be well furnished with EnergyStar appliances, washer/dryer hookups, low flow plumbing fixtures and high efficiency lighting and HVAC.  Site amenities will include a fitness center, playground, furnished arts and craft/activity center, laundry facility, and picnic pavilion with grills.  Security cameras would also be installed at key common area locations.  The property landscaping would be fully irrigated.  Abbington Sound would be professionally managed by Boyd Management and have full-time on-site office and maintenance staff.
Abbington Sound is located in Zip Code 31548 within the City limits of Kingsland, Georgia.  The development site is in a priority location for the City’s disaster rebuilding initiative and adjacent to the main municipal capital investment project in the area, the Kingsland Bypass.  Rea Ventures Group is partnering with Paladin, Inc., an experienced non-profit CHDO affordable housing developer, to jointly develop and own Abbington Sound.  In order to finance Abbington Sound, Rea Ventures and Paladin are requesting an annual 9% housing tax credit allocation of $883,000 and a Community Development Block Grant – Disaster Recovery loan of $4,150,000 with an amortization period and term of 20 years and a construction-period and permanent-period interest rate of 1.0%.  </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&amp; HOME,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2365</v>
      </c>
      <c r="C28" s="1330"/>
      <c r="D28" s="1330"/>
      <c r="E28" s="1330"/>
      <c r="F28" s="1334"/>
      <c r="G28" s="1332" t="s">
        <v>5325</v>
      </c>
      <c r="H28" s="1330"/>
      <c r="I28" s="1330"/>
      <c r="J28" s="1330"/>
      <c r="K28" s="1330"/>
      <c r="L28" s="1334"/>
      <c r="M28" s="1330"/>
      <c r="N28" s="1330"/>
      <c r="O28" s="1330"/>
      <c r="P28" s="1340" t="s">
        <v>3866</v>
      </c>
    </row>
    <row r="29" spans="1:16" ht="14.25" customHeight="1">
      <c r="A29" s="1330"/>
      <c r="B29" s="3113" t="str">
        <f>'Part I-Project Information'!B6</f>
        <v>April 2019 Final</v>
      </c>
      <c r="C29" s="3113">
        <f>'Part I-Project Information'!C6</f>
        <v>0</v>
      </c>
      <c r="D29" s="3113">
        <f>'Part I-Project Information'!D6</f>
        <v>0</v>
      </c>
      <c r="E29" s="1319"/>
      <c r="F29" s="1334"/>
      <c r="G29" s="1332" t="s">
        <v>5326</v>
      </c>
      <c r="H29" s="1334"/>
      <c r="I29" s="1334"/>
      <c r="J29" s="1334"/>
      <c r="K29" s="1330"/>
      <c r="L29" s="1330"/>
      <c r="M29" s="1330"/>
      <c r="N29" s="1330"/>
      <c r="O29" s="1330" t="str">
        <f>'Part I-Project Information'!$O$6</f>
        <v>2019-078</v>
      </c>
      <c r="P29" s="1330"/>
    </row>
    <row r="30" spans="1:16" ht="12.75" customHeight="1">
      <c r="A30" s="1330"/>
      <c r="B30" s="3113">
        <f>'Part I-Project Information'!B7</f>
        <v>0</v>
      </c>
      <c r="C30" s="3113">
        <f>'Part I-Project Information'!C7</f>
        <v>0</v>
      </c>
      <c r="D30" s="3113">
        <f>'Part I-Project Information'!D7</f>
        <v>0</v>
      </c>
      <c r="E30" s="1319"/>
      <c r="F30" s="1330"/>
      <c r="G30" s="1335" t="s">
        <v>3318</v>
      </c>
      <c r="H30" s="1334"/>
      <c r="I30" s="1334"/>
      <c r="J30" s="1334"/>
      <c r="K30" s="1330"/>
      <c r="L30" s="1330"/>
      <c r="M30" s="1330"/>
      <c r="N30" s="1330"/>
      <c r="O30" s="1330"/>
      <c r="P30" s="1330"/>
    </row>
    <row r="31" spans="1:16" ht="12.75" customHeight="1">
      <c r="A31" s="1334"/>
      <c r="B31" s="3113">
        <f>'Part I-Project Information'!B8</f>
        <v>0</v>
      </c>
      <c r="C31" s="3113">
        <f>'Part I-Project Information'!C8</f>
        <v>0</v>
      </c>
      <c r="D31" s="3113">
        <f>'Part I-Project Information'!D8</f>
        <v>0</v>
      </c>
      <c r="E31" s="1334"/>
      <c r="F31" s="1330"/>
      <c r="G31" s="1330"/>
      <c r="H31" s="1334"/>
      <c r="I31" s="1334"/>
      <c r="J31" s="1330"/>
      <c r="K31" s="1330"/>
      <c r="L31" s="1330"/>
      <c r="M31" s="1334"/>
      <c r="N31" s="1330"/>
      <c r="O31" s="1330"/>
      <c r="P31" s="1330"/>
    </row>
    <row r="32" spans="1:16">
      <c r="A32" s="1330" t="s">
        <v>616</v>
      </c>
      <c r="B32" s="1330" t="s">
        <v>2376</v>
      </c>
      <c r="C32" s="1330"/>
      <c r="D32" s="1336"/>
      <c r="E32" s="1334"/>
      <c r="F32" s="1337" t="s">
        <v>3794</v>
      </c>
      <c r="G32" s="1330"/>
      <c r="H32" s="1330"/>
      <c r="I32" s="1338">
        <f ca="1">'Part I-Project Information'!I9</f>
        <v>883000</v>
      </c>
      <c r="J32" s="1338">
        <f>'Part I-Project Information'!J9</f>
        <v>0</v>
      </c>
      <c r="K32" s="1330"/>
      <c r="L32" s="1330" t="s">
        <v>3795</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2041</v>
      </c>
      <c r="C34" s="1330"/>
      <c r="D34" s="1330"/>
      <c r="E34" s="1330"/>
      <c r="F34" s="1393" t="str">
        <f>'Part I-Project Information'!$F$11</f>
        <v>9% Credit &amp; HOME</v>
      </c>
      <c r="G34" s="1393"/>
      <c r="H34" s="1393"/>
      <c r="I34" s="3114" t="s">
        <v>3712</v>
      </c>
      <c r="J34" s="1330" t="s">
        <v>5327</v>
      </c>
      <c r="K34" s="1330"/>
      <c r="L34" s="1334"/>
      <c r="M34" s="1330"/>
      <c r="N34" s="1330"/>
      <c r="O34" s="1330" t="str">
        <f>'Part I-Project Information'!$O$11</f>
        <v>PA19-057</v>
      </c>
      <c r="P34" s="1330"/>
    </row>
    <row r="35" spans="1:16" ht="13.5">
      <c r="A35" s="1334"/>
      <c r="B35" s="1348"/>
      <c r="C35" s="1348"/>
      <c r="D35" s="1348"/>
      <c r="E35" s="1348"/>
      <c r="F35" s="1330"/>
      <c r="G35" s="1330"/>
      <c r="H35" s="1334"/>
      <c r="I35" s="1330"/>
      <c r="J35" s="1332" t="s">
        <v>5085</v>
      </c>
      <c r="K35" s="1337"/>
      <c r="L35" s="1330"/>
      <c r="M35" s="1334"/>
      <c r="N35" s="1330"/>
      <c r="O35" s="1330" t="str">
        <f>'Part I-Project Information'!$O$12</f>
        <v>No</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5045</v>
      </c>
      <c r="C37" s="1348"/>
      <c r="D37" s="1348"/>
      <c r="E37" s="1348"/>
      <c r="F37" s="1412" t="str">
        <f>'Part I-Project Information'!F14</f>
        <v>Yes</v>
      </c>
      <c r="G37" s="1337" t="s">
        <v>5046</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c r="A38" s="1334"/>
      <c r="B38" s="1330" t="s">
        <v>3867</v>
      </c>
      <c r="C38" s="1330"/>
      <c r="D38" s="1330"/>
      <c r="E38" s="1330"/>
      <c r="F38" s="1706" t="str">
        <f>'Part I-Project Information'!F15</f>
        <v>Abbington Sound</v>
      </c>
      <c r="G38" s="1706">
        <f>'Part I-Project Information'!G15</f>
        <v>0</v>
      </c>
      <c r="H38" s="1706">
        <f>'Part I-Project Information'!H15</f>
        <v>0</v>
      </c>
      <c r="I38" s="1706">
        <f>'Part I-Project Information'!I15</f>
        <v>0</v>
      </c>
      <c r="J38" s="1706">
        <f>'Part I-Project Information'!J15</f>
        <v>0</v>
      </c>
      <c r="K38" s="1706">
        <f>'Part I-Project Information'!K15</f>
        <v>0</v>
      </c>
      <c r="L38" s="1330" t="s">
        <v>5032</v>
      </c>
      <c r="M38" s="1330"/>
      <c r="N38" s="1330"/>
      <c r="O38" s="1330" t="str">
        <f>'Part I-Project Information'!O15</f>
        <v>19-069</v>
      </c>
      <c r="P38" s="1330">
        <f>'Part I-Project Information'!P15</f>
        <v>0</v>
      </c>
    </row>
    <row r="39" spans="1:16" ht="13.5">
      <c r="A39" s="1334"/>
      <c r="B39" s="1330" t="s">
        <v>3793</v>
      </c>
      <c r="C39" s="1330"/>
      <c r="D39" s="1330"/>
      <c r="E39" s="1330"/>
      <c r="F39" s="1412" t="str">
        <f>'Part I-Project Information'!F16</f>
        <v>Yes</v>
      </c>
      <c r="G39" s="1330" t="s">
        <v>5033</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4476</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3875</v>
      </c>
      <c r="C43" s="1330"/>
      <c r="D43" s="1330"/>
      <c r="E43" s="1330"/>
      <c r="F43" s="1330" t="str">
        <f>'Part I-Project Information'!F20</f>
        <v>Rea Ventures Group, LLC</v>
      </c>
      <c r="G43" s="1330">
        <f>'Part I-Project Information'!G20</f>
        <v>0</v>
      </c>
      <c r="H43" s="1330">
        <f>'Part I-Project Information'!H20</f>
        <v>0</v>
      </c>
      <c r="I43" s="1330" t="s">
        <v>1797</v>
      </c>
      <c r="J43" s="1330" t="str">
        <f>'Part I-Project Information'!J20</f>
        <v>William J. Rea, Jr.</v>
      </c>
      <c r="K43" s="1330">
        <f>'Part I-Project Information'!K20</f>
        <v>0</v>
      </c>
      <c r="L43" s="1330">
        <f>'Part I-Project Information'!L20</f>
        <v>0</v>
      </c>
      <c r="M43" s="1337" t="s">
        <v>1981</v>
      </c>
      <c r="N43" s="1330" t="str">
        <f>'Part I-Project Information'!N20</f>
        <v>Principal / Manager</v>
      </c>
      <c r="O43" s="1330">
        <f>'Part I-Project Information'!O20</f>
        <v>0</v>
      </c>
      <c r="P43" s="1330">
        <f>'Part I-Project Information'!P20</f>
        <v>0</v>
      </c>
    </row>
    <row r="44" spans="1:16" ht="12.75" customHeight="1">
      <c r="A44" s="1330"/>
      <c r="B44" s="1337" t="s">
        <v>1982</v>
      </c>
      <c r="C44" s="1330"/>
      <c r="D44" s="1330"/>
      <c r="E44" s="1330"/>
      <c r="F44" s="1330" t="str">
        <f>'Part I-Project Information'!F21</f>
        <v>2964 Peachtree Road NW, Suite 200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3874</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c r="A46" s="1330"/>
      <c r="B46" s="1337" t="s">
        <v>2230</v>
      </c>
      <c r="C46" s="1330"/>
      <c r="D46" s="1330"/>
      <c r="E46" s="1330"/>
      <c r="F46" s="1798">
        <f>'Part I-Project Information'!F23</f>
        <v>303052119</v>
      </c>
      <c r="G46" s="1798">
        <f>'Part I-Project Information'!G23</f>
        <v>0</v>
      </c>
      <c r="H46" s="1798">
        <f>'Part I-Project Information'!H23</f>
        <v>0</v>
      </c>
      <c r="I46" s="1337" t="s">
        <v>1720</v>
      </c>
      <c r="J46" s="1799">
        <f>'Part I-Project Information'!J23</f>
        <v>4042504093</v>
      </c>
      <c r="K46" s="1799">
        <f>'Part I-Project Information'!K23</f>
        <v>0</v>
      </c>
      <c r="L46" s="1334" t="s">
        <v>1719</v>
      </c>
      <c r="M46" s="1334">
        <f>'Part I-Project Information'!M23</f>
        <v>703</v>
      </c>
      <c r="N46" s="1337" t="s">
        <v>1721</v>
      </c>
      <c r="O46" s="1799">
        <f>'Part I-Project Information'!O23</f>
        <v>0</v>
      </c>
      <c r="P46" s="1799">
        <f>'Part I-Project Information'!P23</f>
        <v>0</v>
      </c>
    </row>
    <row r="47" spans="1:16">
      <c r="A47" s="1330"/>
      <c r="B47" s="1337" t="s">
        <v>1985</v>
      </c>
      <c r="C47" s="1330"/>
      <c r="D47" s="1330"/>
      <c r="E47" s="1330"/>
      <c r="F47" s="1330" t="str">
        <f>'Part I-Project Information'!F24</f>
        <v>billrea@reaventures.com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4042731892</v>
      </c>
      <c r="P47" s="1799">
        <f>'Part I-Project Information'!P24</f>
        <v>0</v>
      </c>
    </row>
    <row r="48" spans="1:16">
      <c r="A48" s="1334"/>
      <c r="B48" s="1330" t="s">
        <v>4475</v>
      </c>
      <c r="C48" s="1336"/>
      <c r="D48" s="1330"/>
      <c r="E48" s="1330"/>
      <c r="F48" s="1330"/>
      <c r="G48" s="1330"/>
      <c r="H48" s="1334"/>
      <c r="I48" s="1330"/>
      <c r="J48" s="1336"/>
      <c r="K48" s="1330"/>
      <c r="L48" s="1330"/>
      <c r="M48" s="1330"/>
      <c r="N48" s="1330"/>
      <c r="O48" s="1330"/>
      <c r="P48" s="1343"/>
    </row>
    <row r="49" spans="1:16">
      <c r="A49" s="1330"/>
      <c r="B49" s="1330" t="s">
        <v>3875</v>
      </c>
      <c r="C49" s="1330"/>
      <c r="D49" s="1330"/>
      <c r="E49" s="1330"/>
      <c r="F49" s="1330" t="str">
        <f>'Part I-Project Information'!F26</f>
        <v>Rea Ventures Group, LLC</v>
      </c>
      <c r="G49" s="1330">
        <f>'Part I-Project Information'!G26</f>
        <v>0</v>
      </c>
      <c r="H49" s="1330">
        <f>'Part I-Project Information'!H26</f>
        <v>0</v>
      </c>
      <c r="I49" s="1330" t="s">
        <v>1797</v>
      </c>
      <c r="J49" s="1330" t="str">
        <f>'Part I-Project Information'!J26</f>
        <v>Sean Brady</v>
      </c>
      <c r="K49" s="1330">
        <f>'Part I-Project Information'!K26</f>
        <v>0</v>
      </c>
      <c r="L49" s="1330">
        <f>'Part I-Project Information'!L26</f>
        <v>0</v>
      </c>
      <c r="M49" s="1337" t="s">
        <v>1981</v>
      </c>
      <c r="N49" s="1330" t="str">
        <f>'Part I-Project Information'!N26</f>
        <v>Vice President of Development</v>
      </c>
      <c r="O49" s="1330">
        <f>'Part I-Project Information'!O26</f>
        <v>0</v>
      </c>
      <c r="P49" s="1330">
        <f>'Part I-Project Information'!P26</f>
        <v>0</v>
      </c>
    </row>
    <row r="50" spans="1:16" ht="12.75" customHeight="1">
      <c r="A50" s="1330"/>
      <c r="B50" s="1337" t="s">
        <v>1982</v>
      </c>
      <c r="C50" s="1330"/>
      <c r="D50" s="1330"/>
      <c r="E50" s="1330"/>
      <c r="F50" s="1330" t="str">
        <f>'Part I-Project Information'!F27</f>
        <v>2964 Peachtree Road NW, Suite 200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3874</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c r="A52" s="1330"/>
      <c r="B52" s="1337" t="s">
        <v>2230</v>
      </c>
      <c r="C52" s="1330"/>
      <c r="D52" s="1330"/>
      <c r="E52" s="1330"/>
      <c r="F52" s="1798">
        <f>'Part I-Project Information'!F29</f>
        <v>303052119</v>
      </c>
      <c r="G52" s="1798">
        <f>'Part I-Project Information'!G29</f>
        <v>0</v>
      </c>
      <c r="H52" s="1798">
        <f>'Part I-Project Information'!H29</f>
        <v>0</v>
      </c>
      <c r="I52" s="1337" t="s">
        <v>1720</v>
      </c>
      <c r="J52" s="1799">
        <f>'Part I-Project Information'!J29</f>
        <v>4042504093</v>
      </c>
      <c r="K52" s="1799">
        <f>'Part I-Project Information'!K29</f>
        <v>0</v>
      </c>
      <c r="L52" s="1334" t="s">
        <v>1719</v>
      </c>
      <c r="M52" s="1334">
        <f>'Part I-Project Information'!M29</f>
        <v>704</v>
      </c>
      <c r="N52" s="1337" t="s">
        <v>1721</v>
      </c>
      <c r="O52" s="1799">
        <f>'Part I-Project Information'!O29</f>
        <v>0</v>
      </c>
      <c r="P52" s="1799">
        <f>'Part I-Project Information'!P29</f>
        <v>0</v>
      </c>
    </row>
    <row r="53" spans="1:16">
      <c r="A53" s="1330"/>
      <c r="B53" s="1337" t="s">
        <v>1985</v>
      </c>
      <c r="C53" s="1330"/>
      <c r="D53" s="1330"/>
      <c r="E53" s="1330"/>
      <c r="F53" s="1330" t="str">
        <f>'Part I-Project Information'!F30</f>
        <v>seanbrady@reaventures.com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6785917002</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Abbington Sound</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c r="A58" s="1340"/>
      <c r="B58" s="1330" t="s">
        <v>2700</v>
      </c>
      <c r="C58" s="1330"/>
      <c r="D58" s="1340"/>
      <c r="E58" s="1330"/>
      <c r="F58" s="1706" t="str">
        <f>'Part I-Project Information'!F35</f>
        <v>1455 Winding Road</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c r="A59" s="1340"/>
      <c r="B59" s="1330" t="s">
        <v>5086</v>
      </c>
      <c r="C59" s="1330"/>
      <c r="D59" s="1340"/>
      <c r="E59" s="1330"/>
      <c r="F59" s="1706" t="str">
        <f>'Part I-Project Information'!F36</f>
        <v>715 Winding Road</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3679</v>
      </c>
      <c r="P59" s="1334">
        <f>'Part I-Project Information'!P36</f>
        <v>0</v>
      </c>
    </row>
    <row r="60" spans="1:16">
      <c r="A60" s="1340"/>
      <c r="B60" s="1330" t="s">
        <v>3733</v>
      </c>
      <c r="C60" s="1330"/>
      <c r="D60" s="1340"/>
      <c r="E60" s="1330"/>
      <c r="F60" s="1330" t="s">
        <v>3714</v>
      </c>
      <c r="G60" s="1800">
        <f>'Part I-Project Information'!G37</f>
        <v>30.797778999999998</v>
      </c>
      <c r="H60" s="1800">
        <f>'Part I-Project Information'!H37</f>
        <v>0</v>
      </c>
      <c r="I60" s="1334" t="s">
        <v>3715</v>
      </c>
      <c r="J60" s="1800">
        <f>'Part I-Project Information'!J37</f>
        <v>-81.611445000000003</v>
      </c>
      <c r="K60" s="1800">
        <f>'Part I-Project Information'!K37</f>
        <v>0</v>
      </c>
      <c r="L60" s="1337" t="s">
        <v>2284</v>
      </c>
      <c r="M60" s="1330"/>
      <c r="N60" s="1330"/>
      <c r="O60" s="1801">
        <f>'Part I-Project Information'!O37</f>
        <v>8.1300000000000008</v>
      </c>
      <c r="P60" s="1801">
        <f>'Part I-Project Information'!P37</f>
        <v>0</v>
      </c>
    </row>
    <row r="61" spans="1:16" ht="16.5">
      <c r="A61" s="1334"/>
      <c r="B61" s="1330" t="s">
        <v>618</v>
      </c>
      <c r="C61" s="1330"/>
      <c r="D61" s="1330"/>
      <c r="E61" s="1330"/>
      <c r="F61" s="1330" t="str">
        <f>'Part I-Project Information'!F38</f>
        <v>Kingsland</v>
      </c>
      <c r="G61" s="1330">
        <f>'Part I-Project Information'!G38</f>
        <v>0</v>
      </c>
      <c r="H61" s="1330">
        <f>'Part I-Project Information'!H38</f>
        <v>0</v>
      </c>
      <c r="I61" s="1344" t="s">
        <v>5328</v>
      </c>
      <c r="J61" s="1798">
        <f>'Part I-Project Information'!J38</f>
        <v>315480000</v>
      </c>
      <c r="K61" s="1798">
        <f>'Part I-Project Information'!K38</f>
        <v>0</v>
      </c>
      <c r="L61" s="1330" t="str">
        <f>IF(AND(NOT(F57=""),NOT(F61="Select from list"),J61=""),"Enter Zip!","")</f>
        <v/>
      </c>
      <c r="M61" s="1345" t="s">
        <v>2906</v>
      </c>
      <c r="N61" s="1330"/>
      <c r="O61" s="1802" t="str">
        <f>'Part I-Project Information'!O38</f>
        <v>13039010401</v>
      </c>
      <c r="P61" s="1803">
        <f>'Part I-Project Information'!P38</f>
        <v>0</v>
      </c>
    </row>
    <row r="62" spans="1:16">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Camden</v>
      </c>
      <c r="K62" s="1706"/>
      <c r="L62" s="1330"/>
      <c r="M62" s="1337" t="s">
        <v>451</v>
      </c>
      <c r="N62" s="1347" t="str">
        <f>'Part I-Project Information'!N39</f>
        <v>No</v>
      </c>
      <c r="O62" s="1334" t="s">
        <v>452</v>
      </c>
      <c r="P62" s="1347" t="str">
        <f>'Part I-Project Information'!P39</f>
        <v>Yes</v>
      </c>
    </row>
    <row r="63" spans="1:16">
      <c r="A63" s="1334"/>
      <c r="B63" s="1330"/>
      <c r="C63" s="1330" t="s">
        <v>1558</v>
      </c>
      <c r="D63" s="1330"/>
      <c r="E63" s="1330"/>
      <c r="F63" s="1337" t="str">
        <f>'Part I-Project Information'!F40</f>
        <v>Yes</v>
      </c>
      <c r="G63" s="1330" t="s">
        <v>2782</v>
      </c>
      <c r="H63" s="1330"/>
      <c r="I63" s="1334" t="str">
        <f>'Part I-Project Information'!I40</f>
        <v>Yes</v>
      </c>
      <c r="J63" s="1334" t="s">
        <v>2802</v>
      </c>
      <c r="K63" s="1334" t="str">
        <f>'Part I-Project Information'!K40</f>
        <v>Rural</v>
      </c>
      <c r="L63" s="1330"/>
      <c r="M63" s="1337" t="s">
        <v>2612</v>
      </c>
      <c r="N63" s="1334" t="str">
        <f>'Part I-Project Information'!N40</f>
        <v>Non-MSA</v>
      </c>
      <c r="O63" s="1330" t="str">
        <f>'Part I-Project Information'!O40</f>
        <v>Camden Co.</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5329</v>
      </c>
      <c r="D65" s="1330"/>
      <c r="E65" s="1330"/>
      <c r="F65" s="1348" t="s">
        <v>2763</v>
      </c>
      <c r="G65" s="1348"/>
      <c r="H65" s="1330" t="s">
        <v>736</v>
      </c>
      <c r="I65" s="1330"/>
      <c r="J65" s="1330" t="s">
        <v>737</v>
      </c>
      <c r="K65" s="1330"/>
      <c r="L65" s="1470" t="s">
        <v>5330</v>
      </c>
      <c r="M65" s="1330"/>
      <c r="N65" s="1330"/>
      <c r="O65" s="1330"/>
      <c r="P65" s="1330"/>
    </row>
    <row r="66" spans="1:16">
      <c r="A66" s="1334"/>
      <c r="B66" s="1330" t="s">
        <v>5087</v>
      </c>
      <c r="C66" s="1330"/>
      <c r="D66" s="1330"/>
      <c r="E66" s="1330"/>
      <c r="F66" s="1804">
        <f>'Part I-Project Information'!F43</f>
        <v>1</v>
      </c>
      <c r="G66" s="1804">
        <f>'Part I-Project Information'!G43</f>
        <v>0</v>
      </c>
      <c r="H66" s="1804">
        <f>'Part I-Project Information'!H43</f>
        <v>3</v>
      </c>
      <c r="I66" s="1804">
        <f>'Part I-Project Information'!I43</f>
        <v>0</v>
      </c>
      <c r="J66" s="1804">
        <f>'Part I-Project Information'!J43</f>
        <v>174</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City of Kingsland</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www.kingslandgeorgia.com</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Dr. C. Grayson Day</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c r="A71" s="1334"/>
      <c r="B71" s="1330" t="s">
        <v>1982</v>
      </c>
      <c r="C71" s="1330"/>
      <c r="D71" s="1330"/>
      <c r="E71" s="1330"/>
      <c r="F71" s="1462" t="str">
        <f>'Part I-Project Information'!F48</f>
        <v>107 South Lee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Kingsland</v>
      </c>
      <c r="N71" s="1462">
        <f>'Part I-Project Information'!N48</f>
        <v>0</v>
      </c>
      <c r="O71" s="1462">
        <f>'Part I-Project Information'!O48</f>
        <v>0</v>
      </c>
      <c r="P71" s="1462">
        <f>'Part I-Project Information'!P48</f>
        <v>0</v>
      </c>
    </row>
    <row r="72" spans="1:16">
      <c r="A72" s="1334"/>
      <c r="B72" s="1337" t="s">
        <v>2230</v>
      </c>
      <c r="C72" s="1330"/>
      <c r="D72" s="1330"/>
      <c r="E72" s="1330"/>
      <c r="F72" s="1798">
        <f>'Part I-Project Information'!F49</f>
        <v>315480000</v>
      </c>
      <c r="G72" s="1798">
        <f>'Part I-Project Information'!G49</f>
        <v>0</v>
      </c>
      <c r="H72" s="1334" t="s">
        <v>1983</v>
      </c>
      <c r="I72" s="1799">
        <f>'Part I-Project Information'!I49</f>
        <v>9127295613</v>
      </c>
      <c r="J72" s="1799">
        <f>'Part I-Project Information'!J49</f>
        <v>0</v>
      </c>
      <c r="K72" s="1799">
        <f>'Part I-Project Information'!K49</f>
        <v>0</v>
      </c>
      <c r="L72" s="1337" t="s">
        <v>1800</v>
      </c>
      <c r="M72" s="1462" t="str">
        <f>'Part I-Project Information'!M49</f>
        <v>gday@kingslandgeorgia.co</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1984</v>
      </c>
      <c r="C76" s="1330" t="s">
        <v>5088</v>
      </c>
      <c r="D76" s="1330"/>
      <c r="E76" s="1330"/>
      <c r="F76" s="1330"/>
      <c r="G76" s="1330"/>
      <c r="H76" s="1330"/>
      <c r="I76" s="1330"/>
      <c r="J76" s="1330"/>
      <c r="K76" s="1335"/>
      <c r="L76" s="1330"/>
      <c r="M76" s="1350"/>
      <c r="N76" s="1350"/>
      <c r="O76" s="1350"/>
      <c r="P76" s="1350"/>
    </row>
    <row r="77" spans="1:16" ht="13.5">
      <c r="A77" s="1336"/>
      <c r="B77" s="1334"/>
      <c r="C77" s="1330" t="s">
        <v>2296</v>
      </c>
      <c r="D77" s="1330"/>
      <c r="E77" s="1330"/>
      <c r="F77" s="1336"/>
      <c r="G77" s="1336"/>
      <c r="H77" s="1355">
        <f>'Part VI-Revenues &amp; Expenses'!$O$103</f>
        <v>84</v>
      </c>
      <c r="I77" s="1336"/>
      <c r="J77" s="1336"/>
      <c r="K77" s="1337" t="s">
        <v>3671</v>
      </c>
      <c r="L77" s="1330"/>
      <c r="M77" s="1356" t="s">
        <v>3670</v>
      </c>
      <c r="N77" s="1355">
        <f>'Part VI-Revenues &amp; Expenses'!$O$110</f>
        <v>0</v>
      </c>
      <c r="O77" s="1357" t="s">
        <v>3357</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2277</v>
      </c>
      <c r="D83" s="1330"/>
      <c r="E83" s="1330"/>
      <c r="F83" s="1330"/>
      <c r="G83" s="1330"/>
      <c r="H83" s="1330"/>
      <c r="I83" s="1361" t="s">
        <v>3564</v>
      </c>
      <c r="J83" s="1340" t="s">
        <v>2116</v>
      </c>
      <c r="K83" s="1336" t="s">
        <v>2303</v>
      </c>
      <c r="L83" s="1330"/>
      <c r="M83" s="1330"/>
      <c r="N83" s="1330"/>
      <c r="O83" s="1330"/>
      <c r="P83" s="1334"/>
    </row>
    <row r="84" spans="1:16">
      <c r="A84" s="1334"/>
      <c r="B84" s="1363"/>
      <c r="C84" s="1336" t="s">
        <v>2278</v>
      </c>
      <c r="D84" s="1330"/>
      <c r="E84" s="1330"/>
      <c r="F84" s="1330"/>
      <c r="G84" s="1330"/>
      <c r="H84" s="1364">
        <f>SUM(H85:H91)</f>
        <v>84</v>
      </c>
      <c r="I84" s="1364">
        <f>SUM(I85:I91)</f>
        <v>0</v>
      </c>
      <c r="J84" s="1334"/>
      <c r="K84" s="1336" t="s">
        <v>2774</v>
      </c>
      <c r="L84" s="1330"/>
      <c r="M84" s="1330"/>
      <c r="N84" s="1330"/>
      <c r="O84" s="1330"/>
      <c r="P84" s="1364">
        <f>SUM(P85:P91)</f>
        <v>90300</v>
      </c>
    </row>
    <row r="85" spans="1:16">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c r="A87" s="1334"/>
      <c r="B87" s="1336"/>
      <c r="C87" s="1330"/>
      <c r="D87" s="1348" t="s">
        <v>4708</v>
      </c>
      <c r="E87" s="1348"/>
      <c r="F87" s="1330"/>
      <c r="G87" s="1330"/>
      <c r="H87" s="1364">
        <f>'Part VI-Revenues &amp; Expenses'!$O58</f>
        <v>63</v>
      </c>
      <c r="I87" s="1364">
        <f>'Part VI-Revenues &amp; Expenses'!$O83</f>
        <v>0</v>
      </c>
      <c r="J87" s="1330"/>
      <c r="K87" s="1330"/>
      <c r="L87" s="1348" t="s">
        <v>4708</v>
      </c>
      <c r="M87" s="1330"/>
      <c r="N87" s="1330"/>
      <c r="O87" s="1330"/>
      <c r="P87" s="1364">
        <f>'Part VI-Revenues &amp; Expenses'!$O147</f>
        <v>67725</v>
      </c>
    </row>
    <row r="88" spans="1:16">
      <c r="A88" s="1334"/>
      <c r="B88" s="1330"/>
      <c r="C88" s="1330"/>
      <c r="D88" s="1348" t="s">
        <v>4709</v>
      </c>
      <c r="E88" s="1330"/>
      <c r="F88" s="1330"/>
      <c r="G88" s="1330"/>
      <c r="H88" s="1364">
        <f>'Part VI-Revenues &amp; Expenses'!$O59</f>
        <v>21</v>
      </c>
      <c r="I88" s="1364">
        <f>'Part VI-Revenues &amp; Expenses'!$O84</f>
        <v>0</v>
      </c>
      <c r="J88" s="1330"/>
      <c r="K88" s="1330"/>
      <c r="L88" s="1348" t="s">
        <v>4709</v>
      </c>
      <c r="M88" s="1330"/>
      <c r="N88" s="1330"/>
      <c r="O88" s="1330"/>
      <c r="P88" s="1364">
        <f>'Part VI-Revenues &amp; Expenses'!$O148</f>
        <v>22575</v>
      </c>
    </row>
    <row r="89" spans="1:16">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c r="A93" s="1334"/>
      <c r="B93" s="1330"/>
      <c r="C93" s="1336" t="s">
        <v>2408</v>
      </c>
      <c r="D93" s="1330"/>
      <c r="E93" s="1330"/>
      <c r="F93" s="1330"/>
      <c r="G93" s="1330"/>
      <c r="H93" s="1364">
        <f>H84+H92</f>
        <v>84</v>
      </c>
      <c r="I93" s="1330"/>
      <c r="J93" s="1334"/>
      <c r="K93" s="1336" t="s">
        <v>2776</v>
      </c>
      <c r="L93" s="1330"/>
      <c r="M93" s="1330"/>
      <c r="N93" s="1330"/>
      <c r="O93" s="1330"/>
      <c r="P93" s="1364">
        <f>P84+P92</f>
        <v>90300</v>
      </c>
    </row>
    <row r="94" spans="1:16">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c r="A95" s="1334"/>
      <c r="B95" s="1330"/>
      <c r="C95" s="1336" t="s">
        <v>1793</v>
      </c>
      <c r="D95" s="1330"/>
      <c r="E95" s="1330"/>
      <c r="F95" s="1330"/>
      <c r="G95" s="1330"/>
      <c r="H95" s="1364">
        <f>+H93+H94</f>
        <v>84</v>
      </c>
      <c r="I95" s="1330"/>
      <c r="J95" s="1330"/>
      <c r="K95" s="1336" t="s">
        <v>1420</v>
      </c>
      <c r="L95" s="1330"/>
      <c r="M95" s="1330"/>
      <c r="N95" s="1330"/>
      <c r="O95" s="1330"/>
      <c r="P95" s="1364">
        <f>+P93+P94</f>
        <v>90300</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2298</v>
      </c>
      <c r="D97" s="1348" t="s">
        <v>1997</v>
      </c>
      <c r="E97" s="1330"/>
      <c r="F97" s="1330"/>
      <c r="G97" s="1330"/>
      <c r="H97" s="1364">
        <f>'Part I-Project Information'!H74</f>
        <v>4</v>
      </c>
      <c r="I97" s="1330"/>
      <c r="J97" s="1330"/>
      <c r="K97" s="1336" t="s">
        <v>5331</v>
      </c>
      <c r="L97" s="1330"/>
      <c r="M97" s="1330"/>
      <c r="N97" s="1330"/>
      <c r="O97" s="1330"/>
      <c r="P97" s="1364">
        <f>'Part I-Project Information'!P74</f>
        <v>3510</v>
      </c>
    </row>
    <row r="98" spans="1:16">
      <c r="A98" s="1334"/>
      <c r="B98" s="1334"/>
      <c r="C98" s="1330"/>
      <c r="D98" s="1363" t="s">
        <v>1998</v>
      </c>
      <c r="E98" s="1330"/>
      <c r="F98" s="1330"/>
      <c r="G98" s="1330"/>
      <c r="H98" s="1364">
        <f>'Part I-Project Information'!H75</f>
        <v>1</v>
      </c>
      <c r="I98" s="1330"/>
      <c r="J98" s="1330"/>
      <c r="K98" s="1336" t="s">
        <v>252</v>
      </c>
      <c r="L98" s="1330"/>
      <c r="M98" s="1330"/>
      <c r="N98" s="1330"/>
      <c r="O98" s="1330"/>
      <c r="P98" s="1364">
        <f>+P95+P97</f>
        <v>93810</v>
      </c>
    </row>
    <row r="99" spans="1:16">
      <c r="A99" s="1334"/>
      <c r="B99" s="1334"/>
      <c r="C99" s="1330"/>
      <c r="D99" s="1363" t="s">
        <v>1999</v>
      </c>
      <c r="E99" s="1330"/>
      <c r="F99" s="1330"/>
      <c r="G99" s="1330"/>
      <c r="H99" s="1364">
        <f>+H97+H98</f>
        <v>5</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147</v>
      </c>
      <c r="I101" s="1330"/>
      <c r="J101" s="1330"/>
      <c r="K101" s="1365" t="s">
        <v>3850</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1984</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4957</v>
      </c>
      <c r="L107" s="1368" t="s">
        <v>2911</v>
      </c>
      <c r="M107" s="1364">
        <f>'Part I-Project Information'!M84</f>
        <v>72</v>
      </c>
      <c r="N107" s="1368" t="s">
        <v>2912</v>
      </c>
      <c r="O107" s="1364">
        <f>'Part I-Project Information'!O84</f>
        <v>0</v>
      </c>
      <c r="P107" s="1337" t="s">
        <v>4956</v>
      </c>
    </row>
    <row r="108" spans="1:16">
      <c r="A108" s="1334"/>
      <c r="B108" s="1334"/>
      <c r="C108" s="1330"/>
      <c r="D108" s="1337"/>
      <c r="E108" s="1363"/>
      <c r="F108" s="1330"/>
      <c r="G108" s="1330"/>
      <c r="H108" s="1330"/>
      <c r="I108" s="1330"/>
      <c r="J108" s="1365"/>
      <c r="K108" s="1365"/>
      <c r="L108" s="1340" t="s">
        <v>2913</v>
      </c>
      <c r="M108" s="1364">
        <f>'Part I-Project Information'!M85</f>
        <v>0</v>
      </c>
      <c r="N108" s="1340" t="s">
        <v>3870</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4864</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1984</v>
      </c>
      <c r="C117" s="1337" t="s">
        <v>2377</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1986</v>
      </c>
      <c r="C119" s="1330" t="s">
        <v>1534</v>
      </c>
      <c r="D119" s="1330"/>
      <c r="E119" s="1330"/>
      <c r="F119" s="1330"/>
      <c r="G119" s="1330"/>
      <c r="H119" s="1330"/>
      <c r="I119" s="1330"/>
      <c r="J119" s="1330"/>
      <c r="K119" s="1337" t="s">
        <v>4932</v>
      </c>
      <c r="L119" s="1330"/>
      <c r="M119" s="1330"/>
      <c r="N119" s="3115"/>
      <c r="O119" s="1330"/>
      <c r="P119" s="1334" t="str">
        <f>'Part I-Project Information'!P96</f>
        <v>N/a</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2042</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1984</v>
      </c>
      <c r="C123" s="1330" t="s">
        <v>2709</v>
      </c>
      <c r="D123" s="1330"/>
      <c r="E123" s="1330"/>
      <c r="F123" s="1348" t="s">
        <v>2601</v>
      </c>
      <c r="G123" s="1330"/>
      <c r="H123" s="1334" t="str">
        <f>'Part I-Project Information'!H100</f>
        <v>No</v>
      </c>
      <c r="I123" s="1330"/>
      <c r="J123" s="1330"/>
      <c r="K123" s="1337" t="s">
        <v>3888</v>
      </c>
      <c r="L123" s="1330"/>
      <c r="M123" s="1330"/>
      <c r="N123" s="1330"/>
      <c r="O123" s="1330"/>
      <c r="P123" s="1334" t="str">
        <f>'Part I-Project Information'!P100</f>
        <v>No</v>
      </c>
    </row>
    <row r="124" spans="1:16">
      <c r="A124" s="1336"/>
      <c r="B124" s="1334"/>
      <c r="C124" s="1330"/>
      <c r="D124" s="1330"/>
      <c r="E124" s="1330"/>
      <c r="F124" s="1363" t="s">
        <v>3894</v>
      </c>
      <c r="G124" s="1330"/>
      <c r="H124" s="1334" t="str">
        <f>'Part I-Project Information'!H101</f>
        <v>No</v>
      </c>
      <c r="I124" s="1330"/>
      <c r="J124" s="1330"/>
      <c r="K124" s="1337" t="s">
        <v>4724</v>
      </c>
      <c r="L124" s="1330"/>
      <c r="M124" s="1330"/>
      <c r="N124" s="1330"/>
      <c r="O124" s="1330"/>
      <c r="P124" s="1334" t="str">
        <f>'Part I-Project Information'!P101</f>
        <v>Yes</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1986</v>
      </c>
      <c r="C126" s="1330" t="s">
        <v>2710</v>
      </c>
      <c r="D126" s="1330"/>
      <c r="E126" s="1330"/>
      <c r="F126" s="1337" t="s">
        <v>2680</v>
      </c>
      <c r="G126" s="1330"/>
      <c r="H126" s="1334" t="str">
        <f>'Part I-Project Information'!H103</f>
        <v>No</v>
      </c>
      <c r="I126" s="1372" t="s">
        <v>2711</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2784</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3661</v>
      </c>
      <c r="N134" s="1336"/>
      <c r="O134" s="1449">
        <f>'Part I-Project Information'!O111</f>
        <v>0</v>
      </c>
      <c r="P134" s="1449">
        <f>'Part I-Project Information'!P111</f>
        <v>0</v>
      </c>
    </row>
    <row r="135" spans="1:16">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2154</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1984</v>
      </c>
      <c r="C142" s="1363" t="s">
        <v>1412</v>
      </c>
      <c r="D142" s="1363"/>
      <c r="E142" s="1363"/>
      <c r="F142" s="1334"/>
      <c r="G142" s="1334"/>
      <c r="H142" s="1344">
        <f>'Part I-Project Information'!H119</f>
        <v>2</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1986</v>
      </c>
      <c r="C144" s="1363" t="s">
        <v>416</v>
      </c>
      <c r="D144" s="1363"/>
      <c r="E144" s="1363"/>
      <c r="F144" s="1334"/>
      <c r="G144" s="1334"/>
      <c r="H144" s="1807">
        <f>'Part I-Project Information'!H121</f>
        <v>1536354</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5">
      <c r="A148" s="1334"/>
      <c r="B148" s="1334"/>
      <c r="C148" s="1393" t="str">
        <f>'Part I-Project Information'!C125</f>
        <v>1 - Rea GP Holdings Group II / Rea Ventures Group</v>
      </c>
      <c r="D148" s="1393">
        <f>'Part I-Project Information'!D125</f>
        <v>0</v>
      </c>
      <c r="E148" s="1393">
        <f>'Part I-Project Information'!E125</f>
        <v>0</v>
      </c>
      <c r="F148" s="1393" t="str">
        <f>'Part I-Project Information'!F125</f>
        <v>Abbington at Ormewood Park</v>
      </c>
      <c r="G148" s="1393">
        <f>'Part I-Project Information'!G125</f>
        <v>0</v>
      </c>
      <c r="H148" s="1393">
        <f>'Part I-Project Information'!H125</f>
        <v>0</v>
      </c>
      <c r="I148" s="1816" t="str">
        <f>'Part I-Project Information'!I125</f>
        <v>Direct</v>
      </c>
      <c r="J148" s="1393" t="str">
        <f>'Part I-Project Information'!J125</f>
        <v>7 - Sean Brady</v>
      </c>
      <c r="K148" s="1393">
        <f>'Part I-Project Information'!K125</f>
        <v>0</v>
      </c>
      <c r="L148" s="1393">
        <f>'Part I-Project Information'!L125</f>
        <v>0</v>
      </c>
      <c r="M148" s="1393" t="str">
        <f>'Part I-Project Information'!M125</f>
        <v>Abbington at Ormewood Park</v>
      </c>
      <c r="N148" s="1393">
        <f>'Part I-Project Information'!N125</f>
        <v>0</v>
      </c>
      <c r="O148" s="1393">
        <f>'Part I-Project Information'!O125</f>
        <v>0</v>
      </c>
      <c r="P148" s="1816" t="str">
        <f>'Part I-Project Information'!P125</f>
        <v>Direct</v>
      </c>
    </row>
    <row r="149" spans="1:16" ht="13.5">
      <c r="A149" s="1334"/>
      <c r="B149" s="1334"/>
      <c r="C149" s="1393">
        <f>'Part I-Project Information'!C126</f>
        <v>2</v>
      </c>
      <c r="D149" s="1393">
        <f>'Part I-Project Information'!D126</f>
        <v>0</v>
      </c>
      <c r="E149" s="1393">
        <f>'Part I-Project Information'!E126</f>
        <v>0</v>
      </c>
      <c r="F149" s="1393" t="str">
        <f>'Part I-Project Information'!F126</f>
        <v>Abbington Sound</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t="str">
        <f>'Part I-Project Information'!M126</f>
        <v>Abbington Sound</v>
      </c>
      <c r="N149" s="1393">
        <f>'Part I-Project Information'!N126</f>
        <v>0</v>
      </c>
      <c r="O149" s="1393">
        <f>'Part I-Project Information'!O126</f>
        <v>0</v>
      </c>
      <c r="P149" s="1816" t="str">
        <f>'Part I-Project Information'!P126</f>
        <v>Direct</v>
      </c>
    </row>
    <row r="150" spans="1:16" ht="13.5">
      <c r="A150" s="1334"/>
      <c r="B150" s="1334"/>
      <c r="C150" s="1393" t="str">
        <f>'Part I-Project Information'!C127</f>
        <v>3 -  W.J. Rea / E. Buffenbarger / G. Coogle III</v>
      </c>
      <c r="D150" s="1393">
        <f>'Part I-Project Information'!D127</f>
        <v>0</v>
      </c>
      <c r="E150" s="1393">
        <f>'Part I-Project Information'!E127</f>
        <v>0</v>
      </c>
      <c r="F150" s="1393" t="str">
        <f>'Part I-Project Information'!F127</f>
        <v>Abbington at Ormewood Park</v>
      </c>
      <c r="G150" s="1393">
        <f>'Part I-Project Information'!G127</f>
        <v>0</v>
      </c>
      <c r="H150" s="1393">
        <f>'Part I-Project Information'!H127</f>
        <v>0</v>
      </c>
      <c r="I150" s="1816" t="str">
        <f>'Part I-Project Information'!I127</f>
        <v>Direct</v>
      </c>
      <c r="J150" s="1393" t="str">
        <f>'Part I-Project Information'!J127</f>
        <v>9 - Paladin, Inc.</v>
      </c>
      <c r="K150" s="1393">
        <f>'Part I-Project Information'!K127</f>
        <v>0</v>
      </c>
      <c r="L150" s="1393">
        <f>'Part I-Project Information'!L127</f>
        <v>0</v>
      </c>
      <c r="M150" s="1393" t="str">
        <f>'Part I-Project Information'!M127</f>
        <v>Abbington Sound</v>
      </c>
      <c r="N150" s="1393">
        <f>'Part I-Project Information'!N127</f>
        <v>0</v>
      </c>
      <c r="O150" s="1393">
        <f>'Part I-Project Information'!O127</f>
        <v>0</v>
      </c>
      <c r="P150" s="1816" t="str">
        <f>'Part I-Project Information'!P127</f>
        <v>Direct</v>
      </c>
    </row>
    <row r="151" spans="1:16" ht="13.5">
      <c r="A151" s="1334"/>
      <c r="B151" s="1334"/>
      <c r="C151" s="1393">
        <f>'Part I-Project Information'!C128</f>
        <v>4</v>
      </c>
      <c r="D151" s="1393">
        <f>'Part I-Project Information'!D128</f>
        <v>0</v>
      </c>
      <c r="E151" s="1393">
        <f>'Part I-Project Information'!E128</f>
        <v>0</v>
      </c>
      <c r="F151" s="1393" t="str">
        <f>'Part I-Project Information'!F128</f>
        <v>Abbington Sound</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t="str">
        <f>'Part I-Project Information'!M128</f>
        <v>Legacy Villas</v>
      </c>
      <c r="N151" s="1393">
        <f>'Part I-Project Information'!N128</f>
        <v>0</v>
      </c>
      <c r="O151" s="1393">
        <f>'Part I-Project Information'!O128</f>
        <v>0</v>
      </c>
      <c r="P151" s="1816" t="str">
        <f>'Part I-Project Information'!P128</f>
        <v>Direct</v>
      </c>
    </row>
    <row r="152" spans="1:16" ht="13.5">
      <c r="A152" s="1334"/>
      <c r="B152" s="1334"/>
      <c r="C152" s="1393" t="str">
        <f>'Part I-Project Information'!C129</f>
        <v>5 -  Brady Communities / Brady Development</v>
      </c>
      <c r="D152" s="1393">
        <f>'Part I-Project Information'!D129</f>
        <v>0</v>
      </c>
      <c r="E152" s="1393">
        <f>'Part I-Project Information'!E129</f>
        <v>0</v>
      </c>
      <c r="F152" s="1393" t="str">
        <f>'Part I-Project Information'!F129</f>
        <v>Abbington at Ormewood Park</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t="str">
        <f>'Part I-Project Information'!F130</f>
        <v>Abbington Sound</v>
      </c>
      <c r="G153" s="1393">
        <f>'Part I-Project Information'!G130</f>
        <v>0</v>
      </c>
      <c r="H153" s="1393">
        <f>'Part I-Project Information'!H130</f>
        <v>0</v>
      </c>
      <c r="I153" s="1816" t="str">
        <f>'Part I-Project Information'!I130</f>
        <v>Direct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5089</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1986</v>
      </c>
      <c r="C175" s="1439" t="s">
        <v>2702</v>
      </c>
      <c r="D175" s="1363"/>
      <c r="E175" s="1348" t="s">
        <v>5332</v>
      </c>
      <c r="F175" s="1348"/>
      <c r="G175" s="1348"/>
      <c r="H175" s="1330"/>
      <c r="I175" s="1344">
        <f>'Part I-Project Information'!I152</f>
        <v>0</v>
      </c>
      <c r="J175" s="1330"/>
      <c r="K175" s="1348" t="s">
        <v>5050</v>
      </c>
      <c r="L175" s="1348"/>
      <c r="M175" s="1348"/>
      <c r="N175" s="1330"/>
      <c r="O175" s="1344">
        <f>'Part I-Project Information'!O152</f>
        <v>0</v>
      </c>
      <c r="P175" s="1343"/>
    </row>
    <row r="176" spans="1:16">
      <c r="A176" s="1334"/>
      <c r="B176" s="1330"/>
      <c r="C176" s="1363"/>
      <c r="D176" s="1363"/>
      <c r="E176" s="1348" t="s">
        <v>5333</v>
      </c>
      <c r="F176" s="1348"/>
      <c r="G176" s="1348"/>
      <c r="H176" s="1330"/>
      <c r="I176" s="1344">
        <f>'Part I-Project Information'!I153</f>
        <v>0</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5047</v>
      </c>
      <c r="D178" s="1363"/>
      <c r="E178" s="1363"/>
      <c r="F178" s="1334"/>
      <c r="G178" s="1330"/>
      <c r="H178" s="1330"/>
      <c r="I178" s="1344">
        <f>'Part I-Project Information'!I155</f>
        <v>0</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1984</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f>'Part I-Project Information'!I160</f>
        <v>0</v>
      </c>
      <c r="J183" s="1330"/>
      <c r="K183" s="1330"/>
      <c r="L183" s="1330"/>
      <c r="M183" s="1330"/>
      <c r="N183" s="1330"/>
      <c r="O183" s="1330"/>
      <c r="P183" s="1343"/>
    </row>
    <row r="184" spans="1:16" ht="12.75" customHeight="1">
      <c r="A184" s="1334"/>
      <c r="B184" s="1334"/>
      <c r="C184" s="1365" t="s">
        <v>5080</v>
      </c>
      <c r="D184" s="1365"/>
      <c r="E184" s="1365"/>
      <c r="F184" s="1365"/>
      <c r="G184" s="1330" t="s">
        <v>4777</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4776</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4778</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4723</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4779</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1986</v>
      </c>
      <c r="C194" s="1337" t="s">
        <v>2703</v>
      </c>
      <c r="D194" s="1337"/>
      <c r="E194" s="1337"/>
      <c r="F194" s="1337"/>
      <c r="G194" s="1337"/>
      <c r="H194" s="1330"/>
      <c r="I194" s="1334" t="str">
        <f>'Part I-Project Information'!I171</f>
        <v>No</v>
      </c>
      <c r="J194" s="1330" t="s">
        <v>761</v>
      </c>
      <c r="K194" s="1330"/>
      <c r="L194" s="1334">
        <f>'Part I-Project Information'!L171</f>
        <v>0</v>
      </c>
      <c r="M194" s="1330" t="s">
        <v>2327</v>
      </c>
      <c r="N194" s="1330"/>
      <c r="O194" s="1330"/>
      <c r="P194" s="1419">
        <f>'Part I-Project Information'!P171</f>
        <v>0</v>
      </c>
    </row>
    <row r="195" spans="1:16">
      <c r="A195" s="1334"/>
      <c r="B195" s="1334"/>
      <c r="C195" s="1337" t="s">
        <v>2704</v>
      </c>
      <c r="D195" s="1337"/>
      <c r="E195" s="1337"/>
      <c r="F195" s="1337"/>
      <c r="G195" s="1337"/>
      <c r="H195" s="1330"/>
      <c r="I195" s="1334" t="str">
        <f>'Part I-Project Information'!I172</f>
        <v>Yes</v>
      </c>
      <c r="J195" s="1330" t="s">
        <v>761</v>
      </c>
      <c r="K195" s="1330"/>
      <c r="L195" s="1334">
        <f>'Part I-Project Information'!L172</f>
        <v>30</v>
      </c>
      <c r="M195" s="1330" t="s">
        <v>2327</v>
      </c>
      <c r="N195" s="1330"/>
      <c r="O195" s="1330"/>
      <c r="P195" s="1419">
        <f>'Part I-Project Information'!P172</f>
        <v>15</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2116</v>
      </c>
      <c r="C199" s="1330" t="s">
        <v>1979</v>
      </c>
      <c r="D199" s="1330"/>
      <c r="E199" s="1330"/>
      <c r="F199" s="1330"/>
      <c r="G199" s="1337"/>
      <c r="H199" s="1330"/>
      <c r="I199" s="1334" t="str">
        <f>'Part I-Project Information'!I176</f>
        <v>No</v>
      </c>
      <c r="J199" s="1379" t="s">
        <v>2754</v>
      </c>
      <c r="K199" s="1330"/>
      <c r="L199" s="1330" t="s">
        <v>4490</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3116"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f>'Part I-Project Information'!P180</f>
        <v>0</v>
      </c>
    </row>
    <row r="204" spans="1:16">
      <c r="A204" s="1334"/>
      <c r="B204" s="1334"/>
      <c r="C204" s="1330" t="s">
        <v>2214</v>
      </c>
      <c r="D204" s="1330"/>
      <c r="E204" s="1330"/>
      <c r="F204" s="1330"/>
      <c r="G204" s="1330"/>
      <c r="H204" s="1330"/>
      <c r="I204" s="1344" t="str">
        <f>'Part I-Project Information'!I181</f>
        <v>No</v>
      </c>
      <c r="J204" s="1330"/>
      <c r="K204" s="1330"/>
      <c r="L204" s="1330" t="s">
        <v>2846</v>
      </c>
      <c r="M204" s="1330"/>
      <c r="N204" s="1330"/>
      <c r="O204" s="1330"/>
      <c r="P204" s="1344">
        <f>'Part I-Project Information'!P181</f>
        <v>0</v>
      </c>
    </row>
    <row r="205" spans="1:16" ht="13.5">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f>'Part I-Project Information'!P182</f>
        <v>0</v>
      </c>
    </row>
    <row r="206" spans="1:16" ht="13.5">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f>'Part I-Project Information'!P183</f>
        <v>0</v>
      </c>
    </row>
    <row r="207" spans="1:16">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c r="A208" s="1334"/>
      <c r="B208" s="1334"/>
      <c r="C208" s="1330" t="s">
        <v>2903</v>
      </c>
      <c r="D208" s="1330"/>
      <c r="E208" s="1330"/>
      <c r="F208" s="1330"/>
      <c r="G208" s="1330"/>
      <c r="H208" s="1330"/>
      <c r="I208" s="1344" t="str">
        <f>'Part I-Project Information'!I185</f>
        <v>Yes</v>
      </c>
      <c r="J208" s="1379" t="s">
        <v>2755</v>
      </c>
      <c r="K208" s="1330"/>
      <c r="L208" s="1330"/>
      <c r="M208" s="1330"/>
      <c r="N208" s="1330"/>
      <c r="O208" s="1809">
        <f>'Part I-Project Information'!O185</f>
        <v>1766200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2296</v>
      </c>
      <c r="D213" s="1363"/>
      <c r="E213" s="1363"/>
      <c r="F213" s="1334"/>
      <c r="G213" s="1334"/>
      <c r="H213" s="1806">
        <f>'Part I-Project Information'!H190</f>
        <v>44470</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All development team members are experienced in multifamily LIHTC housing.  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information required at pre-application for experience determination is resubmitted under Tab 19 of this application.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2019-078 Abbington Sound,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1859</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1984</v>
      </c>
      <c r="C223" s="1337" t="s">
        <v>1855</v>
      </c>
      <c r="D223" s="1330"/>
      <c r="E223" s="1330"/>
      <c r="F223" s="1330"/>
      <c r="G223" s="1330"/>
      <c r="H223" s="1330" t="str">
        <f>'Part II-Development Team'!H5</f>
        <v>Kingsland Abbington Sound, LP</v>
      </c>
      <c r="I223" s="1348"/>
      <c r="J223" s="1348"/>
      <c r="K223" s="1348"/>
      <c r="L223" s="1348"/>
      <c r="M223" s="1348"/>
      <c r="N223" s="1348"/>
      <c r="O223" s="1337" t="s">
        <v>1990</v>
      </c>
      <c r="P223" s="1337"/>
      <c r="Q223" s="1330" t="str">
        <f>'Part II-Development Team'!Q5</f>
        <v>William J. Rea, Jr.</v>
      </c>
      <c r="R223" s="1348"/>
      <c r="S223" s="1348"/>
    </row>
    <row r="224" spans="1:19">
      <c r="A224" s="1330"/>
      <c r="B224" s="1330"/>
      <c r="C224" s="1330"/>
      <c r="D224" s="1346"/>
      <c r="E224" s="1337" t="s">
        <v>1021</v>
      </c>
      <c r="F224" s="1340"/>
      <c r="G224" s="1330"/>
      <c r="H224" s="1330" t="str">
        <f>'Part II-Development Team'!H6</f>
        <v>2964 Peachtree Road NW, Suite 200</v>
      </c>
      <c r="I224" s="1348"/>
      <c r="J224" s="1348"/>
      <c r="K224" s="1348"/>
      <c r="L224" s="1348"/>
      <c r="M224" s="1348"/>
      <c r="N224" s="1348"/>
      <c r="O224" s="1337" t="s">
        <v>1747</v>
      </c>
      <c r="P224" s="1330"/>
      <c r="Q224" s="1330" t="str">
        <f>'Part II-Development Team'!Q6</f>
        <v>Manager</v>
      </c>
      <c r="R224" s="1348"/>
      <c r="S224" s="1348"/>
    </row>
    <row r="225" spans="1:19">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4042504093</v>
      </c>
      <c r="R225" s="1348"/>
      <c r="S225" s="1348"/>
    </row>
    <row r="226" spans="1:19">
      <c r="A226" s="1330"/>
      <c r="B226" s="1330"/>
      <c r="C226" s="1330"/>
      <c r="D226" s="1346"/>
      <c r="E226" s="1337" t="s">
        <v>1799</v>
      </c>
      <c r="F226" s="1330"/>
      <c r="G226" s="1330"/>
      <c r="H226" s="1337" t="str">
        <f>'Part II-Development Team'!H8</f>
        <v>GA</v>
      </c>
      <c r="I226" s="1334" t="s">
        <v>2230</v>
      </c>
      <c r="J226" s="1798">
        <f>'Part II-Development Team'!J8</f>
        <v>303052119</v>
      </c>
      <c r="K226" s="1348"/>
      <c r="L226" s="1330" t="s">
        <v>3685</v>
      </c>
      <c r="M226" s="1330" t="str">
        <f>'Part II-Development Team'!M8</f>
        <v>For Profit</v>
      </c>
      <c r="N226" s="1330"/>
      <c r="O226" s="1337" t="s">
        <v>1980</v>
      </c>
      <c r="P226" s="1330"/>
      <c r="Q226" s="1330">
        <f>'Part II-Development Team'!Q8</f>
        <v>4042731892</v>
      </c>
      <c r="R226" s="1348"/>
      <c r="S226" s="1348"/>
    </row>
    <row r="227" spans="1:19">
      <c r="A227" s="1330"/>
      <c r="B227" s="1330"/>
      <c r="C227" s="1330"/>
      <c r="D227" s="1346"/>
      <c r="E227" s="1337" t="s">
        <v>4253</v>
      </c>
      <c r="F227" s="1330"/>
      <c r="G227" s="1330"/>
      <c r="H227" s="1799">
        <f>'Part II-Development Team'!H9</f>
        <v>4042504093</v>
      </c>
      <c r="I227" s="1799"/>
      <c r="J227" s="1344">
        <f>'Part II-Development Team'!J9</f>
        <v>703</v>
      </c>
      <c r="K227" s="1334" t="s">
        <v>1985</v>
      </c>
      <c r="L227" s="1706" t="str">
        <f>'Part II-Development Team'!L9</f>
        <v>billrea@reaventures.com</v>
      </c>
      <c r="M227" s="1706"/>
      <c r="N227" s="1706"/>
      <c r="O227" s="1706"/>
      <c r="P227" s="1706"/>
      <c r="Q227" s="1706"/>
      <c r="R227" s="1706"/>
      <c r="S227" s="1706"/>
    </row>
    <row r="228" spans="1:19" ht="13.5">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3117" t="s">
        <v>1987</v>
      </c>
      <c r="D231" s="1348" t="s">
        <v>1988</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2117</v>
      </c>
      <c r="E232" s="1330" t="s">
        <v>1857</v>
      </c>
      <c r="F232" s="1330"/>
      <c r="G232" s="1330"/>
      <c r="H232" s="1330" t="str">
        <f>'Part II-Development Team'!H14</f>
        <v>Abbington Sound Partner, LLC</v>
      </c>
      <c r="I232" s="1348"/>
      <c r="J232" s="1348"/>
      <c r="K232" s="1348"/>
      <c r="L232" s="1348"/>
      <c r="M232" s="1348"/>
      <c r="N232" s="1348"/>
      <c r="O232" s="1337" t="s">
        <v>1990</v>
      </c>
      <c r="P232" s="1337"/>
      <c r="Q232" s="1330" t="str">
        <f>'Part II-Development Team'!Q14</f>
        <v>William J. Rea, Jr.</v>
      </c>
      <c r="R232" s="1348"/>
      <c r="S232" s="1348"/>
    </row>
    <row r="233" spans="1:19">
      <c r="A233" s="1330"/>
      <c r="B233" s="1330"/>
      <c r="C233" s="1330"/>
      <c r="D233" s="1346"/>
      <c r="E233" s="1337" t="s">
        <v>1021</v>
      </c>
      <c r="F233" s="1340"/>
      <c r="G233" s="1330"/>
      <c r="H233" s="1330" t="str">
        <f>'Part II-Development Team'!H15</f>
        <v>2964 Peachtree Road NW, Suite 200</v>
      </c>
      <c r="I233" s="1348"/>
      <c r="J233" s="1348"/>
      <c r="K233" s="1348"/>
      <c r="L233" s="1348"/>
      <c r="M233" s="1348"/>
      <c r="N233" s="1348"/>
      <c r="O233" s="1337" t="s">
        <v>1747</v>
      </c>
      <c r="P233" s="1330"/>
      <c r="Q233" s="1330" t="str">
        <f>'Part II-Development Team'!Q15</f>
        <v>Manager</v>
      </c>
      <c r="R233" s="1348"/>
      <c r="S233" s="1348"/>
    </row>
    <row r="234" spans="1:19">
      <c r="A234" s="1330"/>
      <c r="B234" s="1330"/>
      <c r="C234" s="1330"/>
      <c r="D234" s="1346"/>
      <c r="E234" s="1337" t="s">
        <v>618</v>
      </c>
      <c r="F234" s="1330"/>
      <c r="G234" s="1330"/>
      <c r="H234" s="1330" t="str">
        <f>'Part II-Development Team'!H16</f>
        <v>Atlanta</v>
      </c>
      <c r="I234" s="1348"/>
      <c r="J234" s="1348"/>
      <c r="K234" s="1334" t="s">
        <v>2705</v>
      </c>
      <c r="L234" s="1330">
        <f>'Part II-Development Team'!L16</f>
        <v>0</v>
      </c>
      <c r="M234" s="1348"/>
      <c r="N234" s="1348"/>
      <c r="O234" s="1337" t="s">
        <v>1721</v>
      </c>
      <c r="P234" s="1330"/>
      <c r="Q234" s="1799">
        <f>'Part II-Development Team'!Q16</f>
        <v>4042504093</v>
      </c>
      <c r="R234" s="1799"/>
      <c r="S234" s="1799"/>
    </row>
    <row r="235" spans="1:19">
      <c r="A235" s="1330"/>
      <c r="B235" s="1330"/>
      <c r="C235" s="1330"/>
      <c r="D235" s="1330"/>
      <c r="E235" s="1337" t="s">
        <v>1799</v>
      </c>
      <c r="F235" s="1330"/>
      <c r="G235" s="1330"/>
      <c r="H235" s="1337" t="str">
        <f>'Part II-Development Team'!H17</f>
        <v>GA</v>
      </c>
      <c r="I235" s="1330"/>
      <c r="J235" s="1330"/>
      <c r="K235" s="1334" t="s">
        <v>2230</v>
      </c>
      <c r="L235" s="1798">
        <f>'Part II-Development Team'!L17</f>
        <v>303052119</v>
      </c>
      <c r="M235" s="1348"/>
      <c r="N235" s="1330"/>
      <c r="O235" s="1337" t="s">
        <v>1980</v>
      </c>
      <c r="P235" s="1330"/>
      <c r="Q235" s="1799">
        <f>'Part II-Development Team'!Q17</f>
        <v>4042731892</v>
      </c>
      <c r="R235" s="1799"/>
      <c r="S235" s="1799"/>
    </row>
    <row r="236" spans="1:19">
      <c r="A236" s="1330"/>
      <c r="B236" s="1330"/>
      <c r="C236" s="1330"/>
      <c r="D236" s="1346"/>
      <c r="E236" s="1337" t="s">
        <v>4253</v>
      </c>
      <c r="F236" s="1330"/>
      <c r="G236" s="1330"/>
      <c r="H236" s="1799">
        <f>'Part II-Development Team'!H18</f>
        <v>4042504093</v>
      </c>
      <c r="I236" s="1799"/>
      <c r="J236" s="1344">
        <f>'Part II-Development Team'!J18</f>
        <v>703</v>
      </c>
      <c r="K236" s="1334" t="s">
        <v>1985</v>
      </c>
      <c r="L236" s="1706" t="str">
        <f>'Part II-Development Team'!L18</f>
        <v>billrea@reaventures.com</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c r="A242" s="1330"/>
      <c r="B242" s="1330"/>
      <c r="C242" s="1330"/>
      <c r="D242" s="1346"/>
      <c r="E242" s="1337" t="s">
        <v>4253</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c r="A248" s="1330"/>
      <c r="B248" s="1330"/>
      <c r="C248" s="1330"/>
      <c r="D248" s="1346"/>
      <c r="E248" s="1337" t="s">
        <v>4253</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3117" t="s">
        <v>1989</v>
      </c>
      <c r="D250" s="1348" t="s">
        <v>1860</v>
      </c>
      <c r="E250" s="1330"/>
      <c r="F250" s="1330"/>
      <c r="G250" s="1330"/>
      <c r="H250" s="1330"/>
      <c r="I250" s="1330"/>
      <c r="J250" s="1330"/>
      <c r="K250" s="1332" t="s">
        <v>4252</v>
      </c>
      <c r="L250" s="1330"/>
      <c r="M250" s="1330"/>
      <c r="N250" s="1330"/>
      <c r="O250" s="1330"/>
      <c r="P250" s="1330"/>
      <c r="Q250" s="1330"/>
      <c r="R250" s="1330"/>
      <c r="S250" s="1330"/>
    </row>
    <row r="251" spans="1:19">
      <c r="A251" s="1330"/>
      <c r="B251" s="1330"/>
      <c r="C251" s="1330"/>
      <c r="D251" s="1330" t="s">
        <v>2117</v>
      </c>
      <c r="E251" s="1330" t="s">
        <v>750</v>
      </c>
      <c r="F251" s="1330"/>
      <c r="G251" s="1330"/>
      <c r="H251" s="1330" t="str">
        <f>'Part II-Development Team'!H33</f>
        <v>Churchill Stateside Group, LLC</v>
      </c>
      <c r="I251" s="1348"/>
      <c r="J251" s="1348"/>
      <c r="K251" s="1348"/>
      <c r="L251" s="1348"/>
      <c r="M251" s="1348"/>
      <c r="N251" s="1348"/>
      <c r="O251" s="1337" t="s">
        <v>1990</v>
      </c>
      <c r="P251" s="1337"/>
      <c r="Q251" s="1330" t="str">
        <f>'Part II-Development Team'!Q33</f>
        <v>Dan Duda</v>
      </c>
      <c r="R251" s="1348"/>
      <c r="S251" s="1348"/>
    </row>
    <row r="252" spans="1:19">
      <c r="A252" s="1330"/>
      <c r="B252" s="1330"/>
      <c r="C252" s="1330"/>
      <c r="D252" s="1346"/>
      <c r="E252" s="1337" t="s">
        <v>1021</v>
      </c>
      <c r="F252" s="1340"/>
      <c r="G252" s="1330"/>
      <c r="H252" s="1330" t="str">
        <f>'Part II-Development Team'!H34</f>
        <v>915 Chestnut Street</v>
      </c>
      <c r="I252" s="1348"/>
      <c r="J252" s="1348"/>
      <c r="K252" s="1348"/>
      <c r="L252" s="1348"/>
      <c r="M252" s="1348"/>
      <c r="N252" s="1348"/>
      <c r="O252" s="1337" t="s">
        <v>1747</v>
      </c>
      <c r="P252" s="1330"/>
      <c r="Q252" s="1330" t="str">
        <f>'Part II-Development Team'!Q34</f>
        <v>Vice President</v>
      </c>
      <c r="R252" s="1348"/>
      <c r="S252" s="1348"/>
    </row>
    <row r="253" spans="1:19">
      <c r="A253" s="1330"/>
      <c r="B253" s="1330"/>
      <c r="C253" s="1330"/>
      <c r="D253" s="1346"/>
      <c r="E253" s="1337" t="s">
        <v>618</v>
      </c>
      <c r="F253" s="1330"/>
      <c r="G253" s="1330"/>
      <c r="H253" s="1330" t="str">
        <f>'Part II-Development Team'!H35</f>
        <v>Clearwater</v>
      </c>
      <c r="I253" s="1348"/>
      <c r="J253" s="1348"/>
      <c r="K253" s="1334" t="s">
        <v>2705</v>
      </c>
      <c r="L253" s="1330" t="str">
        <f>'Part II-Development Team'!L35</f>
        <v>www.csgfirst.com</v>
      </c>
      <c r="M253" s="1348"/>
      <c r="N253" s="1348"/>
      <c r="O253" s="1337" t="s">
        <v>1721</v>
      </c>
      <c r="P253" s="1330"/>
      <c r="Q253" s="1799">
        <f>'Part II-Development Team'!Q35</f>
        <v>7272695198</v>
      </c>
      <c r="R253" s="1799"/>
      <c r="S253" s="1799"/>
    </row>
    <row r="254" spans="1:19">
      <c r="A254" s="1330"/>
      <c r="B254" s="1330"/>
      <c r="C254" s="1330"/>
      <c r="D254" s="1330"/>
      <c r="E254" s="1337" t="s">
        <v>1799</v>
      </c>
      <c r="F254" s="1330"/>
      <c r="G254" s="1330"/>
      <c r="H254" s="1337" t="str">
        <f>'Part II-Development Team'!H36</f>
        <v>FL</v>
      </c>
      <c r="I254" s="1330"/>
      <c r="J254" s="1330"/>
      <c r="K254" s="1334" t="s">
        <v>2230</v>
      </c>
      <c r="L254" s="1798">
        <f>'Part II-Development Team'!L36</f>
        <v>337565643</v>
      </c>
      <c r="M254" s="1348"/>
      <c r="N254" s="1330"/>
      <c r="O254" s="1337" t="s">
        <v>1980</v>
      </c>
      <c r="P254" s="1330"/>
      <c r="Q254" s="1799">
        <f>'Part II-Development Team'!Q36</f>
        <v>7274159556</v>
      </c>
      <c r="R254" s="1799"/>
      <c r="S254" s="1799"/>
    </row>
    <row r="255" spans="1:19">
      <c r="A255" s="1330"/>
      <c r="B255" s="1330"/>
      <c r="C255" s="1330"/>
      <c r="D255" s="1346"/>
      <c r="E255" s="1337" t="s">
        <v>4253</v>
      </c>
      <c r="F255" s="1330"/>
      <c r="G255" s="1330"/>
      <c r="H255" s="1799">
        <f>'Part II-Development Team'!H37</f>
        <v>7274612200</v>
      </c>
      <c r="I255" s="1799"/>
      <c r="J255" s="1344">
        <f>'Part II-Development Team'!J37</f>
        <v>0</v>
      </c>
      <c r="K255" s="1334" t="s">
        <v>1985</v>
      </c>
      <c r="L255" s="1706" t="str">
        <f>'Part II-Development Team'!L37</f>
        <v>Dduda@csgfirst.com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2118</v>
      </c>
      <c r="E257" s="1330" t="s">
        <v>751</v>
      </c>
      <c r="F257" s="1330"/>
      <c r="G257" s="1330"/>
      <c r="H257" s="1330" t="str">
        <f>'Part II-Development Team'!H39</f>
        <v>Churchill Stateside Group, LLC</v>
      </c>
      <c r="I257" s="1348"/>
      <c r="J257" s="1348"/>
      <c r="K257" s="1348"/>
      <c r="L257" s="1348"/>
      <c r="M257" s="1348"/>
      <c r="N257" s="1348"/>
      <c r="O257" s="1337" t="s">
        <v>1990</v>
      </c>
      <c r="P257" s="1337"/>
      <c r="Q257" s="1330" t="str">
        <f>'Part II-Development Team'!Q39</f>
        <v>Dan Duda</v>
      </c>
      <c r="R257" s="1348"/>
      <c r="S257" s="1348"/>
    </row>
    <row r="258" spans="1:19">
      <c r="A258" s="1330"/>
      <c r="B258" s="1330"/>
      <c r="C258" s="1330"/>
      <c r="D258" s="1346"/>
      <c r="E258" s="1337" t="s">
        <v>1021</v>
      </c>
      <c r="F258" s="1340"/>
      <c r="G258" s="1330"/>
      <c r="H258" s="1330" t="str">
        <f>'Part II-Development Team'!H40</f>
        <v>915 Chestnut Street</v>
      </c>
      <c r="I258" s="1348"/>
      <c r="J258" s="1348"/>
      <c r="K258" s="1348"/>
      <c r="L258" s="1348"/>
      <c r="M258" s="1348"/>
      <c r="N258" s="1348"/>
      <c r="O258" s="1337" t="s">
        <v>1747</v>
      </c>
      <c r="P258" s="1330"/>
      <c r="Q258" s="1330" t="str">
        <f>'Part II-Development Team'!Q40</f>
        <v>Vice President</v>
      </c>
      <c r="R258" s="1348"/>
      <c r="S258" s="1348"/>
    </row>
    <row r="259" spans="1:19">
      <c r="A259" s="1330"/>
      <c r="B259" s="1330"/>
      <c r="C259" s="1330"/>
      <c r="D259" s="1346"/>
      <c r="E259" s="1337" t="s">
        <v>618</v>
      </c>
      <c r="F259" s="1330"/>
      <c r="G259" s="1330"/>
      <c r="H259" s="1330" t="str">
        <f>'Part II-Development Team'!H41</f>
        <v>Clearwater</v>
      </c>
      <c r="I259" s="1348"/>
      <c r="J259" s="1348"/>
      <c r="K259" s="1334" t="s">
        <v>2705</v>
      </c>
      <c r="L259" s="1330" t="str">
        <f>'Part II-Development Team'!L41</f>
        <v>www.csgfirst.com</v>
      </c>
      <c r="M259" s="1348"/>
      <c r="N259" s="1348"/>
      <c r="O259" s="1337" t="s">
        <v>1721</v>
      </c>
      <c r="P259" s="1330"/>
      <c r="Q259" s="1799">
        <f>'Part II-Development Team'!Q41</f>
        <v>7272695198</v>
      </c>
      <c r="R259" s="1799"/>
      <c r="S259" s="1799"/>
    </row>
    <row r="260" spans="1:19">
      <c r="A260" s="1330"/>
      <c r="B260" s="1330"/>
      <c r="C260" s="1330"/>
      <c r="D260" s="1330"/>
      <c r="E260" s="1337" t="s">
        <v>1799</v>
      </c>
      <c r="F260" s="1330"/>
      <c r="G260" s="1330"/>
      <c r="H260" s="1337" t="str">
        <f>'Part II-Development Team'!H42</f>
        <v>FL</v>
      </c>
      <c r="I260" s="1330"/>
      <c r="J260" s="1330"/>
      <c r="K260" s="1334" t="s">
        <v>2230</v>
      </c>
      <c r="L260" s="1798">
        <f>'Part II-Development Team'!L42</f>
        <v>337565643</v>
      </c>
      <c r="M260" s="1348"/>
      <c r="N260" s="1330"/>
      <c r="O260" s="1337" t="s">
        <v>1980</v>
      </c>
      <c r="P260" s="1330"/>
      <c r="Q260" s="1799">
        <f>'Part II-Development Team'!Q42</f>
        <v>7274159556</v>
      </c>
      <c r="R260" s="1799"/>
      <c r="S260" s="1799"/>
    </row>
    <row r="261" spans="1:19">
      <c r="A261" s="1330"/>
      <c r="B261" s="1330"/>
      <c r="C261" s="1330"/>
      <c r="D261" s="1346"/>
      <c r="E261" s="1337" t="s">
        <v>4253</v>
      </c>
      <c r="F261" s="1330"/>
      <c r="G261" s="1330"/>
      <c r="H261" s="1799">
        <f>'Part II-Development Team'!H43</f>
        <v>7274612200</v>
      </c>
      <c r="I261" s="1799"/>
      <c r="J261" s="1344">
        <f>'Part II-Development Team'!J43</f>
        <v>0</v>
      </c>
      <c r="K261" s="1334" t="s">
        <v>1985</v>
      </c>
      <c r="L261" s="1706" t="str">
        <f>'Part II-Development Team'!L43</f>
        <v>Dduda@csgfirst.com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3118" t="s">
        <v>2535</v>
      </c>
      <c r="D263" s="1348" t="s">
        <v>651</v>
      </c>
      <c r="E263" s="1330"/>
      <c r="F263" s="1330"/>
      <c r="G263" s="1330"/>
      <c r="H263" s="1330"/>
      <c r="I263" s="1330"/>
      <c r="J263" s="1330"/>
      <c r="K263" s="1332" t="s">
        <v>4252</v>
      </c>
      <c r="L263" s="1330"/>
      <c r="M263" s="1330"/>
      <c r="N263" s="1330"/>
      <c r="O263" s="1330"/>
      <c r="P263" s="1330"/>
      <c r="Q263" s="1330"/>
      <c r="R263" s="1330"/>
      <c r="S263" s="1330"/>
    </row>
    <row r="264" spans="1:19">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c r="A268" s="1330"/>
      <c r="B268" s="1330"/>
      <c r="C268" s="1330"/>
      <c r="D268" s="1346"/>
      <c r="E268" s="1337" t="s">
        <v>4253</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1984</v>
      </c>
      <c r="C272" s="1330" t="s">
        <v>282</v>
      </c>
      <c r="D272" s="1330"/>
      <c r="E272" s="1330"/>
      <c r="F272" s="1330"/>
      <c r="G272" s="1330"/>
      <c r="H272" s="1330" t="str">
        <f>'Part II-Development Team'!H54</f>
        <v>Rea Ventures Group, LLC</v>
      </c>
      <c r="I272" s="1348"/>
      <c r="J272" s="1348"/>
      <c r="K272" s="1348"/>
      <c r="L272" s="1348"/>
      <c r="M272" s="1348"/>
      <c r="N272" s="1348"/>
      <c r="O272" s="1337" t="s">
        <v>1990</v>
      </c>
      <c r="P272" s="1337"/>
      <c r="Q272" s="1330" t="str">
        <f>'Part II-Development Team'!Q54</f>
        <v>William J. Rea, Jr.</v>
      </c>
      <c r="R272" s="1348"/>
      <c r="S272" s="1348"/>
    </row>
    <row r="273" spans="1:19">
      <c r="A273" s="1330"/>
      <c r="B273" s="1330"/>
      <c r="C273" s="1330"/>
      <c r="D273" s="1346"/>
      <c r="E273" s="1337" t="s">
        <v>1021</v>
      </c>
      <c r="F273" s="1340"/>
      <c r="G273" s="1330"/>
      <c r="H273" s="1330" t="str">
        <f>'Part II-Development Team'!H55</f>
        <v>2964 Peachtree Road NW, Suite 200</v>
      </c>
      <c r="I273" s="1348"/>
      <c r="J273" s="1348"/>
      <c r="K273" s="1348"/>
      <c r="L273" s="1348"/>
      <c r="M273" s="1348"/>
      <c r="N273" s="1348"/>
      <c r="O273" s="1337" t="s">
        <v>1747</v>
      </c>
      <c r="P273" s="1330"/>
      <c r="Q273" s="1330" t="str">
        <f>'Part II-Development Team'!Q55</f>
        <v>Manager</v>
      </c>
      <c r="R273" s="1348"/>
      <c r="S273" s="1348"/>
    </row>
    <row r="274" spans="1:19">
      <c r="A274" s="1330"/>
      <c r="B274" s="1330"/>
      <c r="C274" s="1330"/>
      <c r="D274" s="1346"/>
      <c r="E274" s="1337" t="s">
        <v>618</v>
      </c>
      <c r="F274" s="1330"/>
      <c r="G274" s="1330"/>
      <c r="H274" s="1330" t="str">
        <f>'Part II-Development Team'!H56</f>
        <v>Atlanta</v>
      </c>
      <c r="I274" s="1348"/>
      <c r="J274" s="1348"/>
      <c r="K274" s="1334" t="s">
        <v>2705</v>
      </c>
      <c r="L274" s="1330" t="str">
        <f>'Part II-Development Team'!L56</f>
        <v>www.reaventures.com</v>
      </c>
      <c r="M274" s="1348"/>
      <c r="N274" s="1348"/>
      <c r="O274" s="1337" t="s">
        <v>1721</v>
      </c>
      <c r="P274" s="1330"/>
      <c r="Q274" s="1799">
        <f>'Part II-Development Team'!Q56</f>
        <v>4042504093</v>
      </c>
      <c r="R274" s="1799"/>
      <c r="S274" s="1799"/>
    </row>
    <row r="275" spans="1:19">
      <c r="A275" s="1330"/>
      <c r="B275" s="1330"/>
      <c r="C275" s="1330"/>
      <c r="D275" s="1330"/>
      <c r="E275" s="1337" t="s">
        <v>1799</v>
      </c>
      <c r="F275" s="1330"/>
      <c r="G275" s="1330"/>
      <c r="H275" s="1337" t="str">
        <f>'Part II-Development Team'!H57</f>
        <v>GA</v>
      </c>
      <c r="I275" s="1330"/>
      <c r="J275" s="1330"/>
      <c r="K275" s="1334" t="s">
        <v>2230</v>
      </c>
      <c r="L275" s="1798">
        <f>'Part II-Development Team'!L57</f>
        <v>303052119</v>
      </c>
      <c r="M275" s="1348"/>
      <c r="N275" s="1330"/>
      <c r="O275" s="1337" t="s">
        <v>1980</v>
      </c>
      <c r="P275" s="1330"/>
      <c r="Q275" s="1799">
        <f>'Part II-Development Team'!Q57</f>
        <v>4042731892</v>
      </c>
      <c r="R275" s="1799"/>
      <c r="S275" s="1799"/>
    </row>
    <row r="276" spans="1:19">
      <c r="A276" s="1330"/>
      <c r="B276" s="1330"/>
      <c r="C276" s="1330"/>
      <c r="D276" s="1346"/>
      <c r="E276" s="1337" t="s">
        <v>4253</v>
      </c>
      <c r="F276" s="1330"/>
      <c r="G276" s="1330"/>
      <c r="H276" s="1799">
        <f>'Part II-Development Team'!H58</f>
        <v>4042504093</v>
      </c>
      <c r="I276" s="1799"/>
      <c r="J276" s="1344">
        <f>'Part II-Development Team'!J58</f>
        <v>703</v>
      </c>
      <c r="K276" s="1334" t="s">
        <v>1985</v>
      </c>
      <c r="L276" s="1706" t="str">
        <f>'Part II-Development Team'!L58</f>
        <v>billrea@reaventures.com</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1986</v>
      </c>
      <c r="C278" s="1330" t="s">
        <v>283</v>
      </c>
      <c r="D278" s="1330"/>
      <c r="E278" s="1330"/>
      <c r="F278" s="1330"/>
      <c r="G278" s="1330"/>
      <c r="H278" s="1330" t="str">
        <f>'Part II-Development Team'!H60</f>
        <v>Brady Development, LLC</v>
      </c>
      <c r="I278" s="1348"/>
      <c r="J278" s="1348"/>
      <c r="K278" s="1348"/>
      <c r="L278" s="1348"/>
      <c r="M278" s="1348"/>
      <c r="N278" s="1348"/>
      <c r="O278" s="1337" t="s">
        <v>1990</v>
      </c>
      <c r="P278" s="1337"/>
      <c r="Q278" s="1330" t="str">
        <f>'Part II-Development Team'!Q60</f>
        <v>Sean Brady</v>
      </c>
      <c r="R278" s="1348"/>
      <c r="S278" s="1348"/>
    </row>
    <row r="279" spans="1:19">
      <c r="A279" s="1330"/>
      <c r="B279" s="1330"/>
      <c r="C279" s="1330"/>
      <c r="D279" s="1346"/>
      <c r="E279" s="1337" t="s">
        <v>1021</v>
      </c>
      <c r="F279" s="1340"/>
      <c r="G279" s="1330"/>
      <c r="H279" s="1330" t="str">
        <f>'Part II-Development Team'!H61</f>
        <v>4625 Jefferson Lane SW</v>
      </c>
      <c r="I279" s="1348"/>
      <c r="J279" s="1348"/>
      <c r="K279" s="1348"/>
      <c r="L279" s="1348"/>
      <c r="M279" s="1348"/>
      <c r="N279" s="1348"/>
      <c r="O279" s="1337" t="s">
        <v>1747</v>
      </c>
      <c r="P279" s="1330"/>
      <c r="Q279" s="1330" t="str">
        <f>'Part II-Development Team'!Q61</f>
        <v>Manager</v>
      </c>
      <c r="R279" s="1348"/>
      <c r="S279" s="1348"/>
    </row>
    <row r="280" spans="1:19">
      <c r="A280" s="1330"/>
      <c r="B280" s="1330"/>
      <c r="C280" s="1330"/>
      <c r="D280" s="1346"/>
      <c r="E280" s="1337" t="s">
        <v>618</v>
      </c>
      <c r="F280" s="1330"/>
      <c r="G280" s="1330"/>
      <c r="H280" s="1330" t="str">
        <f>'Part II-Development Team'!H62</f>
        <v>Lilburn</v>
      </c>
      <c r="I280" s="1348"/>
      <c r="J280" s="1348"/>
      <c r="K280" s="1334" t="s">
        <v>2705</v>
      </c>
      <c r="L280" s="1330">
        <f>'Part II-Development Team'!L62</f>
        <v>0</v>
      </c>
      <c r="M280" s="1348"/>
      <c r="N280" s="1348"/>
      <c r="O280" s="1337" t="s">
        <v>1721</v>
      </c>
      <c r="P280" s="1330"/>
      <c r="Q280" s="1799">
        <f>'Part II-Development Team'!Q62</f>
        <v>0</v>
      </c>
      <c r="R280" s="1799"/>
      <c r="S280" s="1799"/>
    </row>
    <row r="281" spans="1:19">
      <c r="A281" s="1330"/>
      <c r="B281" s="1330"/>
      <c r="C281" s="1330"/>
      <c r="D281" s="1330"/>
      <c r="E281" s="1337" t="s">
        <v>1799</v>
      </c>
      <c r="F281" s="1330"/>
      <c r="G281" s="1330"/>
      <c r="H281" s="1337" t="str">
        <f>'Part II-Development Team'!H63</f>
        <v>GA</v>
      </c>
      <c r="I281" s="1330"/>
      <c r="J281" s="1330"/>
      <c r="K281" s="1334" t="s">
        <v>2230</v>
      </c>
      <c r="L281" s="1798">
        <f>'Part II-Development Team'!L63</f>
        <v>300474264</v>
      </c>
      <c r="M281" s="1348"/>
      <c r="N281" s="1330"/>
      <c r="O281" s="1337" t="s">
        <v>1980</v>
      </c>
      <c r="P281" s="1330"/>
      <c r="Q281" s="1799">
        <f>'Part II-Development Team'!Q63</f>
        <v>4044066697</v>
      </c>
      <c r="R281" s="1799"/>
      <c r="S281" s="1799"/>
    </row>
    <row r="282" spans="1:19">
      <c r="A282" s="1330"/>
      <c r="B282" s="1330"/>
      <c r="C282" s="1330"/>
      <c r="D282" s="1346"/>
      <c r="E282" s="1337" t="s">
        <v>4253</v>
      </c>
      <c r="F282" s="1330"/>
      <c r="G282" s="1330"/>
      <c r="H282" s="1799">
        <f>'Part II-Development Team'!H64</f>
        <v>4044066697</v>
      </c>
      <c r="I282" s="1799"/>
      <c r="J282" s="1344">
        <f>'Part II-Development Team'!J64</f>
        <v>0</v>
      </c>
      <c r="K282" s="1334" t="s">
        <v>1985</v>
      </c>
      <c r="L282" s="1706" t="str">
        <f>'Part II-Development Team'!L64</f>
        <v>sbrady820@yahoo.com</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t="str">
        <f>'Part II-Development Team'!H66</f>
        <v>Paladin, Inc.</v>
      </c>
      <c r="I284" s="1348"/>
      <c r="J284" s="1348"/>
      <c r="K284" s="1348"/>
      <c r="L284" s="1348"/>
      <c r="M284" s="1348"/>
      <c r="N284" s="1348"/>
      <c r="O284" s="1337" t="s">
        <v>1990</v>
      </c>
      <c r="P284" s="1337"/>
      <c r="Q284" s="1330" t="str">
        <f>'Part II-Development Team'!Q66</f>
        <v>Phillip Ellen</v>
      </c>
      <c r="R284" s="1348"/>
      <c r="S284" s="1348"/>
    </row>
    <row r="285" spans="1:19">
      <c r="A285" s="1330"/>
      <c r="B285" s="1330"/>
      <c r="C285" s="1330"/>
      <c r="D285" s="1346"/>
      <c r="E285" s="1337" t="s">
        <v>1021</v>
      </c>
      <c r="F285" s="1340"/>
      <c r="G285" s="1330"/>
      <c r="H285" s="1330" t="str">
        <f>'Part II-Development Team'!H67</f>
        <v>745 Ponce de Leon Terrace NE</v>
      </c>
      <c r="I285" s="1348"/>
      <c r="J285" s="1348"/>
      <c r="K285" s="1348"/>
      <c r="L285" s="1348"/>
      <c r="M285" s="1348"/>
      <c r="N285" s="1348"/>
      <c r="O285" s="1337" t="s">
        <v>1747</v>
      </c>
      <c r="P285" s="1330"/>
      <c r="Q285" s="1330" t="str">
        <f>'Part II-Development Team'!Q67</f>
        <v>Executive Director</v>
      </c>
      <c r="R285" s="1348"/>
      <c r="S285" s="1348"/>
    </row>
    <row r="286" spans="1:19">
      <c r="A286" s="1330"/>
      <c r="B286" s="1330"/>
      <c r="C286" s="1330"/>
      <c r="D286" s="1346"/>
      <c r="E286" s="1337" t="s">
        <v>618</v>
      </c>
      <c r="F286" s="1330"/>
      <c r="G286" s="1330"/>
      <c r="H286" s="1330" t="str">
        <f>'Part II-Development Team'!H68</f>
        <v>Atlanta</v>
      </c>
      <c r="I286" s="1348"/>
      <c r="J286" s="1348"/>
      <c r="K286" s="1334" t="s">
        <v>2705</v>
      </c>
      <c r="L286" s="1330">
        <f>'Part II-Development Team'!L68</f>
        <v>0</v>
      </c>
      <c r="M286" s="1348"/>
      <c r="N286" s="1348"/>
      <c r="O286" s="1337" t="s">
        <v>1721</v>
      </c>
      <c r="P286" s="1330"/>
      <c r="Q286" s="1799">
        <f>'Part II-Development Team'!Q68</f>
        <v>2564904866</v>
      </c>
      <c r="R286" s="1799"/>
      <c r="S286" s="1799"/>
    </row>
    <row r="287" spans="1:19">
      <c r="A287" s="1330"/>
      <c r="B287" s="1330"/>
      <c r="C287" s="1330"/>
      <c r="D287" s="1330"/>
      <c r="E287" s="1337" t="s">
        <v>1799</v>
      </c>
      <c r="F287" s="1330"/>
      <c r="G287" s="1330"/>
      <c r="H287" s="1337" t="str">
        <f>'Part II-Development Team'!H69</f>
        <v>GA</v>
      </c>
      <c r="I287" s="1330"/>
      <c r="J287" s="1330"/>
      <c r="K287" s="1334" t="s">
        <v>2230</v>
      </c>
      <c r="L287" s="1798">
        <f>'Part II-Development Team'!L69</f>
        <v>303063707</v>
      </c>
      <c r="M287" s="1348"/>
      <c r="N287" s="1330"/>
      <c r="O287" s="1337" t="s">
        <v>1980</v>
      </c>
      <c r="P287" s="1330"/>
      <c r="Q287" s="1799">
        <f>'Part II-Development Team'!Q69</f>
        <v>2564904866</v>
      </c>
      <c r="R287" s="1799"/>
      <c r="S287" s="1799"/>
    </row>
    <row r="288" spans="1:19">
      <c r="A288" s="1330"/>
      <c r="B288" s="1330"/>
      <c r="C288" s="1330"/>
      <c r="D288" s="1346"/>
      <c r="E288" s="1337" t="s">
        <v>4253</v>
      </c>
      <c r="F288" s="1330"/>
      <c r="G288" s="1330"/>
      <c r="H288" s="1799">
        <f>'Part II-Development Team'!H70</f>
        <v>2564904866</v>
      </c>
      <c r="I288" s="1799"/>
      <c r="J288" s="1344">
        <f>'Part II-Development Team'!J70</f>
        <v>0</v>
      </c>
      <c r="K288" s="1334" t="s">
        <v>1985</v>
      </c>
      <c r="L288" s="1706" t="str">
        <f>'Part II-Development Team'!L70</f>
        <v>phillipellen@aol.com</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c r="A294" s="1330"/>
      <c r="B294" s="1330"/>
      <c r="C294" s="1330"/>
      <c r="D294" s="1346"/>
      <c r="E294" s="1337" t="s">
        <v>4253</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1984</v>
      </c>
      <c r="C298" s="1330" t="s">
        <v>286</v>
      </c>
      <c r="D298" s="1330"/>
      <c r="E298" s="1330"/>
      <c r="F298" s="1330"/>
      <c r="G298" s="1330"/>
      <c r="H298" s="1330">
        <f>'Part II-Development Team'!H80</f>
        <v>0</v>
      </c>
      <c r="I298" s="1348"/>
      <c r="J298" s="1348"/>
      <c r="K298" s="1348"/>
      <c r="L298" s="1348"/>
      <c r="M298" s="1348"/>
      <c r="N298" s="1348"/>
      <c r="O298" s="1337" t="s">
        <v>1990</v>
      </c>
      <c r="P298" s="1337"/>
      <c r="Q298" s="1330">
        <f>'Part II-Development Team'!Q80</f>
        <v>0</v>
      </c>
      <c r="R298" s="1348"/>
      <c r="S298" s="1348"/>
    </row>
    <row r="299" spans="1:19">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c r="A300" s="1330"/>
      <c r="B300" s="1330"/>
      <c r="C300" s="1330"/>
      <c r="D300" s="1346"/>
      <c r="E300" s="1337" t="s">
        <v>618</v>
      </c>
      <c r="F300" s="1330"/>
      <c r="G300" s="1330"/>
      <c r="H300" s="1330">
        <f>'Part II-Development Team'!H82</f>
        <v>0</v>
      </c>
      <c r="I300" s="1348"/>
      <c r="J300" s="1348"/>
      <c r="K300" s="1334" t="s">
        <v>2705</v>
      </c>
      <c r="L300" s="1330">
        <f>'Part II-Development Team'!L82</f>
        <v>0</v>
      </c>
      <c r="M300" s="1348"/>
      <c r="N300" s="1348"/>
      <c r="O300" s="1337" t="s">
        <v>1721</v>
      </c>
      <c r="P300" s="1330"/>
      <c r="Q300" s="1799">
        <f>'Part II-Development Team'!Q82</f>
        <v>0</v>
      </c>
      <c r="R300" s="1799"/>
      <c r="S300" s="1799"/>
    </row>
    <row r="301" spans="1:19">
      <c r="A301" s="1330"/>
      <c r="B301" s="1330"/>
      <c r="C301" s="1330"/>
      <c r="D301" s="1330"/>
      <c r="E301" s="1337" t="s">
        <v>1799</v>
      </c>
      <c r="F301" s="1330"/>
      <c r="G301" s="1330"/>
      <c r="H301" s="1337">
        <f>'Part II-Development Team'!H83</f>
        <v>0</v>
      </c>
      <c r="I301" s="1330"/>
      <c r="J301" s="1330"/>
      <c r="K301" s="1334" t="s">
        <v>2230</v>
      </c>
      <c r="L301" s="1798">
        <f>'Part II-Development Team'!L83</f>
        <v>0</v>
      </c>
      <c r="M301" s="1348"/>
      <c r="N301" s="1330"/>
      <c r="O301" s="1337" t="s">
        <v>1980</v>
      </c>
      <c r="P301" s="1330"/>
      <c r="Q301" s="1799">
        <f>'Part II-Development Team'!Q83</f>
        <v>0</v>
      </c>
      <c r="R301" s="1799"/>
      <c r="S301" s="1799"/>
    </row>
    <row r="302" spans="1:19">
      <c r="A302" s="1330"/>
      <c r="B302" s="1330"/>
      <c r="C302" s="1330"/>
      <c r="D302" s="1346"/>
      <c r="E302" s="1337" t="s">
        <v>4253</v>
      </c>
      <c r="F302" s="1330"/>
      <c r="G302" s="1330"/>
      <c r="H302" s="1799">
        <f>'Part II-Development Team'!H84</f>
        <v>0</v>
      </c>
      <c r="I302" s="1799"/>
      <c r="J302" s="1344">
        <f>'Part II-Development Team'!J84</f>
        <v>0</v>
      </c>
      <c r="K302" s="1334" t="s">
        <v>1985</v>
      </c>
      <c r="L302" s="1706">
        <f>'Part II-Development Team'!L84</f>
        <v>0</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1986</v>
      </c>
      <c r="C304" s="1330" t="s">
        <v>287</v>
      </c>
      <c r="D304" s="1330"/>
      <c r="E304" s="1330"/>
      <c r="F304" s="1330"/>
      <c r="G304" s="1330"/>
      <c r="H304" s="1330" t="str">
        <f>'Part II-Development Team'!H86</f>
        <v>Great Southern, LLC</v>
      </c>
      <c r="I304" s="1348"/>
      <c r="J304" s="1348"/>
      <c r="K304" s="1348"/>
      <c r="L304" s="1348"/>
      <c r="M304" s="1348"/>
      <c r="N304" s="1348"/>
      <c r="O304" s="1337" t="s">
        <v>1990</v>
      </c>
      <c r="P304" s="1337"/>
      <c r="Q304" s="1330" t="str">
        <f>'Part II-Development Team'!Q86</f>
        <v>Mike McGlamry</v>
      </c>
      <c r="R304" s="1348"/>
      <c r="S304" s="1348"/>
    </row>
    <row r="305" spans="1:19">
      <c r="A305" s="1330"/>
      <c r="B305" s="1330"/>
      <c r="C305" s="1330"/>
      <c r="D305" s="1346"/>
      <c r="E305" s="1337" t="s">
        <v>1021</v>
      </c>
      <c r="F305" s="1340"/>
      <c r="G305" s="1330"/>
      <c r="H305" s="1330" t="str">
        <f>'Part II-Development Team'!H87</f>
        <v>2009 Springhill Drive</v>
      </c>
      <c r="I305" s="1348"/>
      <c r="J305" s="1348"/>
      <c r="K305" s="1348"/>
      <c r="L305" s="1348"/>
      <c r="M305" s="1348"/>
      <c r="N305" s="1348"/>
      <c r="O305" s="1337" t="s">
        <v>1747</v>
      </c>
      <c r="P305" s="1330"/>
      <c r="Q305" s="1330" t="str">
        <f>'Part II-Development Team'!Q87</f>
        <v>Manager</v>
      </c>
      <c r="R305" s="1348"/>
      <c r="S305" s="1348"/>
    </row>
    <row r="306" spans="1:19">
      <c r="A306" s="1330"/>
      <c r="B306" s="1330"/>
      <c r="C306" s="1330"/>
      <c r="D306" s="1346"/>
      <c r="E306" s="1337" t="s">
        <v>618</v>
      </c>
      <c r="F306" s="1330"/>
      <c r="G306" s="1330"/>
      <c r="H306" s="1330" t="str">
        <f>'Part II-Development Team'!H88</f>
        <v>Valdosta</v>
      </c>
      <c r="I306" s="1348"/>
      <c r="J306" s="1348"/>
      <c r="K306" s="1334" t="s">
        <v>2705</v>
      </c>
      <c r="L306" s="1330" t="str">
        <f>'Part II-Development Team'!L88</f>
        <v>www.greatsouthernllc.com</v>
      </c>
      <c r="M306" s="1348"/>
      <c r="N306" s="1348"/>
      <c r="O306" s="1337" t="s">
        <v>1721</v>
      </c>
      <c r="P306" s="1330"/>
      <c r="Q306" s="1799">
        <f>'Part II-Development Team'!Q88</f>
        <v>2295619997</v>
      </c>
      <c r="R306" s="1799"/>
      <c r="S306" s="1799"/>
    </row>
    <row r="307" spans="1:19">
      <c r="A307" s="1330"/>
      <c r="B307" s="1330"/>
      <c r="C307" s="1330"/>
      <c r="D307" s="1330"/>
      <c r="E307" s="1337" t="s">
        <v>1799</v>
      </c>
      <c r="F307" s="1330"/>
      <c r="G307" s="1330"/>
      <c r="H307" s="1337" t="str">
        <f>'Part II-Development Team'!H89</f>
        <v>GA</v>
      </c>
      <c r="I307" s="1330"/>
      <c r="J307" s="1330"/>
      <c r="K307" s="1334" t="s">
        <v>2230</v>
      </c>
      <c r="L307" s="1798">
        <f>'Part II-Development Team'!L89</f>
        <v>316022135</v>
      </c>
      <c r="M307" s="1348"/>
      <c r="N307" s="1330"/>
      <c r="O307" s="1337" t="s">
        <v>1980</v>
      </c>
      <c r="P307" s="1330"/>
      <c r="Q307" s="1799">
        <f>'Part II-Development Team'!Q89</f>
        <v>2295619997</v>
      </c>
      <c r="R307" s="1799"/>
      <c r="S307" s="1799"/>
    </row>
    <row r="308" spans="1:19">
      <c r="A308" s="1330"/>
      <c r="B308" s="1330"/>
      <c r="C308" s="1330"/>
      <c r="D308" s="1346"/>
      <c r="E308" s="1337" t="s">
        <v>4253</v>
      </c>
      <c r="F308" s="1330"/>
      <c r="G308" s="1330"/>
      <c r="H308" s="1799">
        <f>'Part II-Development Team'!H90</f>
        <v>2295066876</v>
      </c>
      <c r="I308" s="1799"/>
      <c r="J308" s="1344">
        <f>'Part II-Development Team'!J90</f>
        <v>0</v>
      </c>
      <c r="K308" s="1334" t="s">
        <v>1985</v>
      </c>
      <c r="L308" s="1706" t="str">
        <f>'Part II-Development Team'!L90</f>
        <v>mike@greatsouthernllc.com</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Boyd Management</v>
      </c>
      <c r="I310" s="1348"/>
      <c r="J310" s="1348"/>
      <c r="K310" s="1348"/>
      <c r="L310" s="1348"/>
      <c r="M310" s="1348"/>
      <c r="N310" s="1348"/>
      <c r="O310" s="1337" t="s">
        <v>1990</v>
      </c>
      <c r="P310" s="1337"/>
      <c r="Q310" s="1330" t="str">
        <f>'Part II-Development Team'!Q92</f>
        <v>Barbara "Babbie" Jaco</v>
      </c>
      <c r="R310" s="1348"/>
      <c r="S310" s="1348"/>
    </row>
    <row r="311" spans="1:19">
      <c r="A311" s="1330"/>
      <c r="B311" s="1330"/>
      <c r="C311" s="1330"/>
      <c r="D311" s="1346"/>
      <c r="E311" s="1337" t="s">
        <v>1021</v>
      </c>
      <c r="F311" s="1340"/>
      <c r="G311" s="1330"/>
      <c r="H311" s="1330" t="str">
        <f>'Part II-Development Team'!H93</f>
        <v>P.O. Box 23589</v>
      </c>
      <c r="I311" s="1348"/>
      <c r="J311" s="1348"/>
      <c r="K311" s="1348"/>
      <c r="L311" s="1348"/>
      <c r="M311" s="1348"/>
      <c r="N311" s="1348"/>
      <c r="O311" s="1337" t="s">
        <v>1747</v>
      </c>
      <c r="P311" s="1330"/>
      <c r="Q311" s="1330" t="str">
        <f>'Part II-Development Team'!Q93</f>
        <v>Vice President</v>
      </c>
      <c r="R311" s="1348"/>
      <c r="S311" s="1348"/>
    </row>
    <row r="312" spans="1:19">
      <c r="A312" s="1330"/>
      <c r="B312" s="1330"/>
      <c r="C312" s="1330"/>
      <c r="D312" s="1346"/>
      <c r="E312" s="1337" t="s">
        <v>618</v>
      </c>
      <c r="F312" s="1330"/>
      <c r="G312" s="1330"/>
      <c r="H312" s="1330" t="str">
        <f>'Part II-Development Team'!H94</f>
        <v>Columbia</v>
      </c>
      <c r="I312" s="1348"/>
      <c r="J312" s="1348"/>
      <c r="K312" s="1334" t="s">
        <v>2705</v>
      </c>
      <c r="L312" s="1330" t="str">
        <f>'Part II-Development Team'!L94</f>
        <v>www.boydmanagement.com</v>
      </c>
      <c r="M312" s="1348"/>
      <c r="N312" s="1348"/>
      <c r="O312" s="1337" t="s">
        <v>1721</v>
      </c>
      <c r="P312" s="1330"/>
      <c r="Q312" s="1799">
        <f>'Part II-Development Team'!Q94</f>
        <v>8034196556</v>
      </c>
      <c r="R312" s="1799"/>
      <c r="S312" s="1799"/>
    </row>
    <row r="313" spans="1:19">
      <c r="A313" s="1330"/>
      <c r="B313" s="1330"/>
      <c r="C313" s="1330"/>
      <c r="D313" s="1346"/>
      <c r="E313" s="1337" t="s">
        <v>1799</v>
      </c>
      <c r="F313" s="1330"/>
      <c r="G313" s="1330"/>
      <c r="H313" s="1337" t="str">
        <f>'Part II-Development Team'!H95</f>
        <v>SC</v>
      </c>
      <c r="I313" s="1330"/>
      <c r="J313" s="1330"/>
      <c r="K313" s="1334" t="s">
        <v>2230</v>
      </c>
      <c r="L313" s="1798">
        <f>'Part II-Development Team'!L95</f>
        <v>292243589</v>
      </c>
      <c r="M313" s="1348"/>
      <c r="N313" s="1330"/>
      <c r="O313" s="1337" t="s">
        <v>1980</v>
      </c>
      <c r="P313" s="1330"/>
      <c r="Q313" s="1799">
        <f>'Part II-Development Team'!Q95</f>
        <v>8034229886</v>
      </c>
      <c r="R313" s="1799"/>
      <c r="S313" s="1799"/>
    </row>
    <row r="314" spans="1:19">
      <c r="A314" s="1330"/>
      <c r="B314" s="1330"/>
      <c r="C314" s="1330"/>
      <c r="D314" s="1346"/>
      <c r="E314" s="1337" t="s">
        <v>4253</v>
      </c>
      <c r="F314" s="1330"/>
      <c r="G314" s="1330"/>
      <c r="H314" s="1799">
        <f>'Part II-Development Team'!H96</f>
        <v>8034196556</v>
      </c>
      <c r="I314" s="1799"/>
      <c r="J314" s="1344">
        <f>'Part II-Development Team'!J96</f>
        <v>0</v>
      </c>
      <c r="K314" s="1334" t="s">
        <v>1985</v>
      </c>
      <c r="L314" s="1706" t="str">
        <f>'Part II-Development Team'!L96</f>
        <v>babbie.jaco@boydmanagement.com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2116</v>
      </c>
      <c r="C316" s="1330" t="s">
        <v>289</v>
      </c>
      <c r="D316" s="1330"/>
      <c r="E316" s="1330"/>
      <c r="F316" s="1330"/>
      <c r="G316" s="1330"/>
      <c r="H316" s="1330" t="str">
        <f>'Part II-Development Team'!H98</f>
        <v>Coleman Talley, LLC</v>
      </c>
      <c r="I316" s="1348"/>
      <c r="J316" s="1348"/>
      <c r="K316" s="1348"/>
      <c r="L316" s="1348"/>
      <c r="M316" s="1348"/>
      <c r="N316" s="1348"/>
      <c r="O316" s="1337" t="s">
        <v>1990</v>
      </c>
      <c r="P316" s="1337"/>
      <c r="Q316" s="1330" t="str">
        <f>'Part II-Development Team'!Q98</f>
        <v>Greg Clark</v>
      </c>
      <c r="R316" s="1348"/>
      <c r="S316" s="1348"/>
    </row>
    <row r="317" spans="1:19">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c r="A318" s="1330"/>
      <c r="B318" s="1330"/>
      <c r="C318" s="1330"/>
      <c r="D318" s="1346"/>
      <c r="E318" s="1337" t="s">
        <v>618</v>
      </c>
      <c r="F318" s="1330"/>
      <c r="G318" s="1330"/>
      <c r="H318" s="1330" t="str">
        <f>'Part II-Development Team'!H100</f>
        <v>Valdosta</v>
      </c>
      <c r="I318" s="1348"/>
      <c r="J318" s="1348"/>
      <c r="K318" s="1334" t="s">
        <v>2705</v>
      </c>
      <c r="L318" s="1330" t="str">
        <f>'Part II-Development Team'!L100</f>
        <v>www.colemantalley.com</v>
      </c>
      <c r="M318" s="1348"/>
      <c r="N318" s="1348"/>
      <c r="O318" s="1337" t="s">
        <v>1721</v>
      </c>
      <c r="P318" s="1330"/>
      <c r="Q318" s="1799">
        <f>'Part II-Development Team'!Q100</f>
        <v>2296718260</v>
      </c>
      <c r="R318" s="1799"/>
      <c r="S318" s="1799"/>
    </row>
    <row r="319" spans="1:19">
      <c r="A319" s="1330"/>
      <c r="B319" s="1330"/>
      <c r="C319" s="1330"/>
      <c r="D319" s="1346"/>
      <c r="E319" s="1337" t="s">
        <v>1799</v>
      </c>
      <c r="F319" s="1330"/>
      <c r="G319" s="1330"/>
      <c r="H319" s="1337" t="str">
        <f>'Part II-Development Team'!H101</f>
        <v>GA</v>
      </c>
      <c r="I319" s="1330"/>
      <c r="J319" s="1330"/>
      <c r="K319" s="1334" t="s">
        <v>2230</v>
      </c>
      <c r="L319" s="1798">
        <f>'Part II-Development Team'!L101</f>
        <v>316014531</v>
      </c>
      <c r="M319" s="1348"/>
      <c r="N319" s="1330"/>
      <c r="O319" s="1337" t="s">
        <v>1980</v>
      </c>
      <c r="P319" s="1330"/>
      <c r="Q319" s="1799">
        <f>'Part II-Development Team'!Q101</f>
        <v>2298349704</v>
      </c>
      <c r="R319" s="1799"/>
      <c r="S319" s="1799"/>
    </row>
    <row r="320" spans="1:19">
      <c r="A320" s="1336"/>
      <c r="B320" s="1336"/>
      <c r="C320" s="1336"/>
      <c r="D320" s="1336"/>
      <c r="E320" s="1337" t="s">
        <v>4253</v>
      </c>
      <c r="F320" s="1330"/>
      <c r="G320" s="1330"/>
      <c r="H320" s="1799">
        <f>'Part II-Development Team'!H102</f>
        <v>2292427562</v>
      </c>
      <c r="I320" s="1799"/>
      <c r="J320" s="1344">
        <f>'Part II-Development Team'!J102</f>
        <v>0</v>
      </c>
      <c r="K320" s="1334" t="s">
        <v>1985</v>
      </c>
      <c r="L320" s="1706" t="str">
        <f>'Part II-Development Team'!L102</f>
        <v>greg.clark@colemantalley.com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Aprio</v>
      </c>
      <c r="I322" s="1348"/>
      <c r="J322" s="1348"/>
      <c r="K322" s="1348"/>
      <c r="L322" s="1348"/>
      <c r="M322" s="1348"/>
      <c r="N322" s="1348"/>
      <c r="O322" s="1337" t="s">
        <v>1990</v>
      </c>
      <c r="P322" s="1337"/>
      <c r="Q322" s="1330" t="str">
        <f>'Part II-Development Team'!Q104</f>
        <v xml:space="preserve">Frank Gudger </v>
      </c>
      <c r="R322" s="1348"/>
      <c r="S322" s="1348"/>
    </row>
    <row r="323" spans="1:19">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t="str">
        <f>'Part II-Development Team'!Q105</f>
        <v>Partner</v>
      </c>
      <c r="R323" s="1348"/>
      <c r="S323" s="1348"/>
    </row>
    <row r="324" spans="1:19">
      <c r="A324" s="1330"/>
      <c r="B324" s="1330"/>
      <c r="C324" s="1330"/>
      <c r="D324" s="1346"/>
      <c r="E324" s="1337" t="s">
        <v>618</v>
      </c>
      <c r="F324" s="1330"/>
      <c r="G324" s="1330"/>
      <c r="H324" s="1330" t="str">
        <f>'Part II-Development Team'!H106</f>
        <v>Atlanta</v>
      </c>
      <c r="I324" s="1348"/>
      <c r="J324" s="1348"/>
      <c r="K324" s="1334" t="s">
        <v>2705</v>
      </c>
      <c r="L324" s="1330" t="str">
        <f>'Part II-Development Team'!L106</f>
        <v>www.aprio.com</v>
      </c>
      <c r="M324" s="1348"/>
      <c r="N324" s="1348"/>
      <c r="O324" s="1337" t="s">
        <v>1721</v>
      </c>
      <c r="P324" s="1330"/>
      <c r="Q324" s="1799">
        <f>'Part II-Development Team'!Q106</f>
        <v>4048988244</v>
      </c>
      <c r="R324" s="1799"/>
      <c r="S324" s="1799"/>
    </row>
    <row r="325" spans="1:19">
      <c r="A325" s="1330"/>
      <c r="B325" s="1330"/>
      <c r="C325" s="1330"/>
      <c r="D325" s="1346"/>
      <c r="E325" s="1337" t="s">
        <v>1799</v>
      </c>
      <c r="F325" s="1330"/>
      <c r="G325" s="1330"/>
      <c r="H325" s="1337" t="str">
        <f>'Part II-Development Team'!H107</f>
        <v>GA</v>
      </c>
      <c r="I325" s="1330"/>
      <c r="J325" s="1330"/>
      <c r="K325" s="1334" t="s">
        <v>2230</v>
      </c>
      <c r="L325" s="1798">
        <f>'Part II-Development Team'!L107</f>
        <v>303286132</v>
      </c>
      <c r="M325" s="1348"/>
      <c r="N325" s="1330"/>
      <c r="O325" s="1337" t="s">
        <v>1980</v>
      </c>
      <c r="P325" s="1330"/>
      <c r="Q325" s="1799">
        <f>'Part II-Development Team'!Q107</f>
        <v>6783620453</v>
      </c>
      <c r="R325" s="1799"/>
      <c r="S325" s="1799"/>
    </row>
    <row r="326" spans="1:19">
      <c r="A326" s="1336"/>
      <c r="B326" s="1336"/>
      <c r="C326" s="1336"/>
      <c r="D326" s="1336"/>
      <c r="E326" s="1337" t="s">
        <v>4253</v>
      </c>
      <c r="F326" s="1330"/>
      <c r="G326" s="1330"/>
      <c r="H326" s="1799">
        <f>'Part II-Development Team'!H108</f>
        <v>4048988244</v>
      </c>
      <c r="I326" s="1799"/>
      <c r="J326" s="1344">
        <f>'Part II-Development Team'!J108</f>
        <v>0</v>
      </c>
      <c r="K326" s="1334" t="s">
        <v>1985</v>
      </c>
      <c r="L326" s="1706" t="str">
        <f>'Part II-Development Team'!L108</f>
        <v>frank.gudger@aprio.com</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Martin Riley Associates - Architect, P.C.</v>
      </c>
      <c r="I328" s="1348"/>
      <c r="J328" s="1348"/>
      <c r="K328" s="1348"/>
      <c r="L328" s="1348"/>
      <c r="M328" s="1348"/>
      <c r="N328" s="1348"/>
      <c r="O328" s="1337" t="s">
        <v>1990</v>
      </c>
      <c r="P328" s="1337"/>
      <c r="Q328" s="1330" t="str">
        <f>'Part II-Development Team'!Q110</f>
        <v>Mike Riley</v>
      </c>
      <c r="R328" s="1348"/>
      <c r="S328" s="1348"/>
    </row>
    <row r="329" spans="1:19">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Partner</v>
      </c>
      <c r="R329" s="1348"/>
      <c r="S329" s="1348"/>
    </row>
    <row r="330" spans="1:19">
      <c r="A330" s="1330"/>
      <c r="B330" s="1330"/>
      <c r="C330" s="1330"/>
      <c r="D330" s="1346"/>
      <c r="E330" s="1337" t="s">
        <v>618</v>
      </c>
      <c r="F330" s="1330"/>
      <c r="G330" s="1330"/>
      <c r="H330" s="1330" t="str">
        <f>'Part II-Development Team'!H112</f>
        <v>Decatur</v>
      </c>
      <c r="I330" s="1348"/>
      <c r="J330" s="1348"/>
      <c r="K330" s="1334" t="s">
        <v>2705</v>
      </c>
      <c r="L330" s="1330" t="str">
        <f>'Part II-Development Team'!L112</f>
        <v>www.martinriley.com</v>
      </c>
      <c r="M330" s="1348"/>
      <c r="N330" s="1348"/>
      <c r="O330" s="1337" t="s">
        <v>1721</v>
      </c>
      <c r="P330" s="1330"/>
      <c r="Q330" s="1799">
        <f>'Part II-Development Team'!Q112</f>
        <v>4043752800</v>
      </c>
      <c r="R330" s="1799"/>
      <c r="S330" s="1799"/>
    </row>
    <row r="331" spans="1:19">
      <c r="A331" s="1330"/>
      <c r="B331" s="1330"/>
      <c r="C331" s="1330"/>
      <c r="D331" s="1346"/>
      <c r="E331" s="1337" t="s">
        <v>1799</v>
      </c>
      <c r="F331" s="1330"/>
      <c r="G331" s="1330"/>
      <c r="H331" s="1337" t="str">
        <f>'Part II-Development Team'!H113</f>
        <v>GA</v>
      </c>
      <c r="I331" s="1330"/>
      <c r="J331" s="1330"/>
      <c r="K331" s="1334" t="s">
        <v>2230</v>
      </c>
      <c r="L331" s="1798">
        <f>'Part II-Development Team'!L113</f>
        <v>300303330</v>
      </c>
      <c r="M331" s="1348"/>
      <c r="N331" s="1330"/>
      <c r="O331" s="1337" t="s">
        <v>1980</v>
      </c>
      <c r="P331" s="1330"/>
      <c r="Q331" s="1799">
        <f>'Part II-Development Team'!Q113</f>
        <v>4042903390</v>
      </c>
      <c r="R331" s="1799"/>
      <c r="S331" s="1799"/>
    </row>
    <row r="332" spans="1:19">
      <c r="A332" s="1330"/>
      <c r="B332" s="1330"/>
      <c r="C332" s="1330"/>
      <c r="D332" s="1346"/>
      <c r="E332" s="1337" t="s">
        <v>4253</v>
      </c>
      <c r="F332" s="1330"/>
      <c r="G332" s="1330"/>
      <c r="H332" s="1799">
        <f>'Part II-Development Team'!H114</f>
        <v>4043732800</v>
      </c>
      <c r="I332" s="1799"/>
      <c r="J332" s="1344">
        <f>'Part II-Development Team'!J114</f>
        <v>0</v>
      </c>
      <c r="K332" s="1334" t="s">
        <v>1985</v>
      </c>
      <c r="L332" s="1706" t="str">
        <f>'Part II-Development Team'!L114</f>
        <v>mriley@martinriley.com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1984</v>
      </c>
      <c r="C335" s="1330" t="s">
        <v>5090</v>
      </c>
      <c r="D335" s="1330"/>
      <c r="E335" s="1330"/>
      <c r="F335" s="1330"/>
      <c r="G335" s="1330"/>
      <c r="H335" s="1330">
        <f>'Part II-Development Team'!H117</f>
        <v>0</v>
      </c>
      <c r="I335" s="1330"/>
      <c r="J335" s="1330"/>
      <c r="K335" s="1334" t="s">
        <v>2475</v>
      </c>
      <c r="L335" s="1330">
        <f>'Part II-Development Team'!L117</f>
        <v>0</v>
      </c>
      <c r="M335" s="1348"/>
      <c r="N335" s="1348"/>
      <c r="O335" s="1337" t="s">
        <v>3578</v>
      </c>
      <c r="P335" s="1330"/>
      <c r="Q335" s="1799">
        <f>'Part II-Development Team'!Q117</f>
        <v>0</v>
      </c>
      <c r="R335" s="3119"/>
      <c r="S335" s="3119"/>
    </row>
    <row r="336" spans="1:19">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c r="A337" s="1330"/>
      <c r="B337" s="1330"/>
      <c r="C337" s="1330"/>
      <c r="D337" s="1346"/>
      <c r="E337" s="1337" t="s">
        <v>1799</v>
      </c>
      <c r="F337" s="1330"/>
      <c r="G337" s="1330"/>
      <c r="H337" s="1337">
        <f>'Part II-Development Team'!H119</f>
        <v>0</v>
      </c>
      <c r="I337" s="1334" t="s">
        <v>2230</v>
      </c>
      <c r="J337" s="1798">
        <f>'Part II-Development Team'!J119</f>
        <v>0</v>
      </c>
      <c r="K337" s="1348"/>
      <c r="L337" s="1334" t="s">
        <v>1985</v>
      </c>
      <c r="M337" s="1706">
        <f>'Part II-Development Team'!M119</f>
        <v>0</v>
      </c>
      <c r="N337" s="1706"/>
      <c r="O337" s="1706"/>
      <c r="P337" s="1706"/>
      <c r="Q337" s="1706"/>
      <c r="R337" s="1706"/>
      <c r="S337" s="1706"/>
    </row>
    <row r="338" spans="1:19">
      <c r="A338" s="1336"/>
      <c r="B338" s="1330" t="s">
        <v>1986</v>
      </c>
      <c r="C338" s="1330" t="s">
        <v>5081</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2511</v>
      </c>
      <c r="G339" s="1341" t="s">
        <v>3478</v>
      </c>
      <c r="H339" s="1341"/>
      <c r="I339" s="1341"/>
      <c r="J339" s="1341"/>
      <c r="K339" s="1341"/>
      <c r="L339" s="1341"/>
      <c r="M339" s="1341"/>
      <c r="N339" s="1341"/>
      <c r="O339" s="1341"/>
      <c r="P339" s="1341"/>
      <c r="Q339" s="1341"/>
      <c r="R339" s="1341"/>
      <c r="S339" s="1341"/>
    </row>
    <row r="340" spans="1:19" ht="13.5" customHeight="1">
      <c r="A340" s="1330"/>
      <c r="B340" s="1375"/>
      <c r="C340" s="3120" t="s">
        <v>1987</v>
      </c>
      <c r="D340" s="1365" t="s">
        <v>2837</v>
      </c>
      <c r="E340" s="1365"/>
      <c r="F340" s="1812" t="str">
        <f>'Part II-Development Team'!F122</f>
        <v>Yes</v>
      </c>
      <c r="G340" s="1573" t="str">
        <f>'Part II-Development Team'!G122</f>
        <v>William J. Rea, Jr. owns a 45% interest in the Contractor (Great Southern, LLC) and 58% of the principal Developer (Rea Ventures Group, LLC).</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3120" t="s">
        <v>1989</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3120" t="s">
        <v>2535</v>
      </c>
      <c r="D342" s="1365" t="s">
        <v>2878</v>
      </c>
      <c r="E342" s="1365"/>
      <c r="F342" s="1812" t="str">
        <f>'Part II-Development Team'!F124</f>
        <v>Yes</v>
      </c>
      <c r="G342" s="1573" t="str">
        <f>'Part II-Development Team'!G124</f>
        <v>William J. Rea, Jr. owns a 45% interest in the Contractor (Great Southern, LLC) and 58% of the General Partner's uppier tier managing entity (Rea GP Holdings Group II,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3120"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3120"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3120" t="s">
        <v>1882</v>
      </c>
      <c r="D345" s="1365" t="s">
        <v>3467</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3120"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3120" t="s">
        <v>504</v>
      </c>
      <c r="D347" s="1365" t="s">
        <v>5027</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3120" t="s">
        <v>5026</v>
      </c>
      <c r="D348" s="1365" t="str">
        <f>'Part II-Development Team'!D130</f>
        <v>Other (Indicate here the two roles involved)</v>
      </c>
      <c r="E348" s="1365">
        <f>'Part II-Development Team'!E130</f>
        <v>0</v>
      </c>
      <c r="F348" s="1812" t="str">
        <f>'Part II-Development Team'!F130</f>
        <v>Select</v>
      </c>
      <c r="G348" s="1573">
        <f>'Part II-Development Team'!G130</f>
        <v>0</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5334</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5082</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5091</v>
      </c>
      <c r="L352" s="1365" t="s">
        <v>5092</v>
      </c>
      <c r="M352" s="1365" t="s">
        <v>5093</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5335</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t="str">
        <f>'Part II-Development Team'!L145</f>
        <v>N/A</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t="str">
        <f>'Part II-Development Team'!L146</f>
        <v>N/A</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No</v>
      </c>
      <c r="J365" s="1812" t="str">
        <f>'Part II-Development Team'!J147</f>
        <v>No</v>
      </c>
      <c r="K365" s="1813" t="str">
        <f>'Part II-Development Team'!K147</f>
        <v>Nonprofit</v>
      </c>
      <c r="L365" s="1814" t="str">
        <f>'Part II-Development Team'!L147</f>
        <v>N/A</v>
      </c>
      <c r="M365" s="1812" t="str">
        <f>'Part II-Development Team'!M147</f>
        <v>No</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f>'Part II-Development Team'!K150</f>
        <v>0</v>
      </c>
      <c r="L368" s="1814" t="str">
        <f>'Part II-Development Team'!L150</f>
        <v>N/A</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f>'Part II-Development Team'!K151</f>
        <v>0</v>
      </c>
      <c r="L369" s="1814" t="str">
        <f>'Part II-Development Team'!L151</f>
        <v>N/A</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5">
      <c r="A372" s="1391" t="str">
        <f>'Part II-Development Team'!A154</f>
        <v xml:space="preserve">All development team members are experienced in multifamily LIHTC housing.   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information required at pre-application for experience determination is resubmitted under Tab 19 of this application.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2019-078 Abbington Sound, Kingsland, Camden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2492</v>
      </c>
      <c r="C380" s="1330"/>
      <c r="D380" s="1330"/>
      <c r="E380" s="1330"/>
      <c r="F380" s="1330"/>
      <c r="G380" s="1330"/>
      <c r="H380" s="1393"/>
      <c r="I380" s="1393"/>
      <c r="J380" s="1393"/>
      <c r="K380" s="1393"/>
      <c r="L380" s="3121" t="str">
        <f>'Part I-Project Information'!$B$6</f>
        <v>April 2019 Final</v>
      </c>
      <c r="M380" s="3121"/>
      <c r="N380" s="3121"/>
      <c r="O380" s="3121"/>
      <c r="P380" s="3121"/>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5">
      <c r="A382" s="1334"/>
      <c r="B382" s="1334" t="str">
        <f>'Part III-Sources of Funds'!B5</f>
        <v>Yes</v>
      </c>
      <c r="C382" s="1337" t="s">
        <v>2411</v>
      </c>
      <c r="D382" s="1330"/>
      <c r="E382" s="1334">
        <f>'Part III-Sources of Funds'!E5</f>
        <v>0</v>
      </c>
      <c r="F382" s="1337" t="s">
        <v>4498</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5">
      <c r="A383" s="1334"/>
      <c r="B383" s="1334">
        <f>'Part III-Sources of Funds'!B6</f>
        <v>0</v>
      </c>
      <c r="C383" s="1337" t="s">
        <v>5001</v>
      </c>
      <c r="D383" s="1330"/>
      <c r="E383" s="1334">
        <f>'Part III-Sources of Funds'!E6</f>
        <v>0</v>
      </c>
      <c r="F383" s="1337" t="s">
        <v>4499</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5">
      <c r="A384" s="1330"/>
      <c r="B384" s="1334">
        <f>'Part III-Sources of Funds'!B7</f>
        <v>0</v>
      </c>
      <c r="C384" s="1337" t="s">
        <v>551</v>
      </c>
      <c r="D384" s="1393"/>
      <c r="E384" s="1393"/>
      <c r="F384" s="1330" t="s">
        <v>5336</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3617</v>
      </c>
      <c r="N384" s="1393"/>
      <c r="O384" s="1393"/>
      <c r="P384" s="1393"/>
      <c r="Q384" s="1393"/>
      <c r="R384" s="1393"/>
      <c r="S384" s="1391">
        <f>'Part III-Sources of Funds'!S7</f>
        <v>0</v>
      </c>
      <c r="T384" s="1391">
        <f>'Part III-Sources of Funds'!T7</f>
        <v>0</v>
      </c>
    </row>
    <row r="385" spans="1:20" ht="13.5">
      <c r="A385" s="1334"/>
      <c r="B385" s="1334">
        <f>'Part III-Sources of Funds'!B8</f>
        <v>0</v>
      </c>
      <c r="C385" s="1337" t="s">
        <v>2602</v>
      </c>
      <c r="D385" s="1393"/>
      <c r="E385" s="1334">
        <f>'Part III-Sources of Funds'!E8</f>
        <v>0</v>
      </c>
      <c r="F385" s="1337" t="s">
        <v>2610</v>
      </c>
      <c r="G385" s="1393"/>
      <c r="H385" s="1393"/>
      <c r="I385" s="1393"/>
      <c r="J385" s="1393"/>
      <c r="K385" s="1393"/>
      <c r="L385" s="1334">
        <f>'Part III-Sources of Funds'!L8</f>
        <v>0</v>
      </c>
      <c r="M385" s="1337" t="s">
        <v>5002</v>
      </c>
      <c r="N385" s="1393"/>
      <c r="O385" s="1393"/>
      <c r="P385" s="1393"/>
      <c r="Q385" s="1393"/>
      <c r="R385" s="1393"/>
      <c r="S385" s="1391">
        <f>'Part III-Sources of Funds'!S8</f>
        <v>0</v>
      </c>
      <c r="T385" s="1391">
        <f>'Part III-Sources of Funds'!T8</f>
        <v>0</v>
      </c>
    </row>
    <row r="386" spans="1:20" ht="13.5">
      <c r="A386" s="1334"/>
      <c r="B386" s="1334">
        <f>'Part III-Sources of Funds'!B9</f>
        <v>0</v>
      </c>
      <c r="C386" s="1337" t="s">
        <v>2603</v>
      </c>
      <c r="D386" s="1393"/>
      <c r="E386" s="1334">
        <f>'Part III-Sources of Funds'!E9</f>
        <v>0</v>
      </c>
      <c r="F386" s="1337" t="s">
        <v>3719</v>
      </c>
      <c r="G386" s="1393"/>
      <c r="H386" s="1393">
        <f>'Part III-Sources of Funds'!H9</f>
        <v>0</v>
      </c>
      <c r="I386" s="1393">
        <f>'Part III-Sources of Funds'!I9</f>
        <v>0</v>
      </c>
      <c r="J386" s="1393">
        <f>'Part III-Sources of Funds'!J9</f>
        <v>0</v>
      </c>
      <c r="K386" s="1393"/>
      <c r="L386" s="1334">
        <f>'Part III-Sources of Funds'!L9</f>
        <v>0</v>
      </c>
      <c r="M386" s="1337" t="s">
        <v>3678</v>
      </c>
      <c r="N386" s="1393"/>
      <c r="O386" s="1393"/>
      <c r="P386" s="1393"/>
      <c r="Q386" s="1393"/>
      <c r="R386" s="1393"/>
      <c r="S386" s="1391">
        <f>'Part III-Sources of Funds'!S9</f>
        <v>0</v>
      </c>
      <c r="T386" s="1391">
        <f>'Part III-Sources of Funds'!T9</f>
        <v>0</v>
      </c>
    </row>
    <row r="387" spans="1:20" ht="13.5">
      <c r="A387" s="1334"/>
      <c r="B387" s="1334">
        <f>'Part III-Sources of Funds'!B10</f>
        <v>0</v>
      </c>
      <c r="C387" s="1337" t="s">
        <v>3683</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2611</v>
      </c>
      <c r="N387" s="1393"/>
      <c r="O387" s="1393"/>
      <c r="P387" s="1393"/>
      <c r="Q387" s="1393"/>
      <c r="R387" s="1393"/>
      <c r="S387" s="1391">
        <f>'Part III-Sources of Funds'!S10</f>
        <v>0</v>
      </c>
      <c r="T387" s="1391">
        <f>'Part III-Sources of Funds'!T10</f>
        <v>0</v>
      </c>
    </row>
    <row r="388" spans="1:20" ht="13.5">
      <c r="A388" s="1334"/>
      <c r="B388" s="1334">
        <f>'Part III-Sources of Funds'!B11</f>
        <v>0</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3722</v>
      </c>
      <c r="N388" s="1393"/>
      <c r="O388" s="1393"/>
      <c r="P388" s="1393"/>
      <c r="Q388" s="1393"/>
      <c r="R388" s="1393"/>
      <c r="S388" s="1391">
        <f>'Part III-Sources of Funds'!S11</f>
        <v>0</v>
      </c>
      <c r="T388" s="1391">
        <f>'Part III-Sources of Funds'!T11</f>
        <v>0</v>
      </c>
    </row>
    <row r="389" spans="1:20" ht="13.5">
      <c r="A389" s="1334"/>
      <c r="B389" s="1334">
        <f>'Part III-Sources of Funds'!B12</f>
        <v>0</v>
      </c>
      <c r="C389" s="1330" t="s">
        <v>2609</v>
      </c>
      <c r="D389" s="1393"/>
      <c r="E389" s="1334">
        <f>'Part III-Sources of Funds'!E12</f>
        <v>0</v>
      </c>
      <c r="F389" s="1393">
        <f>'Part III-Sources of Funds'!F12</f>
        <v>0</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2797</v>
      </c>
      <c r="N389" s="1393"/>
      <c r="O389" s="1393"/>
      <c r="P389" s="1393"/>
      <c r="Q389" s="1393"/>
      <c r="R389" s="1393"/>
      <c r="S389" s="1391">
        <f>'Part III-Sources of Funds'!S12</f>
        <v>0</v>
      </c>
      <c r="T389" s="1391">
        <f>'Part III-Sources of Funds'!T12</f>
        <v>0</v>
      </c>
    </row>
    <row r="390" spans="1:20" ht="13.5">
      <c r="A390" s="1334"/>
      <c r="B390" s="1334">
        <f>'Part III-Sources of Funds'!B13</f>
        <v>0</v>
      </c>
      <c r="C390" s="1330" t="s">
        <v>3717</v>
      </c>
      <c r="D390" s="1393"/>
      <c r="E390" s="1393"/>
      <c r="F390" s="1393">
        <f>'Part III-Sources of Funds'!F13</f>
        <v>0</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3883</v>
      </c>
      <c r="N390" s="1393"/>
      <c r="O390" s="1393"/>
      <c r="P390" s="1393"/>
      <c r="Q390" s="1393"/>
      <c r="R390" s="1393"/>
      <c r="S390" s="1391">
        <f>'Part III-Sources of Funds'!S13</f>
        <v>0</v>
      </c>
      <c r="T390" s="1391">
        <f>'Part III-Sources of Funds'!T13</f>
        <v>0</v>
      </c>
    </row>
    <row r="391" spans="1:20" ht="13.5">
      <c r="A391" s="1334"/>
      <c r="B391" s="1334">
        <f>'Part III-Sources of Funds'!B14</f>
        <v>0</v>
      </c>
      <c r="C391" s="1337" t="s">
        <v>1803</v>
      </c>
      <c r="D391" s="1393"/>
      <c r="E391" s="1334">
        <f>'Part III-Sources of Funds'!E14</f>
        <v>0</v>
      </c>
      <c r="F391" s="1337" t="s">
        <v>4999</v>
      </c>
      <c r="G391" s="1393"/>
      <c r="H391" s="1393"/>
      <c r="I391" s="1449">
        <f>'Part III-Sources of Funds'!I14</f>
        <v>0</v>
      </c>
      <c r="J391" s="1449">
        <f>'Part III-Sources of Funds'!J14</f>
        <v>0</v>
      </c>
      <c r="K391" s="1393"/>
      <c r="L391" s="1334">
        <f>'Part III-Sources of Funds'!L14</f>
        <v>0</v>
      </c>
      <c r="M391" s="1332" t="s">
        <v>5337</v>
      </c>
      <c r="N391" s="1393"/>
      <c r="O391" s="1393"/>
      <c r="P391" s="1393"/>
      <c r="Q391" s="1393"/>
      <c r="R391" s="1393"/>
      <c r="S391" s="1393"/>
      <c r="T391" s="1393"/>
    </row>
    <row r="392" spans="1:20" ht="13.5">
      <c r="A392" s="1334"/>
      <c r="B392" s="1393" t="s">
        <v>5003</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1872</v>
      </c>
      <c r="C396" s="1330"/>
      <c r="D396" s="1330"/>
      <c r="E396" s="1330"/>
      <c r="F396" s="1330"/>
      <c r="G396" s="1330"/>
      <c r="H396" s="1330" t="s">
        <v>1297</v>
      </c>
      <c r="I396" s="1330"/>
      <c r="J396" s="1330"/>
      <c r="K396" s="1330"/>
      <c r="L396" s="1330" t="s">
        <v>4955</v>
      </c>
      <c r="M396" s="1330"/>
      <c r="N396" s="1330" t="s">
        <v>1507</v>
      </c>
      <c r="O396" s="1330"/>
      <c r="P396" s="1330" t="s">
        <v>1630</v>
      </c>
      <c r="Q396" s="1330"/>
      <c r="R396" s="1393"/>
      <c r="S396" s="1794" t="s">
        <v>2684</v>
      </c>
      <c r="T396" s="1794"/>
    </row>
    <row r="397" spans="1:20" ht="38.25">
      <c r="A397" s="1330"/>
      <c r="B397" s="1330" t="s">
        <v>1591</v>
      </c>
      <c r="C397" s="1330"/>
      <c r="D397" s="1330"/>
      <c r="E397" s="1330"/>
      <c r="F397" s="1330"/>
      <c r="G397" s="1330"/>
      <c r="H397" s="1386" t="str">
        <f>'Part III-Sources of Funds'!H20</f>
        <v>CDBG-DR Construction-to-Perm Loan</v>
      </c>
      <c r="I397" s="1386">
        <f>'Part III-Sources of Funds'!I20</f>
        <v>0</v>
      </c>
      <c r="J397" s="1386">
        <f>'Part III-Sources of Funds'!J20</f>
        <v>0</v>
      </c>
      <c r="K397" s="1386">
        <f>'Part III-Sources of Funds'!K20</f>
        <v>0</v>
      </c>
      <c r="L397" s="1412">
        <f>'Part III-Sources of Funds'!L20</f>
        <v>4150000</v>
      </c>
      <c r="M397" s="1412">
        <f>'Part III-Sources of Funds'!M20</f>
        <v>0</v>
      </c>
      <c r="N397" s="1395">
        <f>'Part III-Sources of Funds'!N20</f>
        <v>0.01</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51">
      <c r="A398" s="1330"/>
      <c r="B398" s="1330" t="s">
        <v>1592</v>
      </c>
      <c r="C398" s="1330"/>
      <c r="D398" s="1330"/>
      <c r="E398" s="1330"/>
      <c r="F398" s="1330"/>
      <c r="G398" s="1330"/>
      <c r="H398" s="1386" t="str">
        <f>'Part III-Sources of Funds'!H21</f>
        <v>Churchill Stateside - Constructon Bridge Loan</v>
      </c>
      <c r="I398" s="1386">
        <f>'Part III-Sources of Funds'!I21</f>
        <v>0</v>
      </c>
      <c r="J398" s="1386">
        <f>'Part III-Sources of Funds'!J21</f>
        <v>0</v>
      </c>
      <c r="K398" s="1386">
        <f>'Part III-Sources of Funds'!K21</f>
        <v>0</v>
      </c>
      <c r="L398" s="1412">
        <f>'Part III-Sources of Funds'!L21</f>
        <v>6399799.9199999999</v>
      </c>
      <c r="M398" s="1412">
        <f>'Part III-Sources of Funds'!M21</f>
        <v>0</v>
      </c>
      <c r="N398" s="1395">
        <f>'Part III-Sources of Funds'!N21</f>
        <v>6.5000000000000002E-2</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38.25">
      <c r="A403" s="1330"/>
      <c r="B403" s="1330" t="s">
        <v>802</v>
      </c>
      <c r="C403" s="1330"/>
      <c r="D403" s="1330"/>
      <c r="E403" s="1330"/>
      <c r="F403" s="1393"/>
      <c r="G403" s="1393"/>
      <c r="H403" s="1386" t="str">
        <f>'Part III-Sources of Funds'!H26</f>
        <v>Federal Investor - Churchill Stateside</v>
      </c>
      <c r="I403" s="1386">
        <f>'Part III-Sources of Funds'!I26</f>
        <v>0</v>
      </c>
      <c r="J403" s="1386">
        <f>'Part III-Sources of Funds'!J26</f>
        <v>0</v>
      </c>
      <c r="K403" s="1386">
        <f>'Part III-Sources of Funds'!K26</f>
        <v>0</v>
      </c>
      <c r="L403" s="1412">
        <f>'Part III-Sources of Funds'!L26</f>
        <v>3531646</v>
      </c>
      <c r="M403" s="1412">
        <f>'Part III-Sources of Funds'!M26</f>
        <v>0</v>
      </c>
      <c r="N403" s="1330"/>
      <c r="O403" s="1393"/>
      <c r="P403" s="1393"/>
      <c r="Q403" s="1330"/>
      <c r="R403" s="1393"/>
      <c r="S403" s="1391">
        <f>'Part III-Sources of Funds'!S26</f>
        <v>0</v>
      </c>
      <c r="T403" s="1391">
        <f>'Part III-Sources of Funds'!T26</f>
        <v>0</v>
      </c>
    </row>
    <row r="404" spans="1:20" ht="38.25">
      <c r="A404" s="1330"/>
      <c r="B404" s="1330" t="s">
        <v>803</v>
      </c>
      <c r="C404" s="1330"/>
      <c r="D404" s="1330"/>
      <c r="E404" s="1330"/>
      <c r="F404" s="1393"/>
      <c r="G404" s="1393"/>
      <c r="H404" s="1386" t="str">
        <f>'Part III-Sources of Funds'!H27</f>
        <v>State Investor - Churchill Stateside</v>
      </c>
      <c r="I404" s="1386">
        <f>'Part III-Sources of Funds'!I27</f>
        <v>0</v>
      </c>
      <c r="J404" s="1386">
        <f>'Part III-Sources of Funds'!J27</f>
        <v>0</v>
      </c>
      <c r="K404" s="1386">
        <f>'Part III-Sources of Funds'!K27</f>
        <v>0</v>
      </c>
      <c r="L404" s="1412">
        <f>'Part III-Sources of Funds'!L27</f>
        <v>1942405</v>
      </c>
      <c r="M404" s="1412">
        <f>'Part III-Sources of Funds'!M27</f>
        <v>0</v>
      </c>
      <c r="N404" s="1330"/>
      <c r="O404" s="1393"/>
      <c r="P404" s="1393"/>
      <c r="Q404" s="1330"/>
      <c r="R404" s="1393"/>
      <c r="S404" s="1391">
        <f>'Part III-Sources of Funds'!S27</f>
        <v>0</v>
      </c>
      <c r="T404" s="1391">
        <f>'Part III-Sources of Funds'!T27</f>
        <v>0</v>
      </c>
    </row>
    <row r="405" spans="1:20" ht="13.5">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16023850.92</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13537516</v>
      </c>
      <c r="M409" s="1400"/>
      <c r="N409" s="1341"/>
      <c r="O409" s="1393"/>
      <c r="P409" s="1393"/>
      <c r="Q409" s="1393"/>
      <c r="R409" s="1393"/>
      <c r="S409" s="1391">
        <f>'Part III-Sources of Funds'!S32</f>
        <v>0</v>
      </c>
      <c r="T409" s="1391">
        <f>'Part III-Sources of Funds'!T32</f>
        <v>0</v>
      </c>
    </row>
    <row r="410" spans="1:20" ht="13.5">
      <c r="A410" s="1330"/>
      <c r="B410" s="1337" t="s">
        <v>2158</v>
      </c>
      <c r="C410" s="1330"/>
      <c r="D410" s="1330"/>
      <c r="E410" s="1330"/>
      <c r="F410" s="1330"/>
      <c r="G410" s="1330"/>
      <c r="H410" s="1330"/>
      <c r="I410" s="1330"/>
      <c r="J410" s="1393"/>
      <c r="K410" s="1393"/>
      <c r="L410" s="1462">
        <f ca="1">L408-L409</f>
        <v>2486334.92</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5">
      <c r="A414" s="1330"/>
      <c r="B414" s="1337" t="s">
        <v>1872</v>
      </c>
      <c r="C414" s="1330"/>
      <c r="D414" s="1330"/>
      <c r="E414" s="1330" t="s">
        <v>1297</v>
      </c>
      <c r="F414" s="1330"/>
      <c r="G414" s="1330"/>
      <c r="H414" s="1330"/>
      <c r="I414" s="1330" t="s">
        <v>4954</v>
      </c>
      <c r="J414" s="1330"/>
      <c r="K414" s="1334" t="s">
        <v>1806</v>
      </c>
      <c r="L414" s="1334" t="s">
        <v>2215</v>
      </c>
      <c r="M414" s="1334" t="s">
        <v>2215</v>
      </c>
      <c r="N414" s="1330" t="s">
        <v>74</v>
      </c>
      <c r="O414" s="1330"/>
      <c r="P414" s="1341"/>
      <c r="Q414" s="1341"/>
      <c r="R414" s="1393"/>
      <c r="S414" s="1794" t="s">
        <v>2684</v>
      </c>
      <c r="T414" s="1794"/>
    </row>
    <row r="415" spans="1:20" ht="38.25">
      <c r="A415" s="1330"/>
      <c r="B415" s="1330" t="s">
        <v>2615</v>
      </c>
      <c r="C415" s="1330"/>
      <c r="D415" s="1330"/>
      <c r="E415" s="1386" t="str">
        <f>'Part III-Sources of Funds'!E38</f>
        <v>CDBG-DR Construction-to-Perm Loan</v>
      </c>
      <c r="F415" s="1386">
        <f>'Part III-Sources of Funds'!F38</f>
        <v>0</v>
      </c>
      <c r="G415" s="1386">
        <f>'Part III-Sources of Funds'!G38</f>
        <v>0</v>
      </c>
      <c r="H415" s="1386">
        <f>'Part III-Sources of Funds'!H38</f>
        <v>0</v>
      </c>
      <c r="I415" s="1462">
        <f>'Part III-Sources of Funds'!I38</f>
        <v>4150000</v>
      </c>
      <c r="J415" s="1330">
        <f>'Part III-Sources of Funds'!J38</f>
        <v>0</v>
      </c>
      <c r="K415" s="1399">
        <f>'Part III-Sources of Funds'!K38</f>
        <v>0.01</v>
      </c>
      <c r="L415" s="1334">
        <f>'Part III-Sources of Funds'!L38</f>
        <v>20</v>
      </c>
      <c r="M415" s="1334">
        <f>'Part III-Sources of Funds'!M38</f>
        <v>20</v>
      </c>
      <c r="N415" s="1330" t="str">
        <f>'Part III-Sources of Funds'!N38</f>
        <v>Amortizing</v>
      </c>
      <c r="O415" s="1330">
        <f>'Part III-Sources of Funds'!O38</f>
        <v>0</v>
      </c>
      <c r="P415" s="1400">
        <f>'Part III-Sources of Funds'!P38</f>
        <v>229027.36486498272</v>
      </c>
      <c r="Q415" s="1400">
        <f>'Part III-Sources of Funds'!Q38</f>
        <v>0</v>
      </c>
      <c r="R415" s="1393"/>
      <c r="S415" s="1391">
        <f>'Part III-Sources of Funds'!S38</f>
        <v>0</v>
      </c>
      <c r="T415" s="1391">
        <f>'Part III-Sources of Funds'!T38</f>
        <v>0</v>
      </c>
    </row>
    <row r="416" spans="1:20" ht="13.5">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1">
      <c r="A420" s="1330"/>
      <c r="B420" s="1330" t="s">
        <v>228</v>
      </c>
      <c r="C420" s="1330"/>
      <c r="D420" s="1401">
        <f>'Part III-Sources of Funds'!D43</f>
        <v>0.44761444444444443</v>
      </c>
      <c r="E420" s="1386" t="str">
        <f>'Part III-Sources of Funds'!E43</f>
        <v>Rea Ventures Group / Brady Development</v>
      </c>
      <c r="F420" s="1386">
        <f>'Part III-Sources of Funds'!F43</f>
        <v>0</v>
      </c>
      <c r="G420" s="1386">
        <f>'Part III-Sources of Funds'!G43</f>
        <v>0</v>
      </c>
      <c r="H420" s="1386">
        <f>'Part III-Sources of Funds'!H43</f>
        <v>0</v>
      </c>
      <c r="I420" s="1449">
        <f>'Part III-Sources of Funds'!I43</f>
        <v>805706</v>
      </c>
      <c r="J420" s="1449">
        <f>'Part III-Sources of Funds'!J43</f>
        <v>0</v>
      </c>
      <c r="K420" s="1399">
        <f>'Part III-Sources of Funds'!K43</f>
        <v>0</v>
      </c>
      <c r="L420" s="1334">
        <f>'Part III-Sources of Funds'!L43</f>
        <v>0</v>
      </c>
      <c r="M420" s="1334">
        <f>'Part III-Sources of Funds'!M43</f>
        <v>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4180</v>
      </c>
      <c r="C422" s="1330"/>
      <c r="D422" s="1393"/>
      <c r="E422" s="1393" t="s">
        <v>4082</v>
      </c>
      <c r="F422" s="1402" t="e">
        <f>'Part III-Sources of Funds'!F45</f>
        <v>#N/A</v>
      </c>
      <c r="G422" s="1393">
        <f>'Part III-Sources of Funds'!G45</f>
        <v>0</v>
      </c>
      <c r="H422" s="1394" t="s">
        <v>4179</v>
      </c>
      <c r="I422" s="1402" t="e">
        <f>'Part III-Sources of Funds'!I45</f>
        <v>#N/A</v>
      </c>
      <c r="J422" s="1393">
        <f>'Part III-Sources of Funds'!J45</f>
        <v>0</v>
      </c>
      <c r="K422" s="1394" t="s">
        <v>4181</v>
      </c>
      <c r="L422" s="1403" t="e">
        <f>'Part III-Sources of Funds'!L45</f>
        <v>#N/A</v>
      </c>
      <c r="M422" s="1403">
        <f>'Part III-Sources of Funds'!M45</f>
        <v>0</v>
      </c>
      <c r="N422" s="1400" t="s">
        <v>4966</v>
      </c>
      <c r="O422" s="1400"/>
      <c r="P422" s="1449">
        <f ca="1">'Part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51">
      <c r="A426" s="1330"/>
      <c r="B426" s="1330" t="s">
        <v>802</v>
      </c>
      <c r="C426" s="1330"/>
      <c r="D426" s="1330"/>
      <c r="E426" s="1386" t="str">
        <f>'Part III-Sources of Funds'!E49</f>
        <v>Federal Investor - Churchill Stateside</v>
      </c>
      <c r="F426" s="1386">
        <f>'Part III-Sources of Funds'!F49</f>
        <v>0</v>
      </c>
      <c r="G426" s="1386">
        <f>'Part III-Sources of Funds'!G49</f>
        <v>0</v>
      </c>
      <c r="H426" s="1386">
        <f>'Part III-Sources of Funds'!H49</f>
        <v>0</v>
      </c>
      <c r="I426" s="1462">
        <f>'Part III-Sources of Funds'!I49</f>
        <v>7063293</v>
      </c>
      <c r="J426" s="1462">
        <f>'Part III-Sources of Funds'!J49</f>
        <v>0</v>
      </c>
      <c r="K426" s="1393"/>
      <c r="L426" s="1406">
        <f ca="1">'Part IV-A-Uses of Funds'!$J$175*10*'Part IV-A-Uses of Funds'!$N$168</f>
        <v>7064000</v>
      </c>
      <c r="M426" s="1406"/>
      <c r="N426" s="1407">
        <f ca="1">I426-L426</f>
        <v>-707</v>
      </c>
      <c r="O426" s="1407"/>
      <c r="P426" s="1408" t="s">
        <v>2561</v>
      </c>
      <c r="Q426" s="1330"/>
      <c r="R426" s="1393"/>
      <c r="S426" s="1391">
        <f>'Part III-Sources of Funds'!S49</f>
        <v>0</v>
      </c>
      <c r="T426" s="1391">
        <f>'Part III-Sources of Funds'!T49</f>
        <v>0</v>
      </c>
    </row>
    <row r="427" spans="1:20" ht="38.25">
      <c r="A427" s="1330"/>
      <c r="B427" s="1330" t="s">
        <v>803</v>
      </c>
      <c r="C427" s="1330"/>
      <c r="D427" s="1330"/>
      <c r="E427" s="1386" t="str">
        <f>'Part III-Sources of Funds'!E50</f>
        <v>State Investor - Churchill Stateside</v>
      </c>
      <c r="F427" s="1386">
        <f>'Part III-Sources of Funds'!F50</f>
        <v>0</v>
      </c>
      <c r="G427" s="1386">
        <f>'Part III-Sources of Funds'!G50</f>
        <v>0</v>
      </c>
      <c r="H427" s="1386">
        <f>'Part III-Sources of Funds'!H50</f>
        <v>0</v>
      </c>
      <c r="I427" s="1462">
        <f>'Part III-Sources of Funds'!I50</f>
        <v>3884811</v>
      </c>
      <c r="J427" s="1462">
        <f>'Part III-Sources of Funds'!J50</f>
        <v>0</v>
      </c>
      <c r="K427" s="1393"/>
      <c r="L427" s="1406">
        <f ca="1">'Part IV-A-Uses of Funds'!$J$175*10*'Part IV-A-Uses of Funds'!$Q$168</f>
        <v>3885200</v>
      </c>
      <c r="M427" s="1406"/>
      <c r="N427" s="1407">
        <f ca="1">I427-L427</f>
        <v>-389</v>
      </c>
      <c r="O427" s="1407"/>
      <c r="P427" s="1409">
        <f ca="1">I426/I436</f>
        <v>0.44412584343050354</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 ca="1">I427/I436</f>
        <v>0.24426920445507469</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 ca="1">SUM(P427:P428)</f>
        <v>0.68839504788557826</v>
      </c>
      <c r="Q429" s="1330"/>
      <c r="R429" s="1393"/>
      <c r="S429" s="1391">
        <f>'Part III-Sources of Funds'!S52</f>
        <v>0</v>
      </c>
      <c r="T429" s="1391">
        <f>'Part III-Sources of Funds'!T52</f>
        <v>0</v>
      </c>
    </row>
    <row r="430" spans="1:20" ht="13.5">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5">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2217</v>
      </c>
      <c r="C435" s="1330"/>
      <c r="D435" s="1330"/>
      <c r="E435" s="1330"/>
      <c r="F435" s="1330"/>
      <c r="G435" s="1330"/>
      <c r="H435" s="1393"/>
      <c r="I435" s="1400">
        <f>SUM(I415:J420)+SUM(I424:J434)</f>
        <v>15903810</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2218</v>
      </c>
      <c r="C436" s="1330"/>
      <c r="D436" s="1330"/>
      <c r="E436" s="1330"/>
      <c r="F436" s="1330"/>
      <c r="G436" s="1330"/>
      <c r="H436" s="1393"/>
      <c r="I436" s="1400">
        <f ca="1">'Part IV-A-Uses of Funds'!$G$132</f>
        <v>15903809.932432491</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 ca="1">I435-I436</f>
        <v>6.7567508667707443E-2</v>
      </c>
      <c r="J437" s="1462"/>
      <c r="K437" s="1330"/>
      <c r="L437" s="1334"/>
      <c r="M437" s="1386"/>
      <c r="N437" s="1386"/>
      <c r="O437" s="1386"/>
      <c r="P437" s="1386"/>
      <c r="Q437" s="1330"/>
      <c r="R437" s="1393"/>
      <c r="S437" s="1391">
        <f>'Part III-Sources of Funds'!S60</f>
        <v>0</v>
      </c>
      <c r="T437" s="1391">
        <f>'Part III-Sources of Funds'!T60</f>
        <v>0</v>
      </c>
    </row>
    <row r="438" spans="1:24">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 xml:space="preserve">Churchill Stateside Group has executed a LOI to be the Federal Investor at a syndication rate of $0.80 for an allocation of 99.99% ($823,917 annually) of the Federal Credits.
Churchill Stateside Group has executed a LOI to be the State Investor at a syndication rate of $0.44 for an allocation of 100% ($824,000 annually) of the State Credits.
Federal and State Equity included in in Construction Financing above are equal to the first two contributions.
Churchill Stateside Group has executed a Commitment for Construction and Permanent Financing.
</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3122" t="s">
        <v>2694</v>
      </c>
      <c r="T441" s="3122"/>
    </row>
    <row r="446" spans="1:24">
      <c r="A446" s="1330" t="str">
        <f>CONCATENATE("PART FOUR -  USES OF FUNDS","  -  ",'Part I-Project Information'!$O$6," ",'Part I-Project Information'!$F$34,", ",'Part I-Project Information'!F483,", ",'Part I-Project Information'!J484," County")</f>
        <v>PART FOUR -  USES OF FUNDS  -  2019-078 Abbington Sound,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2019-078 Abbington Sound,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3123"/>
      <c r="E449" s="3123"/>
      <c r="F449" s="3123"/>
      <c r="G449" s="3123"/>
      <c r="H449" s="3123"/>
      <c r="I449" s="1330"/>
      <c r="J449" s="1334"/>
      <c r="K449" s="1334"/>
      <c r="L449" s="1334"/>
      <c r="M449" s="1334"/>
      <c r="N449" s="1334"/>
      <c r="O449" s="1334"/>
      <c r="P449" s="1334"/>
      <c r="Q449" s="1334"/>
      <c r="R449" s="1334"/>
      <c r="S449" s="1334"/>
      <c r="T449" s="1334"/>
      <c r="U449" s="1330"/>
      <c r="V449" s="1330"/>
      <c r="W449" s="1330"/>
      <c r="X449" s="1330"/>
    </row>
    <row r="450" spans="1:24" ht="17.25" customHeight="1">
      <c r="A450" s="3123" t="s">
        <v>616</v>
      </c>
      <c r="B450" s="3123" t="s">
        <v>900</v>
      </c>
      <c r="C450" s="1330"/>
      <c r="D450" s="3124" t="str">
        <f>'Part I-Project Information'!$B$6</f>
        <v>April 2019 Final</v>
      </c>
      <c r="E450" s="3124"/>
      <c r="F450" s="3124"/>
      <c r="G450" s="3124"/>
      <c r="H450" s="3124"/>
      <c r="I450" s="3123"/>
      <c r="J450" s="1386" t="s">
        <v>271</v>
      </c>
      <c r="K450" s="1386"/>
      <c r="L450" s="1412"/>
      <c r="M450" s="3125" t="s">
        <v>489</v>
      </c>
      <c r="N450" s="3125"/>
      <c r="O450" s="1330"/>
      <c r="P450" s="1386" t="s">
        <v>272</v>
      </c>
      <c r="Q450" s="1386"/>
      <c r="R450" s="1330"/>
      <c r="S450" s="1386" t="s">
        <v>273</v>
      </c>
      <c r="T450" s="1386"/>
      <c r="U450" s="1330"/>
      <c r="V450" s="3126" t="str">
        <f>B450</f>
        <v>DEVELOPMENT BUDGET</v>
      </c>
      <c r="W450" s="1330"/>
      <c r="X450" s="1330"/>
    </row>
    <row r="451" spans="1:24" ht="14.25">
      <c r="A451" s="1330"/>
      <c r="B451" s="1330"/>
      <c r="C451" s="1330"/>
      <c r="D451" s="3124"/>
      <c r="E451" s="3124"/>
      <c r="F451" s="3124"/>
      <c r="G451" s="1330" t="s">
        <v>101</v>
      </c>
      <c r="H451" s="1330"/>
      <c r="I451" s="1330"/>
      <c r="J451" s="1386"/>
      <c r="K451" s="1386"/>
      <c r="L451" s="1412"/>
      <c r="M451" s="3125"/>
      <c r="N451" s="3125"/>
      <c r="O451" s="1330"/>
      <c r="P451" s="1386"/>
      <c r="Q451" s="1386"/>
      <c r="R451" s="1330"/>
      <c r="S451" s="1386"/>
      <c r="T451" s="1386"/>
      <c r="U451" s="1330"/>
      <c r="V451" s="1348" t="s">
        <v>2684</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2001</v>
      </c>
      <c r="C453" s="1330"/>
      <c r="D453" s="1330"/>
      <c r="E453" s="1330"/>
      <c r="F453" s="1330"/>
      <c r="G453" s="1412">
        <f>'Part IV-A-Uses of Funds'!G8</f>
        <v>7500</v>
      </c>
      <c r="H453" s="1412"/>
      <c r="I453" s="1330"/>
      <c r="J453" s="1412">
        <f>'Part IV-A-Uses of Funds'!J8</f>
        <v>7500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7500</v>
      </c>
      <c r="H454" s="1412"/>
      <c r="I454" s="1330"/>
      <c r="J454" s="1412">
        <f>'Part IV-A-Uses of Funds'!J9</f>
        <v>7500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20000</v>
      </c>
      <c r="H455" s="1412"/>
      <c r="I455" s="1330"/>
      <c r="J455" s="1412">
        <f>'Part IV-A-Uses of Funds'!J10</f>
        <v>20000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2501</v>
      </c>
      <c r="C457" s="1330"/>
      <c r="D457" s="1330"/>
      <c r="E457" s="1330"/>
      <c r="F457" s="1330"/>
      <c r="G457" s="1412">
        <f>'Part IV-A-Uses of Funds'!G12</f>
        <v>12000</v>
      </c>
      <c r="H457" s="1412"/>
      <c r="I457" s="1330"/>
      <c r="J457" s="1412">
        <f>'Part IV-A-Uses of Funds'!J12</f>
        <v>12000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1000</v>
      </c>
      <c r="H458" s="1412"/>
      <c r="I458" s="1330"/>
      <c r="J458" s="1412">
        <f>'Part IV-A-Uses of Funds'!J13</f>
        <v>1000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3127"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3127"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3127"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63000</v>
      </c>
      <c r="H462" s="1412"/>
      <c r="I462" s="1330"/>
      <c r="J462" s="1412">
        <f>SUM(J453:K461)</f>
        <v>63000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2199</v>
      </c>
      <c r="C464" s="1330"/>
      <c r="D464" s="1330"/>
      <c r="E464" s="1377" t="s">
        <v>3724</v>
      </c>
      <c r="F464" s="1419">
        <f>IF('Part I-Project Information'!$O$37="","",G464/'Part I-Project Information'!$O$37)</f>
        <v>70725.707257072558</v>
      </c>
      <c r="G464" s="1412">
        <f>'Part IV-A-Uses of Funds'!G19</f>
        <v>575000</v>
      </c>
      <c r="H464" s="1412"/>
      <c r="I464" s="1330"/>
      <c r="J464" s="1347"/>
      <c r="K464" s="1412"/>
      <c r="L464" s="1347"/>
      <c r="M464" s="1347"/>
      <c r="N464" s="1412"/>
      <c r="O464" s="1330"/>
      <c r="P464" s="1347"/>
      <c r="Q464" s="1412"/>
      <c r="R464" s="1330"/>
      <c r="S464" s="1412">
        <f>'Part IV-A-Uses of Funds'!S19</f>
        <v>575000</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575000</v>
      </c>
      <c r="H468" s="1412"/>
      <c r="I468" s="1330"/>
      <c r="J468" s="1347"/>
      <c r="K468" s="1412"/>
      <c r="L468" s="1347"/>
      <c r="M468" s="1412">
        <f>SUM(M466:N467)</f>
        <v>0</v>
      </c>
      <c r="N468" s="1412"/>
      <c r="O468" s="1330"/>
      <c r="P468" s="1347"/>
      <c r="Q468" s="1412"/>
      <c r="R468" s="1330"/>
      <c r="S468" s="1412">
        <f>SUM(S464:T467)</f>
        <v>575000</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3724</v>
      </c>
      <c r="F470" s="1419">
        <f>IF('Part I-Project Information'!$O$37="","",G470/'Part I-Project Information'!$O$37)</f>
        <v>185977.85977859778</v>
      </c>
      <c r="G470" s="1412">
        <f>'Part IV-A-Uses of Funds'!G25</f>
        <v>1512000</v>
      </c>
      <c r="H470" s="1412"/>
      <c r="I470" s="1330"/>
      <c r="J470" s="1412">
        <f>'Part IV-A-Uses of Funds'!J25</f>
        <v>1512000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350000</v>
      </c>
      <c r="H471" s="1412"/>
      <c r="I471" s="1330"/>
      <c r="J471" s="1412">
        <f>'Part IV-A-Uses of Funds'!J26</f>
        <v>0</v>
      </c>
      <c r="K471" s="1412"/>
      <c r="L471" s="3128"/>
      <c r="M471" s="1412"/>
      <c r="N471" s="1412"/>
      <c r="O471" s="1330"/>
      <c r="P471" s="1412"/>
      <c r="Q471" s="1412"/>
      <c r="R471" s="1330"/>
      <c r="S471" s="1412">
        <f>'Part IV-A-Uses of Funds'!S26</f>
        <v>350000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1862000</v>
      </c>
      <c r="H472" s="1412"/>
      <c r="I472" s="1330"/>
      <c r="J472" s="1412">
        <f>SUM(J470:K471)</f>
        <v>1512000</v>
      </c>
      <c r="K472" s="1412"/>
      <c r="L472" s="1347"/>
      <c r="M472" s="1412">
        <f>M470</f>
        <v>0</v>
      </c>
      <c r="N472" s="1412"/>
      <c r="O472" s="1330"/>
      <c r="P472" s="1412">
        <f>P470</f>
        <v>0</v>
      </c>
      <c r="Q472" s="1412"/>
      <c r="R472" s="1330"/>
      <c r="S472" s="1412">
        <f>SUM(S470:T471)</f>
        <v>350000</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7644000</v>
      </c>
      <c r="H474" s="1412"/>
      <c r="I474" s="1330"/>
      <c r="J474" s="1412">
        <f>'Part IV-A-Uses of Funds'!J29</f>
        <v>7644000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2781</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3129"/>
      <c r="D478" s="3129"/>
      <c r="E478" s="3130"/>
      <c r="F478" s="1444" t="s">
        <v>191</v>
      </c>
      <c r="G478" s="1412">
        <f>SUM(G474:H477)</f>
        <v>7644000</v>
      </c>
      <c r="H478" s="1412"/>
      <c r="I478" s="1330"/>
      <c r="J478" s="1412">
        <f>SUM(J474:K477)</f>
        <v>7644000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2344</v>
      </c>
      <c r="C479" s="1330"/>
      <c r="D479" s="1393" t="s">
        <v>3728</v>
      </c>
      <c r="E479" s="1393"/>
      <c r="F479" s="3131">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2345</v>
      </c>
      <c r="C480" s="1330"/>
      <c r="D480" s="1425">
        <f>'DCA Underwriting Assumptions'!$R$73</f>
        <v>0.06</v>
      </c>
      <c r="E480" s="1426">
        <f>D480*(G472+G478)</f>
        <v>570360</v>
      </c>
      <c r="F480" s="1425">
        <f>IF(($G$27+$G$33)=0,0,G480/($G$27+$G$33))</f>
        <v>0</v>
      </c>
      <c r="G480" s="1412">
        <f>'Part IV-A-Uses of Funds'!G35</f>
        <v>570360</v>
      </c>
      <c r="H480" s="1412"/>
      <c r="I480" s="1336"/>
      <c r="J480" s="1412">
        <f>'Part IV-A-Uses of Funds'!J35</f>
        <v>570360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2737</v>
      </c>
      <c r="C481" s="1330"/>
      <c r="D481" s="1425">
        <f>'DCA Underwriting Assumptions'!$R$74</f>
        <v>0.02</v>
      </c>
      <c r="E481" s="1426">
        <f>D481*(G472+G478)</f>
        <v>190120</v>
      </c>
      <c r="F481" s="1425">
        <f>IF(($G$27+$G$33)=0,0,G481/($G$27+$G$33))</f>
        <v>0</v>
      </c>
      <c r="G481" s="1412">
        <f>'Part IV-A-Uses of Funds'!G36</f>
        <v>190120</v>
      </c>
      <c r="H481" s="1412"/>
      <c r="I481" s="1336"/>
      <c r="J481" s="1412">
        <f>'Part IV-A-Uses of Funds'!J36</f>
        <v>190120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2738</v>
      </c>
      <c r="C482" s="1330"/>
      <c r="D482" s="1425">
        <f>'DCA Underwriting Assumptions'!$R$75</f>
        <v>0.06</v>
      </c>
      <c r="E482" s="1426">
        <f>D482*(G472+G478)</f>
        <v>570360</v>
      </c>
      <c r="F482" s="1425">
        <f>IF(($G$27+$G$33)=0,0,G482/($G$27+$G$33))</f>
        <v>0</v>
      </c>
      <c r="G482" s="1412">
        <f>'Part IV-A-Uses of Funds'!G37</f>
        <v>570360</v>
      </c>
      <c r="H482" s="1412"/>
      <c r="I482" s="1336"/>
      <c r="J482" s="1412">
        <f>'Part IV-A-Uses of Funds'!J37</f>
        <v>570360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3729</v>
      </c>
      <c r="C483" s="1330"/>
      <c r="D483" s="3131">
        <f>SUM(D480:D482)</f>
        <v>0.14000000000000001</v>
      </c>
      <c r="E483" s="3132">
        <f>SUM(E480:E482)</f>
        <v>1330840</v>
      </c>
      <c r="F483" s="1444" t="s">
        <v>191</v>
      </c>
      <c r="G483" s="1412">
        <f>SUM(G480:H482)</f>
        <v>1330840</v>
      </c>
      <c r="H483" s="1412"/>
      <c r="I483" s="1330"/>
      <c r="J483" s="1412">
        <f>SUM(J480:K482)</f>
        <v>1330840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5338</v>
      </c>
      <c r="C488" s="1429"/>
      <c r="D488" s="1330"/>
      <c r="E488" s="1386" t="s">
        <v>2745</v>
      </c>
      <c r="F488" s="1430">
        <f>B489/'Part VI-Revenues &amp; Expenses'!$O$65</f>
        <v>129010</v>
      </c>
      <c r="G488" s="1431" t="s">
        <v>4503</v>
      </c>
      <c r="H488" s="1330"/>
      <c r="I488" s="1330"/>
      <c r="J488" s="1432">
        <f>B489/'Part VI-Revenues &amp; Expenses'!$O$67</f>
        <v>129010</v>
      </c>
      <c r="K488" s="1432"/>
      <c r="L488" s="1330"/>
      <c r="M488" s="1433" t="s">
        <v>1402</v>
      </c>
      <c r="N488" s="1433"/>
      <c r="O488" s="1330"/>
      <c r="P488" s="1432">
        <f>B489/'Part I-Project Information'!$P$75</f>
        <v>115.51902782219379</v>
      </c>
      <c r="Q488" s="1432"/>
      <c r="R488" s="1330"/>
      <c r="S488" s="1354" t="s">
        <v>2779</v>
      </c>
      <c r="T488" s="1354"/>
      <c r="U488" s="1330"/>
      <c r="V488" s="1418"/>
      <c r="W488" s="1203">
        <f>'Part IV-A-Uses of Funds'!W43</f>
        <v>0</v>
      </c>
      <c r="X488" s="1203"/>
    </row>
    <row r="489" spans="1:24">
      <c r="A489" s="1330"/>
      <c r="B489" s="1434">
        <f>G472+G478+G483+G486</f>
        <v>10836840</v>
      </c>
      <c r="C489" s="1434"/>
      <c r="D489" s="1330"/>
      <c r="E489" s="1386"/>
      <c r="F489" s="1430">
        <f>B489/'Part VI-Revenues &amp; Expenses'!$O$154</f>
        <v>120.0093023255814</v>
      </c>
      <c r="G489" s="1354" t="s">
        <v>4504</v>
      </c>
      <c r="H489" s="1330"/>
      <c r="I489" s="1330"/>
      <c r="J489" s="1432">
        <f>B489/'Part VI-Revenues &amp; Expenses'!$O$156</f>
        <v>120.0093023255814</v>
      </c>
      <c r="K489" s="1432"/>
      <c r="L489" s="1330"/>
      <c r="M489" s="1354" t="s">
        <v>2778</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1962</v>
      </c>
      <c r="C492" s="1336"/>
      <c r="D492" s="1436" t="s">
        <v>4184</v>
      </c>
      <c r="E492" s="313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541842</v>
      </c>
      <c r="F492" s="1438">
        <f>G492/B489</f>
        <v>0.05</v>
      </c>
      <c r="G492" s="1412">
        <f>'Part IV-A-Uses of Funds'!G47</f>
        <v>541842</v>
      </c>
      <c r="H492" s="1412"/>
      <c r="I492" s="1330"/>
      <c r="J492" s="1412">
        <f>'Part IV-A-Uses of Funds'!J47</f>
        <v>541842</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3123" t="s">
        <v>616</v>
      </c>
      <c r="B494" s="3123" t="s">
        <v>4505</v>
      </c>
      <c r="C494" s="1330"/>
      <c r="D494" s="1330"/>
      <c r="E494" s="1330"/>
      <c r="F494" s="1330"/>
      <c r="G494" s="1330"/>
      <c r="H494" s="1330"/>
      <c r="I494" s="1330"/>
      <c r="J494" s="1386" t="s">
        <v>271</v>
      </c>
      <c r="K494" s="1386"/>
      <c r="L494" s="1412"/>
      <c r="M494" s="3125" t="s">
        <v>489</v>
      </c>
      <c r="N494" s="3125"/>
      <c r="O494" s="1330"/>
      <c r="P494" s="1386" t="s">
        <v>272</v>
      </c>
      <c r="Q494" s="1386"/>
      <c r="R494" s="1330"/>
      <c r="S494" s="1386" t="s">
        <v>273</v>
      </c>
      <c r="T494" s="1386"/>
      <c r="U494" s="1330"/>
      <c r="V494" s="1418"/>
      <c r="W494" s="3126" t="str">
        <f>B494</f>
        <v>DEVELOPMENT BUDGET (cont'd)</v>
      </c>
      <c r="X494" s="1330"/>
    </row>
    <row r="495" spans="1:24">
      <c r="A495" s="1330"/>
      <c r="B495" s="1330"/>
      <c r="C495" s="1330"/>
      <c r="D495" s="1330"/>
      <c r="E495" s="1330"/>
      <c r="F495" s="1330"/>
      <c r="G495" s="1330" t="s">
        <v>101</v>
      </c>
      <c r="H495" s="1330"/>
      <c r="I495" s="1330"/>
      <c r="J495" s="1386"/>
      <c r="K495" s="1386"/>
      <c r="L495" s="1412"/>
      <c r="M495" s="3125"/>
      <c r="N495" s="3125"/>
      <c r="O495" s="1330"/>
      <c r="P495" s="1386"/>
      <c r="Q495" s="1386"/>
      <c r="R495" s="1330"/>
      <c r="S495" s="1386"/>
      <c r="T495" s="1386"/>
      <c r="U495" s="1330"/>
      <c r="V495" s="1418"/>
      <c r="W495" s="1348" t="s">
        <v>2684</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2347</v>
      </c>
      <c r="C499" s="1330"/>
      <c r="D499" s="1330"/>
      <c r="E499" s="1330"/>
      <c r="F499" s="1330"/>
      <c r="G499" s="1412">
        <f>'Part IV-A-Uses of Funds'!G54</f>
        <v>63998</v>
      </c>
      <c r="H499" s="1412"/>
      <c r="I499" s="1330"/>
      <c r="J499" s="1412">
        <f>'Part IV-A-Uses of Funds'!J54</f>
        <v>63998</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2348</v>
      </c>
      <c r="C500" s="1330"/>
      <c r="D500" s="1330"/>
      <c r="E500" s="1330"/>
      <c r="F500" s="1330"/>
      <c r="G500" s="1412">
        <f>'Part IV-A-Uses of Funds'!G55</f>
        <v>313207</v>
      </c>
      <c r="H500" s="1412"/>
      <c r="I500" s="1330"/>
      <c r="J500" s="1412">
        <f>'Part IV-A-Uses of Funds'!J55</f>
        <v>208519</v>
      </c>
      <c r="K500" s="1412"/>
      <c r="L500" s="1347"/>
      <c r="M500" s="1412">
        <f>'Part IV-A-Uses of Funds'!M55</f>
        <v>0</v>
      </c>
      <c r="N500" s="1412"/>
      <c r="O500" s="1330"/>
      <c r="P500" s="1412">
        <f>'Part IV-A-Uses of Funds'!P55</f>
        <v>0</v>
      </c>
      <c r="Q500" s="1412"/>
      <c r="R500" s="1330"/>
      <c r="S500" s="1412">
        <f>'Part IV-A-Uses of Funds'!S55</f>
        <v>104688</v>
      </c>
      <c r="T500" s="1412"/>
      <c r="U500" s="1330"/>
      <c r="V500" s="1418">
        <f>'Part IV-A-Uses of Funds'!V55</f>
        <v>0</v>
      </c>
      <c r="W500" s="1203">
        <f>'Part IV-A-Uses of Funds'!W55</f>
        <v>0</v>
      </c>
      <c r="X500" s="1203"/>
    </row>
    <row r="501" spans="1:24">
      <c r="A501" s="1330"/>
      <c r="B501" s="1330" t="s">
        <v>2349</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2688</v>
      </c>
      <c r="C502" s="1330"/>
      <c r="D502" s="1330"/>
      <c r="E502" s="1330"/>
      <c r="F502" s="1330"/>
      <c r="G502" s="1412">
        <f>'Part IV-A-Uses of Funds'!G57</f>
        <v>15000</v>
      </c>
      <c r="H502" s="1412"/>
      <c r="I502" s="1330"/>
      <c r="J502" s="1412">
        <f>'Part IV-A-Uses of Funds'!J57</f>
        <v>15000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10000</v>
      </c>
      <c r="H503" s="1412"/>
      <c r="I503" s="1330"/>
      <c r="J503" s="1412">
        <f>'Part IV-A-Uses of Funds'!J58</f>
        <v>10000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2350</v>
      </c>
      <c r="C504" s="1330"/>
      <c r="D504" s="1330"/>
      <c r="E504" s="1330"/>
      <c r="F504" s="1330"/>
      <c r="G504" s="1412">
        <f>'Part IV-A-Uses of Funds'!G59</f>
        <v>49705</v>
      </c>
      <c r="H504" s="1412"/>
      <c r="I504" s="1330"/>
      <c r="J504" s="1412">
        <f>'Part IV-A-Uses of Funds'!J59</f>
        <v>49705</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80000</v>
      </c>
      <c r="H505" s="1412"/>
      <c r="I505" s="1330"/>
      <c r="J505" s="1412">
        <f>'Part IV-A-Uses of Funds'!J60</f>
        <v>8000</v>
      </c>
      <c r="K505" s="1412"/>
      <c r="L505" s="1347"/>
      <c r="M505" s="1412">
        <f>'Part IV-A-Uses of Funds'!M60</f>
        <v>0</v>
      </c>
      <c r="N505" s="1412"/>
      <c r="O505" s="1330"/>
      <c r="P505" s="1412">
        <f>'Part IV-A-Uses of Funds'!P60</f>
        <v>0</v>
      </c>
      <c r="Q505" s="1412"/>
      <c r="R505" s="1330"/>
      <c r="S505" s="1412">
        <f>'Part IV-A-Uses of Funds'!S60</f>
        <v>72000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63184</v>
      </c>
      <c r="H506" s="1412"/>
      <c r="I506" s="1336"/>
      <c r="J506" s="1412">
        <f>'Part IV-A-Uses of Funds'!J61</f>
        <v>63184</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3127"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3127"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620094</v>
      </c>
      <c r="H509" s="1412"/>
      <c r="I509" s="1330"/>
      <c r="J509" s="1412">
        <f>SUM(J497:K508)</f>
        <v>443406</v>
      </c>
      <c r="K509" s="1412"/>
      <c r="L509" s="1347"/>
      <c r="M509" s="1412">
        <f>SUM(M497:N508)</f>
        <v>0</v>
      </c>
      <c r="N509" s="1412"/>
      <c r="O509" s="1330"/>
      <c r="P509" s="1412">
        <f>SUM(P497:Q508)</f>
        <v>0</v>
      </c>
      <c r="Q509" s="1412"/>
      <c r="R509" s="1330"/>
      <c r="S509" s="1412">
        <f>SUM(S497:T508)</f>
        <v>176688</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120000</v>
      </c>
      <c r="H511" s="1412"/>
      <c r="I511" s="1330"/>
      <c r="J511" s="1412">
        <f>'Part IV-A-Uses of Funds'!J66</f>
        <v>120000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50000</v>
      </c>
      <c r="H512" s="1412"/>
      <c r="I512" s="1330"/>
      <c r="J512" s="1412">
        <f>'Part IV-A-Uses of Funds'!J67</f>
        <v>50000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3844</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15000</v>
      </c>
      <c r="H514" s="1412"/>
      <c r="I514" s="1330"/>
      <c r="J514" s="1412">
        <f>'Part IV-A-Uses of Funds'!J69</f>
        <v>15000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7500</v>
      </c>
      <c r="H515" s="1412"/>
      <c r="I515" s="1330"/>
      <c r="J515" s="1412">
        <f>'Part IV-A-Uses of Funds'!J70</f>
        <v>7500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92400</v>
      </c>
      <c r="H517" s="1412"/>
      <c r="I517" s="1330"/>
      <c r="J517" s="1412">
        <f>'Part IV-A-Uses of Funds'!J72</f>
        <v>92400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120000</v>
      </c>
      <c r="H518" s="1412"/>
      <c r="I518" s="1330"/>
      <c r="J518" s="1412">
        <f>'Part IV-A-Uses of Funds'!J73</f>
        <v>120000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c r="A519" s="1330"/>
      <c r="B519" s="1330" t="s">
        <v>2050</v>
      </c>
      <c r="C519" s="1330"/>
      <c r="D519" s="1330"/>
      <c r="E519" s="1330"/>
      <c r="F519" s="1330"/>
      <c r="G519" s="1412">
        <f>'Part IV-A-Uses of Funds'!G74</f>
        <v>30000</v>
      </c>
      <c r="H519" s="1412"/>
      <c r="I519" s="1330"/>
      <c r="J519" s="1412">
        <f>'Part IV-A-Uses of Funds'!J74</f>
        <v>30000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20000</v>
      </c>
      <c r="H520" s="1412"/>
      <c r="I520" s="1330"/>
      <c r="J520" s="1412">
        <f>'Part IV-A-Uses of Funds'!J75</f>
        <v>20000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3127"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509900</v>
      </c>
      <c r="H522" s="1412"/>
      <c r="I522" s="1330"/>
      <c r="J522" s="1412">
        <f>SUM(J511:K521)</f>
        <v>509900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c r="A523" s="1330"/>
      <c r="B523" s="1330" t="s">
        <v>1269</v>
      </c>
      <c r="C523" s="1330"/>
      <c r="D523" s="1442" t="s">
        <v>3732</v>
      </c>
      <c r="E523" s="1443">
        <f>G528/'Part VI-Revenues &amp; Expenses'!$O$67</f>
        <v>3147.6190476190477</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25000</v>
      </c>
      <c r="H524" s="1412"/>
      <c r="I524" s="1330"/>
      <c r="J524" s="1412">
        <f>'Part IV-A-Uses of Funds'!J79</f>
        <v>25000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100800</v>
      </c>
      <c r="H525" s="1412"/>
      <c r="I525" s="1330"/>
      <c r="J525" s="1412">
        <f>'Part IV-A-Uses of Funds'!J80</f>
        <v>100800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37800</v>
      </c>
      <c r="H526" s="1412"/>
      <c r="I526" s="1336"/>
      <c r="J526" s="1412">
        <f>'Part IV-A-Uses of Funds'!J81</f>
        <v>37800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100800</v>
      </c>
      <c r="H527" s="1412"/>
      <c r="I527" s="1336"/>
      <c r="J527" s="1412">
        <f>'Part IV-A-Uses of Funds'!J82</f>
        <v>100800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264400</v>
      </c>
      <c r="H528" s="1412"/>
      <c r="I528" s="1330"/>
      <c r="J528" s="1412">
        <f>SUM(J524:K527)</f>
        <v>264400</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3127"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3123" t="s">
        <v>616</v>
      </c>
      <c r="B538" s="3123" t="s">
        <v>4506</v>
      </c>
      <c r="C538" s="1330"/>
      <c r="D538" s="1330"/>
      <c r="E538" s="1330"/>
      <c r="F538" s="1330"/>
      <c r="G538" s="1330"/>
      <c r="H538" s="1330"/>
      <c r="I538" s="1330"/>
      <c r="J538" s="1386" t="s">
        <v>271</v>
      </c>
      <c r="K538" s="1386"/>
      <c r="L538" s="1412"/>
      <c r="M538" s="3125" t="s">
        <v>489</v>
      </c>
      <c r="N538" s="3125"/>
      <c r="O538" s="1330"/>
      <c r="P538" s="1386" t="s">
        <v>272</v>
      </c>
      <c r="Q538" s="1386"/>
      <c r="R538" s="1330"/>
      <c r="S538" s="1386" t="s">
        <v>273</v>
      </c>
      <c r="T538" s="1386"/>
      <c r="U538" s="1330"/>
      <c r="V538" s="3126"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3125"/>
      <c r="N539" s="3125"/>
      <c r="O539" s="1330"/>
      <c r="P539" s="1386"/>
      <c r="Q539" s="1386"/>
      <c r="R539" s="1330"/>
      <c r="S539" s="1386"/>
      <c r="T539" s="1386"/>
      <c r="U539" s="1330"/>
      <c r="V539" s="1348" t="s">
        <v>2684</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3946</v>
      </c>
      <c r="C543" s="1330"/>
      <c r="D543" s="1330"/>
      <c r="E543" s="1330"/>
      <c r="F543" s="1330"/>
      <c r="G543" s="1412">
        <f>'Part IV-A-Uses of Funds'!G98</f>
        <v>1500</v>
      </c>
      <c r="H543" s="1412"/>
      <c r="I543" s="1330"/>
      <c r="J543" s="1347"/>
      <c r="K543" s="1347"/>
      <c r="L543" s="1445"/>
      <c r="M543" s="1347"/>
      <c r="N543" s="1347"/>
      <c r="O543" s="1330"/>
      <c r="P543" s="1347"/>
      <c r="Q543" s="1347"/>
      <c r="R543" s="1330"/>
      <c r="S543" s="1412">
        <f>'Part IV-A-Uses of Funds'!S98</f>
        <v>1500</v>
      </c>
      <c r="T543" s="1412"/>
      <c r="U543" s="1330"/>
      <c r="V543" s="1418">
        <f>'Part IV-A-Uses of Funds'!V98</f>
        <v>0</v>
      </c>
      <c r="W543" s="1203">
        <f>'Part IV-A-Uses of Funds'!W98</f>
        <v>0</v>
      </c>
      <c r="X543" s="1203"/>
    </row>
    <row r="544" spans="1:24">
      <c r="A544" s="1330"/>
      <c r="B544" s="1330" t="s">
        <v>519</v>
      </c>
      <c r="C544" s="1330"/>
      <c r="D544" s="1330"/>
      <c r="E544" s="1446">
        <f ca="1">'DCA Underwriting Assumptions'!$Q$88*J620</f>
        <v>70640</v>
      </c>
      <c r="F544" s="1446"/>
      <c r="G544" s="1412">
        <f ca="1">'Part IV-A-Uses of Funds'!G99</f>
        <v>70640</v>
      </c>
      <c r="H544" s="1412"/>
      <c r="I544" s="1330"/>
      <c r="J544" s="3134" t="str">
        <f ca="1">IF(E544&gt;G544,"WARNING!  LIHTC Allocation Fee proposed is below minimum required.","")</f>
        <v/>
      </c>
      <c r="K544" s="1347"/>
      <c r="L544" s="1347"/>
      <c r="M544" s="1347"/>
      <c r="N544" s="1347"/>
      <c r="O544" s="1330"/>
      <c r="P544" s="1347"/>
      <c r="Q544" s="1347"/>
      <c r="R544" s="1330"/>
      <c r="S544" s="1412">
        <f ca="1">'Part IV-A-Uses of Funds'!S99</f>
        <v>70640</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545" s="1446"/>
      <c r="G545" s="1412">
        <f>'Part IV-A-Uses of Funds'!G100</f>
        <v>67200</v>
      </c>
      <c r="H545" s="1412"/>
      <c r="I545" s="1330"/>
      <c r="J545" s="3134" t="str">
        <f>IF(E545&gt;G545,"WARNING!  LIHTC Compliance Fee proposed is below minimum required.","")</f>
        <v/>
      </c>
      <c r="K545" s="1336"/>
      <c r="L545" s="1336"/>
      <c r="M545" s="1336"/>
      <c r="N545" s="1336"/>
      <c r="O545" s="1336"/>
      <c r="P545" s="1336"/>
      <c r="Q545" s="1336"/>
      <c r="R545" s="1330"/>
      <c r="S545" s="1412">
        <f>'Part IV-A-Uses of Funds'!S100</f>
        <v>67200</v>
      </c>
      <c r="T545" s="1412"/>
      <c r="U545" s="1330"/>
      <c r="V545" s="1418">
        <f>'Part IV-A-Uses of Funds'!V100</f>
        <v>0</v>
      </c>
      <c r="W545" s="1203">
        <f>'Part IV-A-Uses of Funds'!W100</f>
        <v>0</v>
      </c>
      <c r="X545" s="1203"/>
    </row>
    <row r="546" spans="1:24">
      <c r="A546" s="1330"/>
      <c r="B546" s="1330" t="s">
        <v>4237</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3127"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3127"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 ca="1">SUM(G541:H549)</f>
        <v>151840</v>
      </c>
      <c r="H550" s="1412"/>
      <c r="I550" s="1330"/>
      <c r="J550" s="1347"/>
      <c r="K550" s="1347"/>
      <c r="L550" s="1347"/>
      <c r="M550" s="1347"/>
      <c r="N550" s="1347"/>
      <c r="O550" s="1330"/>
      <c r="P550" s="1347"/>
      <c r="Q550" s="1347"/>
      <c r="R550" s="1330"/>
      <c r="S550" s="1412">
        <f ca="1">SUM(S541:T549)</f>
        <v>151840</v>
      </c>
      <c r="T550" s="1412"/>
      <c r="U550" s="1330"/>
      <c r="V550" s="1418">
        <f>SUM(V541:V549)</f>
        <v>0</v>
      </c>
      <c r="W550" s="1203">
        <f>'Part IV-A-Uses of Funds'!W105</f>
        <v>0</v>
      </c>
      <c r="X550" s="1203"/>
    </row>
    <row r="551" spans="1:24">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c r="A554" s="1330"/>
      <c r="B554" s="1330" t="s">
        <v>2387</v>
      </c>
      <c r="C554" s="1330"/>
      <c r="D554" s="1330"/>
      <c r="E554" s="1330"/>
      <c r="F554" s="1330"/>
      <c r="G554" s="1412">
        <f>'Part IV-A-Uses of Funds'!G109</f>
        <v>50000</v>
      </c>
      <c r="H554" s="1412"/>
      <c r="I554" s="1330"/>
      <c r="J554" s="1412"/>
      <c r="K554" s="1412"/>
      <c r="L554" s="1347"/>
      <c r="M554" s="1412"/>
      <c r="N554" s="1412"/>
      <c r="O554" s="1330"/>
      <c r="P554" s="1412"/>
      <c r="Q554" s="1412"/>
      <c r="R554" s="1330"/>
      <c r="S554" s="1412">
        <f>'Part IV-A-Uses of Funds'!S109</f>
        <v>50000</v>
      </c>
      <c r="T554" s="1412"/>
      <c r="U554" s="1330"/>
      <c r="V554" s="1418">
        <f>'Part IV-A-Uses of Funds'!V109</f>
        <v>0</v>
      </c>
      <c r="W554" s="1203">
        <f>'Part IV-A-Uses of Funds'!W109</f>
        <v>0</v>
      </c>
      <c r="X554" s="1203"/>
    </row>
    <row r="555" spans="1:24" ht="16.5" customHeight="1">
      <c r="A555" s="3127"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50000</v>
      </c>
      <c r="H556" s="1412"/>
      <c r="I556" s="1330"/>
      <c r="J556" s="1412"/>
      <c r="K556" s="1412"/>
      <c r="L556" s="1347"/>
      <c r="M556" s="1412"/>
      <c r="N556" s="1412"/>
      <c r="O556" s="1330"/>
      <c r="P556" s="1412"/>
      <c r="Q556" s="1412"/>
      <c r="R556" s="1330"/>
      <c r="S556" s="1412">
        <f>SUM(S552:T555)</f>
        <v>50000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1861</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1862</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1854</v>
      </c>
      <c r="C562" s="1330"/>
      <c r="D562" s="1330"/>
      <c r="E562" s="1330"/>
      <c r="F562" s="1399">
        <f>IF($G$118=0,0,G562/$G$118)</f>
        <v>0</v>
      </c>
      <c r="G562" s="1412">
        <f>'Part IV-A-Uses of Funds'!G117</f>
        <v>1800000</v>
      </c>
      <c r="H562" s="1412"/>
      <c r="I562" s="1330"/>
      <c r="J562" s="1412">
        <f>'Part IV-A-Uses of Funds'!J117</f>
        <v>1800000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3135">
        <f>SUM(G558:H562)</f>
        <v>1800000</v>
      </c>
      <c r="H563" s="3135"/>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41800</v>
      </c>
      <c r="H565" s="1412"/>
      <c r="I565" s="1330"/>
      <c r="J565" s="1445"/>
      <c r="K565" s="1445"/>
      <c r="L565" s="1445"/>
      <c r="M565" s="1445"/>
      <c r="N565" s="1445"/>
      <c r="O565" s="1330"/>
      <c r="P565" s="1445"/>
      <c r="Q565" s="1445"/>
      <c r="R565" s="1330"/>
      <c r="S565" s="1412">
        <f>'Part IV-A-Uses of Funds'!S120</f>
        <v>41800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83526.75</v>
      </c>
      <c r="G566" s="1412">
        <f>'Part IV-A-Uses of Funds'!G121</f>
        <v>83526.75</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83526.75</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281567.18243249139</v>
      </c>
      <c r="G567" s="1412">
        <f>'Part IV-A-Uses of Funds'!G122</f>
        <v>281567.18243249139</v>
      </c>
      <c r="H567" s="1412"/>
      <c r="I567" s="1330"/>
      <c r="J567" s="1486" t="str">
        <f>IF(E567&gt;G567,"WARNING! ODR proposed is below minimum - add comment.","")</f>
        <v/>
      </c>
      <c r="K567" s="1445"/>
      <c r="L567" s="1445"/>
      <c r="M567" s="1445"/>
      <c r="N567" s="1445"/>
      <c r="O567" s="1330"/>
      <c r="P567" s="1445"/>
      <c r="Q567" s="1445"/>
      <c r="R567" s="1330"/>
      <c r="S567" s="1412">
        <f>'Part IV-A-Uses of Funds'!S122</f>
        <v>281567.18243249139</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3566</v>
      </c>
      <c r="F569" s="1419">
        <f>IF('Part VI-Revenues &amp; Expenses'!$O$67=0,0,G569/'Part VI-Revenues &amp; Expenses'!$O$67)</f>
        <v>1000</v>
      </c>
      <c r="G569" s="1412">
        <f>'Part IV-A-Uses of Funds'!G124</f>
        <v>84000</v>
      </c>
      <c r="H569" s="1412"/>
      <c r="I569" s="1330"/>
      <c r="J569" s="1412">
        <f>'Part IV-A-Uses of Funds'!J124</f>
        <v>84000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3127"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490893.93243249139</v>
      </c>
      <c r="H571" s="1412"/>
      <c r="I571" s="1330"/>
      <c r="J571" s="1412">
        <f>SUM(J569:K570)</f>
        <v>84000</v>
      </c>
      <c r="K571" s="1412"/>
      <c r="L571" s="1347"/>
      <c r="M571" s="1412">
        <f>SUM(M569:N570)</f>
        <v>0</v>
      </c>
      <c r="N571" s="1412"/>
      <c r="O571" s="1330"/>
      <c r="P571" s="1412">
        <f>SUM(P569:Q570)</f>
        <v>0</v>
      </c>
      <c r="Q571" s="1412"/>
      <c r="R571" s="1330"/>
      <c r="S571" s="1412">
        <f>SUM(S565:T570)</f>
        <v>406893.93243249139</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3127"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5339</v>
      </c>
      <c r="C577" s="1330"/>
      <c r="D577" s="1330"/>
      <c r="E577" s="1330"/>
      <c r="F577" s="1330"/>
      <c r="G577" s="1412">
        <f ca="1">G462+G468+G472+G478+G483+G486+G492+G509+G522+G528+G536+G550+G556+G563+G571+G575</f>
        <v>15903809.932432491</v>
      </c>
      <c r="H577" s="1412"/>
      <c r="I577" s="1330"/>
      <c r="J577" s="1412">
        <f>J462+J468+J472+J478+J483+J486+J492+J509+J522+J528+J536+J550+J556+J563+J571+J575</f>
        <v>14193388</v>
      </c>
      <c r="K577" s="1412"/>
      <c r="L577" s="1330"/>
      <c r="M577" s="1412">
        <f>M462+M468+M472+M478+M483+M486+M492+M509+M522+M528+M536+M550+M556+M563+M571+M575</f>
        <v>0</v>
      </c>
      <c r="N577" s="1412"/>
      <c r="O577" s="1330"/>
      <c r="P577" s="1412">
        <f>P462+P468+P472+P478+P483+P486+P492+P509+P522+P528+P536+P550+P556+P563+P571+P575</f>
        <v>0</v>
      </c>
      <c r="Q577" s="1412"/>
      <c r="R577" s="1330"/>
      <c r="S577" s="1412">
        <f ca="1">S462+S468+S472+S478+S483+S486+S492+S509+S522+S528+S536+S550+S556+S563+S571+S575</f>
        <v>1710421.9324324913</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3136" t="s">
        <v>5094</v>
      </c>
      <c r="C579" s="1429"/>
      <c r="D579" s="1456">
        <f ca="1">IF('Part VI-Revenues &amp; Expenses'!$O$67=0,0,G577/'Part VI-Revenues &amp; Expenses'!$O$67)</f>
        <v>189331.07062419632</v>
      </c>
      <c r="E579" s="1456"/>
      <c r="F579" s="1457" t="s">
        <v>2764</v>
      </c>
      <c r="G579" s="1456">
        <f ca="1">IF('Part I-Project Information'!$P$75=0,0,G577/'Part I-Project Information'!$P$75)</f>
        <v>169.53213871050519</v>
      </c>
      <c r="H579" s="1456"/>
      <c r="I579" s="3137"/>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3137"/>
      <c r="J580" s="1330"/>
      <c r="K580" s="1330"/>
      <c r="L580" s="3137"/>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3123" t="s">
        <v>740</v>
      </c>
      <c r="B582" s="3138" t="s">
        <v>1426</v>
      </c>
      <c r="C582" s="1334"/>
      <c r="D582" s="1347"/>
      <c r="E582" s="1347"/>
      <c r="F582" s="1347"/>
      <c r="G582" s="1330"/>
      <c r="H582" s="1330"/>
      <c r="I582" s="3139"/>
      <c r="J582" s="1386" t="s">
        <v>271</v>
      </c>
      <c r="K582" s="1386"/>
      <c r="L582" s="1330"/>
      <c r="M582" s="1386" t="s">
        <v>100</v>
      </c>
      <c r="N582" s="1386"/>
      <c r="O582" s="1330"/>
      <c r="P582" s="1386" t="s">
        <v>272</v>
      </c>
      <c r="Q582" s="1386"/>
      <c r="R582" s="1330"/>
      <c r="S582" s="1330"/>
      <c r="T582" s="1330"/>
      <c r="U582" s="1330"/>
      <c r="V582" s="1418"/>
      <c r="W582" s="3126" t="str">
        <f>B582</f>
        <v>TAX CREDIT CALCULATION - BASIS METHOD</v>
      </c>
      <c r="X582" s="1330"/>
    </row>
    <row r="583" spans="1:24">
      <c r="A583" s="1330"/>
      <c r="B583" s="1337" t="s">
        <v>2045</v>
      </c>
      <c r="C583" s="1330"/>
      <c r="D583" s="1347"/>
      <c r="E583" s="1347"/>
      <c r="F583" s="1330"/>
      <c r="G583" s="1330"/>
      <c r="H583" s="1330"/>
      <c r="I583" s="3139"/>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3139"/>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2153</v>
      </c>
      <c r="C586" s="1330"/>
      <c r="D586" s="1330"/>
      <c r="E586" s="1330"/>
      <c r="F586" s="1330"/>
      <c r="G586" s="1330"/>
      <c r="H586" s="1330"/>
      <c r="I586" s="3139"/>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1864</v>
      </c>
      <c r="C587" s="1330"/>
      <c r="D587" s="1330"/>
      <c r="E587" s="1330"/>
      <c r="F587" s="1330"/>
      <c r="G587" s="1330"/>
      <c r="H587" s="1330"/>
      <c r="I587" s="3139"/>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1865</v>
      </c>
      <c r="C588" s="1330"/>
      <c r="D588" s="1330"/>
      <c r="E588" s="1330"/>
      <c r="F588" s="1330"/>
      <c r="G588" s="1330"/>
      <c r="H588" s="1330"/>
      <c r="I588" s="3139"/>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3139"/>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14193388</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2222</v>
      </c>
      <c r="C596" s="1330"/>
      <c r="D596" s="1330"/>
      <c r="E596" s="1330"/>
      <c r="F596" s="1330"/>
      <c r="G596" s="1330"/>
      <c r="H596" s="1330"/>
      <c r="I596" s="1330"/>
      <c r="J596" s="1462">
        <f>J594-J595</f>
        <v>14193388</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2055</v>
      </c>
      <c r="C598" s="1330"/>
      <c r="D598" s="1330"/>
      <c r="E598" s="1330"/>
      <c r="F598" s="1330"/>
      <c r="G598" s="1330"/>
      <c r="H598" s="1330"/>
      <c r="I598" s="1330"/>
      <c r="J598" s="1462">
        <f>J596*J597</f>
        <v>18451404.400000002</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2046</v>
      </c>
      <c r="C600" s="1330"/>
      <c r="D600" s="1330"/>
      <c r="E600" s="1330"/>
      <c r="F600" s="1330"/>
      <c r="G600" s="1330"/>
      <c r="H600" s="1330"/>
      <c r="I600" s="1330"/>
      <c r="J600" s="1462">
        <f>J598*J599</f>
        <v>18451404.400000002</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2543</v>
      </c>
      <c r="C602" s="1330"/>
      <c r="D602" s="1330"/>
      <c r="E602" s="1330"/>
      <c r="F602" s="1330"/>
      <c r="G602" s="1330"/>
      <c r="H602" s="1330"/>
      <c r="I602" s="1330"/>
      <c r="J602" s="1462">
        <f>J600*J601</f>
        <v>1660626.3960000002</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1660626</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3126" t="s">
        <v>742</v>
      </c>
      <c r="B605" s="3126"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3126" t="str">
        <f>B605</f>
        <v>TAX CREDIT CALCULATION - GAP METHOD</v>
      </c>
      <c r="X606" s="1330"/>
    </row>
    <row r="607" spans="1:24" ht="13.5" customHeight="1">
      <c r="A607" s="1330"/>
      <c r="B607" s="1332" t="s">
        <v>5340</v>
      </c>
      <c r="C607" s="1330"/>
      <c r="D607" s="1330"/>
      <c r="E607" s="1330"/>
      <c r="F607" s="1330"/>
      <c r="G607" s="1335" t="str">
        <f ca="1">IF(J608&gt;J607,"TDC exceeds QAP PUCL!","")</f>
        <v/>
      </c>
      <c r="H607" s="1335"/>
      <c r="I607" s="1335"/>
      <c r="J607" s="1467">
        <f>'Part VIII-Threshold Criteria'!$P$63</f>
        <v>15915972</v>
      </c>
      <c r="K607" s="1467"/>
      <c r="L607" s="1467"/>
      <c r="M607" s="1468" t="s">
        <v>2747</v>
      </c>
      <c r="N607" s="1468"/>
      <c r="O607" s="1468"/>
      <c r="P607" s="1468"/>
      <c r="Q607" s="1468"/>
      <c r="R607" s="1468"/>
      <c r="S607" s="1468" t="s">
        <v>3672</v>
      </c>
      <c r="T607" s="1468"/>
      <c r="U607" s="1330"/>
      <c r="V607" s="1418">
        <f>'Part IV-A-Uses of Funds'!V162</f>
        <v>0</v>
      </c>
      <c r="W607" s="1203">
        <f>'Part IV-A-Uses of Funds'!W162</f>
        <v>0</v>
      </c>
      <c r="X607" s="1203"/>
    </row>
    <row r="608" spans="1:24">
      <c r="A608" s="1330"/>
      <c r="B608" s="1330" t="s">
        <v>5341</v>
      </c>
      <c r="C608" s="1330"/>
      <c r="D608" s="1330"/>
      <c r="E608" s="1330"/>
      <c r="F608" s="1330"/>
      <c r="G608" s="1330"/>
      <c r="H608" s="1330"/>
      <c r="I608" s="1330"/>
      <c r="J608" s="1462">
        <f ca="1">'Part IV-A-Uses of Funds'!J163</f>
        <v>15903809.932432491</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4150000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2233</v>
      </c>
      <c r="C610" s="1330"/>
      <c r="D610" s="1330"/>
      <c r="E610" s="1330"/>
      <c r="F610" s="1330"/>
      <c r="G610" s="1330"/>
      <c r="H610" s="1330"/>
      <c r="I610" s="1330"/>
      <c r="J610" s="1462">
        <f ca="1">+J608-J609</f>
        <v>11753809.932432491</v>
      </c>
      <c r="K610" s="1462"/>
      <c r="L610" s="1462"/>
      <c r="M610" s="1393" t="s">
        <v>2748</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 ca="1">J610/10</f>
        <v>1175380.9932432491</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5095</v>
      </c>
      <c r="C613" s="1330"/>
      <c r="D613" s="1330"/>
      <c r="E613" s="1330"/>
      <c r="F613" s="1330"/>
      <c r="G613" s="1330"/>
      <c r="H613" s="1330"/>
      <c r="I613" s="1330"/>
      <c r="J613" s="1471">
        <f>N613+Q613</f>
        <v>1.24</v>
      </c>
      <c r="K613" s="1471"/>
      <c r="L613" s="1471"/>
      <c r="M613" s="1334" t="s">
        <v>1289</v>
      </c>
      <c r="N613" s="1821">
        <f>'Part IV-A-Uses of Funds'!N168</f>
        <v>0.8</v>
      </c>
      <c r="O613" s="1821"/>
      <c r="P613" s="1334" t="s">
        <v>612</v>
      </c>
      <c r="Q613" s="1821">
        <f>'Part IV-A-Uses of Funds'!Q168</f>
        <v>0.44</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 ca="1">ROUNDDOWN(IF(J613=0,"",J612/J613),0)</f>
        <v>947887</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5096</v>
      </c>
      <c r="C616" s="1330"/>
      <c r="D616" s="1330"/>
      <c r="E616" s="1330"/>
      <c r="F616" s="1330"/>
      <c r="G616" s="1330"/>
      <c r="H616" s="1330"/>
      <c r="I616" s="1330"/>
      <c r="J616" s="146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5097</v>
      </c>
      <c r="C618" s="1330"/>
      <c r="D618" s="1330"/>
      <c r="E618" s="1330"/>
      <c r="F618" s="1330"/>
      <c r="G618" s="1330"/>
      <c r="H618" s="1330"/>
      <c r="I618" s="1330"/>
      <c r="J618" s="1462">
        <f>'Part IV-A-Uses of Funds'!J173</f>
        <v>883000</v>
      </c>
      <c r="K618" s="1462"/>
      <c r="L618" s="1462"/>
      <c r="M618" s="1337" t="str">
        <f ca="1">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3126" t="s">
        <v>1792</v>
      </c>
      <c r="B620" s="3126" t="s">
        <v>5342</v>
      </c>
      <c r="C620" s="1330"/>
      <c r="D620" s="1336"/>
      <c r="E620" s="1336"/>
      <c r="F620" s="1337"/>
      <c r="G620" s="1330"/>
      <c r="H620" s="1330"/>
      <c r="I620" s="1330"/>
      <c r="J620" s="1462">
        <f ca="1">IF(J618="",0,+MIN(J616,J618))</f>
        <v>883000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Hard Costs estimated by the construction company that has decades of experience building this type of mulitfamily housing.
Offsite Cost to extend the sewer is estimated by the contractor in the amount of $350,000 and is being excluded from basis.  The related contractors fees have been removed from basis as well.
Permit, Imapact, Water and Sewer Tap Fees were calculated based on current rates and verified by correspondence with the City of Kingsland Finance Director (See tab 1).  The meters referenced in the email are included in the construction contract.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3122" t="s">
        <v>2694</v>
      </c>
      <c r="X624" s="3122"/>
    </row>
    <row r="628" spans="1:8" ht="15">
      <c r="A628" s="3140" t="str">
        <f>CONCATENATE("PART FOUR (b) -  OTHER COSTS","  -  ",'Part I-Project Information'!$O$6," - ",'Part I-Project Information'!$F$34,"  -  ",'Part I-Project Information'!$F$38,"  -  ",'Part I-Project Information'!$J$39,",  ","County")</f>
        <v>PART FOUR (b) -  OTHER COSTS  -  2019-078 - Abbington Sound  -  Kingsland  -  Camden,  County</v>
      </c>
      <c r="B628" s="3140"/>
      <c r="C628" s="3140"/>
      <c r="D628" s="3140"/>
      <c r="E628" s="3140"/>
      <c r="F628" s="3140"/>
      <c r="G628" s="3140"/>
      <c r="H628" s="3140"/>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3141" t="s">
        <v>5098</v>
      </c>
      <c r="B632" s="3141"/>
      <c r="C632" s="3141"/>
      <c r="D632" s="3141"/>
      <c r="E632" s="1822"/>
      <c r="F632" s="3142" t="s">
        <v>3702</v>
      </c>
      <c r="G632" s="1477"/>
      <c r="H632" s="3142" t="s">
        <v>3703</v>
      </c>
    </row>
    <row r="633" spans="1:8">
      <c r="A633" s="1477"/>
      <c r="B633" s="1477"/>
      <c r="C633" s="1477"/>
      <c r="D633" s="1477"/>
      <c r="E633" s="1822"/>
      <c r="F633" s="1822"/>
      <c r="G633" s="1822"/>
      <c r="H633" s="1822"/>
    </row>
    <row r="634" spans="1:8" ht="13.5">
      <c r="A634" s="3143"/>
      <c r="B634" s="3143"/>
      <c r="C634" s="3143"/>
      <c r="D634" s="3143"/>
      <c r="E634" s="3143"/>
      <c r="F634" s="3143"/>
      <c r="G634" s="3143"/>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3705</v>
      </c>
      <c r="B639" s="1483">
        <f>'Part IV-A-Uses of Funds'!$G$14</f>
        <v>0</v>
      </c>
      <c r="C639" s="1482" t="s">
        <v>1790</v>
      </c>
      <c r="D639" s="1483">
        <f>'Part IV-A-Uses of Funds'!$J$14+'Part IV-A-Uses of Funds'!$M$14+'Part IV-A-Uses of Funds'!$P$14</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3705</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3705</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3705</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5099</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3705</v>
      </c>
      <c r="B684" s="1483">
        <f>'Part IV-A-Uses of Funds'!$G$103</f>
        <v>0</v>
      </c>
      <c r="C684" s="1487"/>
      <c r="D684" s="1487"/>
      <c r="E684" s="1480"/>
      <c r="F684" s="1825"/>
      <c r="G684" s="1480"/>
      <c r="H684" s="1824"/>
    </row>
    <row r="685" spans="1:8" ht="13.5">
      <c r="A685" s="3143"/>
      <c r="B685" s="3143"/>
      <c r="C685" s="3143"/>
      <c r="D685" s="3143"/>
      <c r="E685" s="3143"/>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3705</v>
      </c>
      <c r="B689" s="1483">
        <f>'Part IV-A-Uses of Funds'!$G$104</f>
        <v>0</v>
      </c>
      <c r="C689" s="1487"/>
      <c r="D689" s="1487"/>
      <c r="E689" s="1480"/>
      <c r="F689" s="1825"/>
      <c r="G689" s="1480"/>
      <c r="H689" s="1824"/>
    </row>
    <row r="690" spans="1:8" ht="13.5">
      <c r="A690" s="3143"/>
      <c r="B690" s="3143"/>
      <c r="C690" s="3143"/>
      <c r="D690" s="3143"/>
      <c r="E690" s="3143"/>
      <c r="F690" s="1825"/>
      <c r="G690" s="1485"/>
      <c r="H690" s="1824"/>
    </row>
    <row r="691" spans="1:8" ht="13.5">
      <c r="A691" s="1477" t="s">
        <v>5100</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3705</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5101</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2019-078 Abbington Sound,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South</v>
      </c>
    </row>
    <row r="715" spans="1:13">
      <c r="A715" s="1489" t="s">
        <v>3801</v>
      </c>
    </row>
    <row r="717" spans="1:13" ht="51">
      <c r="A717" s="638" t="s">
        <v>616</v>
      </c>
      <c r="B717" s="638" t="s">
        <v>2228</v>
      </c>
      <c r="F717" s="638" t="s">
        <v>2520</v>
      </c>
      <c r="I717" s="1318" t="str">
        <f>'Part V-Utility Allowances'!I7</f>
        <v>Georgia DCA - South Region (Garden/Walkup)</v>
      </c>
      <c r="J717" s="1318"/>
      <c r="K717" s="1318"/>
      <c r="L717" s="1318"/>
      <c r="M717" s="1318"/>
    </row>
    <row r="718" spans="1:13">
      <c r="F718" s="638" t="s">
        <v>636</v>
      </c>
      <c r="I718" s="1826">
        <f>'Part V-Utility Allowances'!I8</f>
        <v>43220</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3144" t="str">
        <f>'Part V-Utility Allowances'!F12</f>
        <v>X</v>
      </c>
      <c r="G722" s="3144">
        <f>'Part V-Utility Allowances'!G12</f>
        <v>0</v>
      </c>
      <c r="I722" s="1320">
        <f>'Part V-Utility Allowances'!I12</f>
        <v>0</v>
      </c>
      <c r="J722" s="1320">
        <f>'Part V-Utility Allowances'!J12</f>
        <v>4</v>
      </c>
      <c r="K722" s="1320">
        <f>'Part V-Utility Allowances'!K12</f>
        <v>5</v>
      </c>
      <c r="L722" s="1320">
        <f>'Part V-Utility Allowances'!L12</f>
        <v>6</v>
      </c>
      <c r="M722" s="1320">
        <f>'Part V-Utility Allowances'!M12</f>
        <v>0</v>
      </c>
    </row>
    <row r="723" spans="1:13">
      <c r="B723" s="638" t="s">
        <v>1597</v>
      </c>
      <c r="D723" s="1794" t="str">
        <f>'Part V-Utility Allowances'!D13</f>
        <v>Electric</v>
      </c>
      <c r="E723" s="1794"/>
      <c r="F723" s="3144" t="str">
        <f>'Part V-Utility Allowances'!F13</f>
        <v>X</v>
      </c>
      <c r="G723" s="3144">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3144" t="str">
        <f>'Part V-Utility Allowances'!F14</f>
        <v>X</v>
      </c>
      <c r="G724" s="3144">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3144" t="str">
        <f>'Part V-Utility Allowances'!F15</f>
        <v>X</v>
      </c>
      <c r="G725" s="3144">
        <f>'Part V-Utility Allowances'!G15</f>
        <v>0</v>
      </c>
      <c r="I725" s="1320">
        <f>'Part V-Utility Allowances'!I15</f>
        <v>0</v>
      </c>
      <c r="J725" s="1320">
        <f>'Part V-Utility Allowances'!J15</f>
        <v>10</v>
      </c>
      <c r="K725" s="1320">
        <f>'Part V-Utility Allowances'!K15</f>
        <v>13</v>
      </c>
      <c r="L725" s="1320">
        <f>'Part V-Utility Allowances'!L15</f>
        <v>16</v>
      </c>
      <c r="M725" s="1320">
        <f>'Part V-Utility Allowances'!M15</f>
        <v>0</v>
      </c>
    </row>
    <row r="726" spans="1:13">
      <c r="B726" s="638" t="s">
        <v>3798</v>
      </c>
      <c r="D726" s="638" t="s">
        <v>1596</v>
      </c>
      <c r="F726" s="3144">
        <f>'Part V-Utility Allowances'!F16</f>
        <v>0</v>
      </c>
      <c r="G726" s="3144"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3144">
        <f>'Part V-Utility Allowances'!F17</f>
        <v>0</v>
      </c>
      <c r="G727" s="3144"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3144" t="str">
        <f>'Part V-Utility Allowances'!F18</f>
        <v>X</v>
      </c>
      <c r="G728" s="3144">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4519</v>
      </c>
      <c r="E729" s="1320" t="str">
        <f>'Part V-Utility Allowances'!E19</f>
        <v>Yes</v>
      </c>
      <c r="F729" s="3144" t="str">
        <f>'Part V-Utility Allowances'!F19</f>
        <v>X</v>
      </c>
      <c r="G729" s="3144">
        <f>'Part V-Utility Allowances'!G19</f>
        <v>0</v>
      </c>
      <c r="I729" s="1320">
        <f>'Part V-Utility Allowances'!I19</f>
        <v>0</v>
      </c>
      <c r="J729" s="1320">
        <f>'Part V-Utility Allowances'!J19</f>
        <v>39</v>
      </c>
      <c r="K729" s="1320">
        <f>'Part V-Utility Allowances'!K19</f>
        <v>48</v>
      </c>
      <c r="L729" s="1320">
        <f>'Part V-Utility Allowances'!L19</f>
        <v>58</v>
      </c>
      <c r="M729" s="1320">
        <f>'Part V-Utility Allowances'!M19</f>
        <v>0</v>
      </c>
    </row>
    <row r="730" spans="1:13">
      <c r="B730" s="638" t="s">
        <v>1852</v>
      </c>
      <c r="F730" s="3144">
        <f>'Part V-Utility Allowances'!F20</f>
        <v>0</v>
      </c>
      <c r="G730" s="3144"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3144">
        <f>'Part V-Utility Allowances'!F21</f>
        <v>0</v>
      </c>
      <c r="G731" s="3144">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94</v>
      </c>
      <c r="K732" s="1320">
        <f>IF(SUM(K722:K731)=0,0,IF(OR($D722="&lt;&lt;Select Fuel &gt;&gt;",$D723="&lt;&lt;Select Fuel &gt;&gt;",$D724="&lt;&lt;Select Fuel &gt;&gt;"),"Select Fuel",IF($E729="&lt;Select&gt;","Submeter?",SUM(K722:K731))))</f>
        <v>120</v>
      </c>
      <c r="L732" s="1320">
        <f>IF(SUM(L722:L731)=0,0,IF(OR($D722="&lt;&lt;Select Fuel &gt;&gt;",$D723="&lt;&lt;Select Fuel &gt;&gt;",$D724="&lt;&lt;Select Fuel &gt;&gt;"),"Select Fuel",IF($E729="&lt;Select&gt;","Submeter?",SUM(L722:L731))))</f>
        <v>147</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3144">
        <f>'Part V-Utility Allowances'!F29</f>
        <v>0</v>
      </c>
      <c r="G739" s="3144">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3144">
        <f>'Part V-Utility Allowances'!F30</f>
        <v>0</v>
      </c>
      <c r="G740" s="3144">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3144">
        <f>'Part V-Utility Allowances'!F31</f>
        <v>0</v>
      </c>
      <c r="G741" s="3144">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3144">
        <f>'Part V-Utility Allowances'!F32</f>
        <v>0</v>
      </c>
      <c r="G742" s="3144">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3144">
        <f>'Part V-Utility Allowances'!F33</f>
        <v>0</v>
      </c>
      <c r="G743" s="3144">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3144">
        <f>'Part V-Utility Allowances'!F34</f>
        <v>0</v>
      </c>
      <c r="G744" s="3144">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3144">
        <f>'Part V-Utility Allowances'!F35</f>
        <v>0</v>
      </c>
      <c r="G745" s="3144">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3144">
        <f>'Part V-Utility Allowances'!F36</f>
        <v>0</v>
      </c>
      <c r="G746" s="3144">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3144">
        <f>'Part V-Utility Allowances'!F37</f>
        <v>0</v>
      </c>
      <c r="G747" s="3144">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3144">
        <f>'Part V-Utility Allowances'!F38</f>
        <v>0</v>
      </c>
      <c r="G748" s="3144">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324">
      <c r="B753" s="1203" t="str">
        <f>'Part V-Utility Allowances'!B43</f>
        <v xml:space="preserve">Property will provide Range/Microwave and Refrigerator.  Utilty allowances confirmed most recent and in effect as of January 1, 2019 based on 2018 utility allowance map provided by Georgia Department of Community Affairs.  South Region DCA utility allowance was used (Garden/Walkup).  </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2019-078 Abbington Sound,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2019-078 Abbington Sound,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13"/>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4631</v>
      </c>
      <c r="AR766" s="1493" t="s">
        <v>4632</v>
      </c>
      <c r="AS766" s="1493" t="s">
        <v>4633</v>
      </c>
      <c r="AT766" s="1493" t="s">
        <v>4634</v>
      </c>
      <c r="AU766" s="1493" t="s">
        <v>4630</v>
      </c>
      <c r="AV766" s="1493" t="s">
        <v>921</v>
      </c>
      <c r="AW766" s="1493" t="s">
        <v>2315</v>
      </c>
      <c r="AX766" s="1493" t="s">
        <v>2316</v>
      </c>
      <c r="AY766" s="1493" t="s">
        <v>2317</v>
      </c>
      <c r="AZ766" s="1493" t="s">
        <v>2318</v>
      </c>
      <c r="BA766" s="1493" t="s">
        <v>4635</v>
      </c>
      <c r="BB766" s="1493" t="s">
        <v>4636</v>
      </c>
      <c r="BC766" s="1493" t="s">
        <v>4637</v>
      </c>
      <c r="BD766" s="1493" t="s">
        <v>4638</v>
      </c>
      <c r="BE766" s="1493" t="s">
        <v>4639</v>
      </c>
      <c r="BF766" s="1493" t="s">
        <v>129</v>
      </c>
      <c r="BG766" s="1493" t="s">
        <v>2319</v>
      </c>
      <c r="BH766" s="1493" t="s">
        <v>2320</v>
      </c>
      <c r="BI766" s="1493" t="s">
        <v>2321</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2431</v>
      </c>
      <c r="ED766" s="1493" t="s">
        <v>2432</v>
      </c>
      <c r="EE766" s="1493" t="s">
        <v>2433</v>
      </c>
      <c r="EF766" s="1493" t="s">
        <v>2434</v>
      </c>
      <c r="EG766" s="1493" t="s">
        <v>2435</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3145" t="str">
        <f>IF(A810&gt;0,"Finish Row!","")</f>
        <v/>
      </c>
      <c r="B767" s="1314" t="s">
        <v>1847</v>
      </c>
      <c r="C767" s="1314"/>
      <c r="D767" s="1314"/>
      <c r="E767" s="1314"/>
      <c r="F767" s="1314"/>
      <c r="G767" s="1313" t="str">
        <f>'Part VI-Revenues &amp; Expenses'!G5</f>
        <v>&lt;Select&gt;</v>
      </c>
      <c r="H767" s="1314"/>
      <c r="I767" s="1314"/>
      <c r="J767" s="1316" t="s">
        <v>3564</v>
      </c>
      <c r="K767" s="3146" t="str">
        <f>'Part I-Project Information'!$B$6</f>
        <v>April 2019 Final</v>
      </c>
      <c r="L767" s="3147"/>
      <c r="M767" s="1630" t="s">
        <v>576</v>
      </c>
      <c r="N767" s="1314"/>
      <c r="O767" s="1313" t="s">
        <v>5343</v>
      </c>
      <c r="P767" s="1493"/>
      <c r="Q767" s="2313"/>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3145"/>
      <c r="B768" s="1526" t="s">
        <v>1805</v>
      </c>
      <c r="C768" s="1314"/>
      <c r="D768" s="1314"/>
      <c r="E768" s="1314"/>
      <c r="F768" s="1313" t="str">
        <f>'Part VI-Revenues &amp; Expenses'!F6</f>
        <v>No</v>
      </c>
      <c r="G768" s="1316" t="s">
        <v>3662</v>
      </c>
      <c r="H768" s="1493" t="s">
        <v>3885</v>
      </c>
      <c r="I768" s="1316" t="s">
        <v>798</v>
      </c>
      <c r="J768" s="1316" t="s">
        <v>3665</v>
      </c>
      <c r="K768" s="3147"/>
      <c r="L768" s="3147"/>
      <c r="M768" s="3148" t="str">
        <f>'Part I-Project Information'!$O$40</f>
        <v>Camden Co.</v>
      </c>
      <c r="N768" s="3148"/>
      <c r="O768" s="1607">
        <f>VLOOKUP('Part I-Project Information'!$O$40,'DCA Underwriting Assumptions'!$C$158:$D$268,2)</f>
        <v>63800</v>
      </c>
      <c r="P768" s="1493"/>
      <c r="Q768" s="2313"/>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3145"/>
      <c r="B769" s="3149" t="s">
        <v>4702</v>
      </c>
      <c r="C769" s="1314"/>
      <c r="D769" s="1314"/>
      <c r="E769" s="1314"/>
      <c r="F769" s="1314"/>
      <c r="G769" s="1316" t="s">
        <v>3663</v>
      </c>
      <c r="H769" s="1493"/>
      <c r="I769" s="1316" t="s">
        <v>799</v>
      </c>
      <c r="J769" s="1316" t="s">
        <v>3666</v>
      </c>
      <c r="K769" s="1319"/>
      <c r="L769" s="1319"/>
      <c r="M769" s="3148"/>
      <c r="N769" s="3148"/>
      <c r="O769" s="1314"/>
      <c r="P769" s="1493"/>
      <c r="Q769" s="2313"/>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3145"/>
      <c r="B770" s="1316" t="s">
        <v>4703</v>
      </c>
      <c r="C770" s="1316" t="s">
        <v>172</v>
      </c>
      <c r="D770" s="1316" t="s">
        <v>545</v>
      </c>
      <c r="E770" s="1316" t="s">
        <v>1476</v>
      </c>
      <c r="F770" s="1316" t="s">
        <v>1476</v>
      </c>
      <c r="G770" s="1316" t="s">
        <v>1478</v>
      </c>
      <c r="H770" s="1316" t="s">
        <v>3663</v>
      </c>
      <c r="I770" s="3150" t="s">
        <v>5063</v>
      </c>
      <c r="J770" s="1316" t="s">
        <v>5344</v>
      </c>
      <c r="K770" s="1317" t="s">
        <v>145</v>
      </c>
      <c r="L770" s="1317"/>
      <c r="M770" s="1316" t="s">
        <v>2368</v>
      </c>
      <c r="N770" s="1316" t="s">
        <v>532</v>
      </c>
      <c r="O770" s="1316" t="s">
        <v>383</v>
      </c>
      <c r="P770" s="1493"/>
      <c r="Q770" s="1317" t="s">
        <v>3573</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3366</v>
      </c>
      <c r="IJ770" s="1318" t="s">
        <v>3366</v>
      </c>
      <c r="IK770" s="1318" t="s">
        <v>3366</v>
      </c>
      <c r="IL770" s="1318" t="s">
        <v>3366</v>
      </c>
      <c r="IM770" s="1318" t="s">
        <v>3366</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3145"/>
      <c r="B771" s="3151" t="s">
        <v>5066</v>
      </c>
      <c r="C771" s="1316" t="s">
        <v>171</v>
      </c>
      <c r="D771" s="1316" t="s">
        <v>173</v>
      </c>
      <c r="E771" s="1316" t="s">
        <v>1477</v>
      </c>
      <c r="F771" s="1316" t="s">
        <v>1279</v>
      </c>
      <c r="G771" s="1316" t="s">
        <v>3664</v>
      </c>
      <c r="H771" s="1316" t="s">
        <v>1478</v>
      </c>
      <c r="I771" s="3150"/>
      <c r="J771" s="1504" t="s">
        <v>350</v>
      </c>
      <c r="K771" s="1316" t="s">
        <v>1530</v>
      </c>
      <c r="L771" s="1316" t="s">
        <v>539</v>
      </c>
      <c r="M771" s="1316" t="s">
        <v>1476</v>
      </c>
      <c r="N771" s="1316" t="s">
        <v>3315</v>
      </c>
      <c r="O771" s="1316" t="s">
        <v>384</v>
      </c>
      <c r="P771" s="1493"/>
      <c r="Q771" s="1316" t="s">
        <v>3574</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3152"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3152"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3152"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3152"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3152"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3152"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3152"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3152">
        <f>'Part VI-Revenues &amp; Expenses'!B17</f>
        <v>0</v>
      </c>
      <c r="C779" s="1829">
        <f>'Part VI-Revenues &amp; Expenses'!C17</f>
        <v>0</v>
      </c>
      <c r="D779" s="1830">
        <f>'Part VI-Revenues &amp; Expenses'!D17</f>
        <v>0</v>
      </c>
      <c r="E779" s="1831">
        <f>'Part VI-Revenues &amp; Expenses'!E17</f>
        <v>0</v>
      </c>
      <c r="F779" s="1831">
        <f>'Part VI-Revenues &amp; Expenses'!F17</f>
        <v>0</v>
      </c>
      <c r="G779" s="1831">
        <f>'Part VI-Revenues &amp; Expenses'!G17</f>
        <v>0</v>
      </c>
      <c r="H779" s="1831">
        <f>'Part VI-Revenues &amp; Expenses'!H17</f>
        <v>0</v>
      </c>
      <c r="I779" s="1831">
        <f>'Part VI-Revenues &amp; Expenses'!I17</f>
        <v>0</v>
      </c>
      <c r="J779" s="1832">
        <f>'Part VI-Revenues &amp; Expenses'!J17</f>
        <v>0</v>
      </c>
      <c r="K779" s="1505">
        <f t="shared" si="1"/>
        <v>0</v>
      </c>
      <c r="L779" s="1505">
        <f t="shared" si="2"/>
        <v>0</v>
      </c>
      <c r="M779" s="1816">
        <f>'Part VI-Revenues &amp; Expenses'!M17</f>
        <v>0</v>
      </c>
      <c r="N779" s="1816">
        <f>'Part VI-Revenues &amp; Expenses'!N17</f>
        <v>0</v>
      </c>
      <c r="O779" s="1816">
        <f>'Part VI-Revenues &amp; Expenses'!O17</f>
        <v>0</v>
      </c>
      <c r="P779" s="1316">
        <f>'Part VI-Revenues &amp; Expenses'!P17</f>
        <v>0</v>
      </c>
      <c r="Q779" s="1506" t="str">
        <f>'Part VI-Revenues &amp; Expenses'!Q17</f>
        <v/>
      </c>
      <c r="R779" s="1507" t="str">
        <f>'Part VI-Revenues &amp; Expenses'!R17</f>
        <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3152">
        <f>'Part VI-Revenues &amp; Expenses'!B18</f>
        <v>0</v>
      </c>
      <c r="C780" s="1829">
        <f>'Part VI-Revenues &amp; Expenses'!C18</f>
        <v>0</v>
      </c>
      <c r="D780" s="1830">
        <f>'Part VI-Revenues &amp; Expenses'!D18</f>
        <v>0</v>
      </c>
      <c r="E780" s="1831">
        <f>'Part VI-Revenues &amp; Expenses'!E18</f>
        <v>0</v>
      </c>
      <c r="F780" s="1831">
        <f>'Part VI-Revenues &amp; Expenses'!F18</f>
        <v>0</v>
      </c>
      <c r="G780" s="1831">
        <f>'Part VI-Revenues &amp; Expenses'!G18</f>
        <v>0</v>
      </c>
      <c r="H780" s="1831">
        <f>'Part VI-Revenues &amp; Expenses'!H18</f>
        <v>0</v>
      </c>
      <c r="I780" s="1831">
        <f>'Part VI-Revenues &amp; Expenses'!I18</f>
        <v>0</v>
      </c>
      <c r="J780" s="1832">
        <f>'Part VI-Revenues &amp; Expenses'!J18</f>
        <v>0</v>
      </c>
      <c r="K780" s="1505">
        <f t="shared" si="1"/>
        <v>0</v>
      </c>
      <c r="L780" s="1505">
        <f t="shared" si="2"/>
        <v>0</v>
      </c>
      <c r="M780" s="1816">
        <f>'Part VI-Revenues &amp; Expenses'!M18</f>
        <v>0</v>
      </c>
      <c r="N780" s="1816">
        <f>'Part VI-Revenues &amp; Expenses'!N18</f>
        <v>0</v>
      </c>
      <c r="O780" s="1816">
        <f>'Part VI-Revenues &amp; Expenses'!O18</f>
        <v>0</v>
      </c>
      <c r="P780" s="1316">
        <f>'Part VI-Revenues &amp; Expenses'!P18</f>
        <v>0</v>
      </c>
      <c r="Q780" s="1506" t="str">
        <f>'Part VI-Revenues &amp; Expenses'!Q18</f>
        <v/>
      </c>
      <c r="R780" s="1507" t="str">
        <f>'Part VI-Revenues &amp; Expenses'!R18</f>
        <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3152">
        <f>'Part VI-Revenues &amp; Expenses'!B19</f>
        <v>0</v>
      </c>
      <c r="C781" s="1829">
        <f>'Part VI-Revenues &amp; Expenses'!C19</f>
        <v>0</v>
      </c>
      <c r="D781" s="1830">
        <f>'Part VI-Revenues &amp; Expenses'!D19</f>
        <v>0</v>
      </c>
      <c r="E781" s="1831">
        <f>'Part VI-Revenues &amp; Expenses'!E19</f>
        <v>0</v>
      </c>
      <c r="F781" s="1831">
        <f>'Part VI-Revenues &amp; Expenses'!F19</f>
        <v>0</v>
      </c>
      <c r="G781" s="1831">
        <f>'Part VI-Revenues &amp; Expenses'!G19</f>
        <v>0</v>
      </c>
      <c r="H781" s="1831">
        <f>'Part VI-Revenues &amp; Expenses'!H19</f>
        <v>0</v>
      </c>
      <c r="I781" s="1831">
        <f>'Part VI-Revenues &amp; Expenses'!I19</f>
        <v>0</v>
      </c>
      <c r="J781" s="1832">
        <f>'Part VI-Revenues &amp; Expenses'!J19</f>
        <v>0</v>
      </c>
      <c r="K781" s="1505">
        <f t="shared" si="1"/>
        <v>0</v>
      </c>
      <c r="L781" s="1505">
        <f t="shared" si="2"/>
        <v>0</v>
      </c>
      <c r="M781" s="1816">
        <f>'Part VI-Revenues &amp; Expenses'!M19</f>
        <v>0</v>
      </c>
      <c r="N781" s="1816">
        <f>'Part VI-Revenues &amp; Expenses'!N19</f>
        <v>0</v>
      </c>
      <c r="O781" s="1816">
        <f>'Part VI-Revenues &amp; Expenses'!O19</f>
        <v>0</v>
      </c>
      <c r="P781" s="1316">
        <f>'Part VI-Revenues &amp; Expenses'!P19</f>
        <v>0</v>
      </c>
      <c r="Q781" s="1506" t="str">
        <f>'Part VI-Revenues &amp; Expenses'!Q19</f>
        <v/>
      </c>
      <c r="R781" s="1507" t="str">
        <f>'Part VI-Revenues &amp; Expenses'!R19</f>
        <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3152">
        <f>'Part VI-Revenues &amp; Expenses'!B20</f>
        <v>0</v>
      </c>
      <c r="C782" s="1829">
        <f>'Part VI-Revenues &amp; Expenses'!C20</f>
        <v>0</v>
      </c>
      <c r="D782" s="1830">
        <f>'Part VI-Revenues &amp; Expenses'!D20</f>
        <v>0</v>
      </c>
      <c r="E782" s="1831">
        <f>'Part VI-Revenues &amp; Expenses'!E20</f>
        <v>0</v>
      </c>
      <c r="F782" s="1831">
        <f>'Part VI-Revenues &amp; Expenses'!F20</f>
        <v>0</v>
      </c>
      <c r="G782" s="1831">
        <f>'Part VI-Revenues &amp; Expenses'!G20</f>
        <v>0</v>
      </c>
      <c r="H782" s="1831">
        <f>'Part VI-Revenues &amp; Expenses'!H20</f>
        <v>0</v>
      </c>
      <c r="I782" s="1831">
        <f>'Part VI-Revenues &amp; Expenses'!I20</f>
        <v>0</v>
      </c>
      <c r="J782" s="1832">
        <f>'Part VI-Revenues &amp; Expenses'!J20</f>
        <v>0</v>
      </c>
      <c r="K782" s="1505">
        <f t="shared" si="1"/>
        <v>0</v>
      </c>
      <c r="L782" s="1505">
        <f t="shared" si="2"/>
        <v>0</v>
      </c>
      <c r="M782" s="1816">
        <f>'Part VI-Revenues &amp; Expenses'!M20</f>
        <v>0</v>
      </c>
      <c r="N782" s="1816">
        <f>'Part VI-Revenues &amp; Expenses'!N20</f>
        <v>0</v>
      </c>
      <c r="O782" s="1816">
        <f>'Part VI-Revenues &amp; Expenses'!O20</f>
        <v>0</v>
      </c>
      <c r="P782" s="1316">
        <f>'Part VI-Revenues &amp; Expenses'!P20</f>
        <v>0</v>
      </c>
      <c r="Q782" s="1506" t="str">
        <f>'Part VI-Revenues &amp; Expenses'!Q20</f>
        <v/>
      </c>
      <c r="R782" s="1507" t="str">
        <f>'Part VI-Revenues &amp; Expenses'!R20</f>
        <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3152">
        <f>'Part VI-Revenues &amp; Expenses'!B21</f>
        <v>0</v>
      </c>
      <c r="C783" s="1829">
        <f>'Part VI-Revenues &amp; Expenses'!C21</f>
        <v>0</v>
      </c>
      <c r="D783" s="1830">
        <f>'Part VI-Revenues &amp; Expenses'!D21</f>
        <v>0</v>
      </c>
      <c r="E783" s="1831">
        <f>'Part VI-Revenues &amp; Expenses'!E21</f>
        <v>0</v>
      </c>
      <c r="F783" s="1831">
        <f>'Part VI-Revenues &amp; Expenses'!F21</f>
        <v>0</v>
      </c>
      <c r="G783" s="1831">
        <f>'Part VI-Revenues &amp; Expenses'!G21</f>
        <v>0</v>
      </c>
      <c r="H783" s="1831">
        <f>'Part VI-Revenues &amp; Expenses'!H21</f>
        <v>0</v>
      </c>
      <c r="I783" s="1831">
        <f>'Part VI-Revenues &amp; Expenses'!I21</f>
        <v>0</v>
      </c>
      <c r="J783" s="1832">
        <f>'Part VI-Revenues &amp; Expenses'!J21</f>
        <v>0</v>
      </c>
      <c r="K783" s="1505">
        <f t="shared" si="1"/>
        <v>0</v>
      </c>
      <c r="L783" s="1505">
        <f t="shared" si="2"/>
        <v>0</v>
      </c>
      <c r="M783" s="1816">
        <f>'Part VI-Revenues &amp; Expenses'!M21</f>
        <v>0</v>
      </c>
      <c r="N783" s="1816">
        <f>'Part VI-Revenues &amp; Expenses'!N21</f>
        <v>0</v>
      </c>
      <c r="O783" s="1816">
        <f>'Part VI-Revenues &amp; Expenses'!O21</f>
        <v>0</v>
      </c>
      <c r="P783" s="1316">
        <f>'Part VI-Revenues &amp; Expenses'!P21</f>
        <v>0</v>
      </c>
      <c r="Q783" s="1506" t="str">
        <f>'Part VI-Revenues &amp; Expenses'!Q21</f>
        <v/>
      </c>
      <c r="R783" s="1507" t="str">
        <f>'Part VI-Revenues &amp; Expenses'!R21</f>
        <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3152">
        <f>'Part VI-Revenues &amp; Expenses'!B22</f>
        <v>0</v>
      </c>
      <c r="C784" s="1829">
        <f>'Part VI-Revenues &amp; Expenses'!C22</f>
        <v>0</v>
      </c>
      <c r="D784" s="1830">
        <f>'Part VI-Revenues &amp; Expenses'!D22</f>
        <v>0</v>
      </c>
      <c r="E784" s="1831">
        <f>'Part VI-Revenues &amp; Expenses'!E22</f>
        <v>0</v>
      </c>
      <c r="F784" s="1831">
        <f>'Part VI-Revenues &amp; Expenses'!F22</f>
        <v>0</v>
      </c>
      <c r="G784" s="1831">
        <f>'Part VI-Revenues &amp; Expenses'!G22</f>
        <v>0</v>
      </c>
      <c r="H784" s="1831">
        <f>'Part VI-Revenues &amp; Expenses'!H22</f>
        <v>0</v>
      </c>
      <c r="I784" s="1831">
        <f>'Part VI-Revenues &amp; Expenses'!I22</f>
        <v>0</v>
      </c>
      <c r="J784" s="1832">
        <f>'Part VI-Revenues &amp; Expenses'!J22</f>
        <v>0</v>
      </c>
      <c r="K784" s="1505">
        <f t="shared" si="1"/>
        <v>0</v>
      </c>
      <c r="L784" s="1505">
        <f t="shared" si="2"/>
        <v>0</v>
      </c>
      <c r="M784" s="1816">
        <f>'Part VI-Revenues &amp; Expenses'!M22</f>
        <v>0</v>
      </c>
      <c r="N784" s="1816">
        <f>'Part VI-Revenues &amp; Expenses'!N22</f>
        <v>0</v>
      </c>
      <c r="O784" s="1816">
        <f>'Part VI-Revenues &amp; Expenses'!O22</f>
        <v>0</v>
      </c>
      <c r="P784" s="1316">
        <f>'Part VI-Revenues &amp; Expenses'!P22</f>
        <v>0</v>
      </c>
      <c r="Q784" s="1506" t="str">
        <f>'Part VI-Revenues &amp; Expenses'!Q22</f>
        <v/>
      </c>
      <c r="R784" s="1507" t="str">
        <f>'Part VI-Revenues &amp; Expenses'!R22</f>
        <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3152">
        <f>'Part VI-Revenues &amp; Expenses'!B23</f>
        <v>60</v>
      </c>
      <c r="C785" s="1829">
        <f>'Part VI-Revenues &amp; Expenses'!C23</f>
        <v>1</v>
      </c>
      <c r="D785" s="1830">
        <f>'Part VI-Revenues &amp; Expenses'!D23</f>
        <v>1</v>
      </c>
      <c r="E785" s="1831">
        <f>'Part VI-Revenues &amp; Expenses'!E23</f>
        <v>9</v>
      </c>
      <c r="F785" s="1831">
        <f>'Part VI-Revenues &amp; Expenses'!F23</f>
        <v>730</v>
      </c>
      <c r="G785" s="1831">
        <f>'Part VI-Revenues &amp; Expenses'!G23</f>
        <v>718</v>
      </c>
      <c r="H785" s="1831">
        <f>'Part VI-Revenues &amp; Expenses'!H23</f>
        <v>668</v>
      </c>
      <c r="I785" s="1831">
        <f>'Part VI-Revenues &amp; Expenses'!I23</f>
        <v>94</v>
      </c>
      <c r="J785" s="1832">
        <f>'Part VI-Revenues &amp; Expenses'!J23</f>
        <v>0</v>
      </c>
      <c r="K785" s="1505">
        <f t="shared" si="1"/>
        <v>574</v>
      </c>
      <c r="L785" s="1505">
        <f t="shared" si="2"/>
        <v>5166</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26720</v>
      </c>
      <c r="R785" s="1507">
        <f>'Part VI-Revenues &amp; Expenses'!R23</f>
        <v>0.55841170323928946</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f t="shared" si="14"/>
        <v>9</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f t="shared" si="128"/>
        <v>6570</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9</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f t="shared" si="203"/>
        <v>9</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f t="shared" si="268"/>
        <v>9</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9</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3152">
        <f>'Part VI-Revenues &amp; Expenses'!B24</f>
        <v>50</v>
      </c>
      <c r="C786" s="1829">
        <f>'Part VI-Revenues &amp; Expenses'!C24</f>
        <v>1</v>
      </c>
      <c r="D786" s="1830">
        <f>'Part VI-Revenues &amp; Expenses'!D24</f>
        <v>1</v>
      </c>
      <c r="E786" s="1831">
        <f>'Part VI-Revenues &amp; Expenses'!E24</f>
        <v>3</v>
      </c>
      <c r="F786" s="1831">
        <f>'Part VI-Revenues &amp; Expenses'!F24</f>
        <v>730</v>
      </c>
      <c r="G786" s="1831">
        <f>'Part VI-Revenues &amp; Expenses'!G24</f>
        <v>598</v>
      </c>
      <c r="H786" s="1831">
        <f>'Part VI-Revenues &amp; Expenses'!H24</f>
        <v>548</v>
      </c>
      <c r="I786" s="1831">
        <f>'Part VI-Revenues &amp; Expenses'!I24</f>
        <v>94</v>
      </c>
      <c r="J786" s="1832">
        <f>'Part VI-Revenues &amp; Expenses'!J24</f>
        <v>0</v>
      </c>
      <c r="K786" s="1505">
        <f t="shared" si="1"/>
        <v>454</v>
      </c>
      <c r="L786" s="1505">
        <f t="shared" si="2"/>
        <v>1362</v>
      </c>
      <c r="M786" s="1816" t="str">
        <f>'Part VI-Revenues &amp; Expenses'!M24</f>
        <v>No</v>
      </c>
      <c r="N786" s="1816" t="str">
        <f>'Part VI-Revenues &amp; Expenses'!N24</f>
        <v>2-Story Walkup</v>
      </c>
      <c r="O786" s="1816" t="str">
        <f>'Part VI-Revenues &amp; Expenses'!O24</f>
        <v>New Construction</v>
      </c>
      <c r="P786" s="1316" t="str">
        <f>'Part VI-Revenues &amp; Expenses'!P24</f>
        <v>No</v>
      </c>
      <c r="Q786" s="1506">
        <f>'Part VI-Revenues &amp; Expenses'!Q24</f>
        <v>21920</v>
      </c>
      <c r="R786" s="1507">
        <f>'Part VI-Revenues &amp; Expenses'!R24</f>
        <v>0.45809822361546498</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f t="shared" si="19"/>
        <v>3</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f t="shared" si="314"/>
        <v>2190</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f t="shared" si="158"/>
        <v>3</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f t="shared" si="203"/>
        <v>3</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f t="shared" si="268"/>
        <v>3</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3</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3152">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3152">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3152">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3152">
        <f>'Part VI-Revenues &amp; Expenses'!B28</f>
        <v>60</v>
      </c>
      <c r="C790" s="1829">
        <f>'Part VI-Revenues &amp; Expenses'!C28</f>
        <v>2</v>
      </c>
      <c r="D790" s="1830">
        <f>'Part VI-Revenues &amp; Expenses'!D28</f>
        <v>2</v>
      </c>
      <c r="E790" s="1831">
        <f>'Part VI-Revenues &amp; Expenses'!E28</f>
        <v>27</v>
      </c>
      <c r="F790" s="1831">
        <f>'Part VI-Revenues &amp; Expenses'!F28</f>
        <v>1056</v>
      </c>
      <c r="G790" s="1831">
        <f>'Part VI-Revenues &amp; Expenses'!G28</f>
        <v>862</v>
      </c>
      <c r="H790" s="1831">
        <f>'Part VI-Revenues &amp; Expenses'!H28</f>
        <v>787</v>
      </c>
      <c r="I790" s="1831">
        <f>'Part VI-Revenues &amp; Expenses'!I28</f>
        <v>120</v>
      </c>
      <c r="J790" s="1832">
        <f>'Part VI-Revenues &amp; Expenses'!J28</f>
        <v>0</v>
      </c>
      <c r="K790" s="1505">
        <f t="shared" si="1"/>
        <v>667</v>
      </c>
      <c r="L790" s="1505">
        <f t="shared" si="2"/>
        <v>18009</v>
      </c>
      <c r="M790" s="1816" t="str">
        <f>'Part VI-Revenues &amp; Expenses'!M28</f>
        <v>No</v>
      </c>
      <c r="N790" s="1816" t="str">
        <f>'Part VI-Revenues &amp; Expenses'!N28</f>
        <v>2-Story Walkup</v>
      </c>
      <c r="O790" s="1816" t="str">
        <f>'Part VI-Revenues &amp; Expenses'!O28</f>
        <v>New Construction</v>
      </c>
      <c r="P790" s="1316" t="str">
        <f>'Part VI-Revenues &amp; Expenses'!P28</f>
        <v>No</v>
      </c>
      <c r="Q790" s="1506">
        <f>'Part VI-Revenues &amp; Expenses'!Q28</f>
        <v>31480</v>
      </c>
      <c r="R790" s="1507">
        <f>'Part VI-Revenues &amp; Expenses'!R28</f>
        <v>0.54824103099965171</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f t="shared" si="15"/>
        <v>27</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f t="shared" si="129"/>
        <v>28512</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f t="shared" si="159"/>
        <v>27</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f t="shared" si="204"/>
        <v>27</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f t="shared" si="269"/>
        <v>27</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27</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3152">
        <f>'Part VI-Revenues &amp; Expenses'!B29</f>
        <v>50</v>
      </c>
      <c r="C791" s="1829">
        <f>'Part VI-Revenues &amp; Expenses'!C29</f>
        <v>2</v>
      </c>
      <c r="D791" s="1830">
        <f>'Part VI-Revenues &amp; Expenses'!D29</f>
        <v>2</v>
      </c>
      <c r="E791" s="1831">
        <f>'Part VI-Revenues &amp; Expenses'!E29</f>
        <v>9</v>
      </c>
      <c r="F791" s="1831">
        <f>'Part VI-Revenues &amp; Expenses'!F29</f>
        <v>1056</v>
      </c>
      <c r="G791" s="1831">
        <f>'Part VI-Revenues &amp; Expenses'!G29</f>
        <v>718</v>
      </c>
      <c r="H791" s="1831">
        <f>'Part VI-Revenues &amp; Expenses'!H29</f>
        <v>643</v>
      </c>
      <c r="I791" s="1831">
        <f>'Part VI-Revenues &amp; Expenses'!I29</f>
        <v>120</v>
      </c>
      <c r="J791" s="1832">
        <f>'Part VI-Revenues &amp; Expenses'!J29</f>
        <v>0</v>
      </c>
      <c r="K791" s="1505">
        <f t="shared" si="1"/>
        <v>523</v>
      </c>
      <c r="L791" s="1505">
        <f t="shared" si="2"/>
        <v>4707</v>
      </c>
      <c r="M791" s="1816" t="str">
        <f>'Part VI-Revenues &amp; Expenses'!M29</f>
        <v>No</v>
      </c>
      <c r="N791" s="1816" t="str">
        <f>'Part VI-Revenues &amp; Expenses'!N29</f>
        <v>2-Story Walkup</v>
      </c>
      <c r="O791" s="1816" t="str">
        <f>'Part VI-Revenues &amp; Expenses'!O29</f>
        <v>New Construction</v>
      </c>
      <c r="P791" s="1316" t="str">
        <f>'Part VI-Revenues &amp; Expenses'!P29</f>
        <v>No</v>
      </c>
      <c r="Q791" s="1506">
        <f>'Part VI-Revenues &amp; Expenses'!Q29</f>
        <v>25720</v>
      </c>
      <c r="R791" s="1507">
        <f>'Part VI-Revenues &amp; Expenses'!R29</f>
        <v>0.44792755137582724</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f t="shared" si="20"/>
        <v>9</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f t="shared" si="315"/>
        <v>9504</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f t="shared" si="159"/>
        <v>9</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f t="shared" si="204"/>
        <v>9</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f t="shared" si="269"/>
        <v>9</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9</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3152">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3152">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3152">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3152">
        <f>'Part VI-Revenues &amp; Expenses'!B33</f>
        <v>60</v>
      </c>
      <c r="C795" s="1829">
        <f>'Part VI-Revenues &amp; Expenses'!C33</f>
        <v>3</v>
      </c>
      <c r="D795" s="1830">
        <f>'Part VI-Revenues &amp; Expenses'!D33</f>
        <v>2</v>
      </c>
      <c r="E795" s="1831">
        <f>'Part VI-Revenues &amp; Expenses'!E33</f>
        <v>27</v>
      </c>
      <c r="F795" s="1831">
        <f>'Part VI-Revenues &amp; Expenses'!F33</f>
        <v>1209</v>
      </c>
      <c r="G795" s="1831">
        <f>'Part VI-Revenues &amp; Expenses'!G33</f>
        <v>996</v>
      </c>
      <c r="H795" s="1831">
        <f>'Part VI-Revenues &amp; Expenses'!H33</f>
        <v>946</v>
      </c>
      <c r="I795" s="1831">
        <f>'Part VI-Revenues &amp; Expenses'!I33</f>
        <v>147</v>
      </c>
      <c r="J795" s="1832">
        <f>'Part VI-Revenues &amp; Expenses'!J33</f>
        <v>0</v>
      </c>
      <c r="K795" s="1505">
        <f t="shared" si="1"/>
        <v>799</v>
      </c>
      <c r="L795" s="1505">
        <f t="shared" si="2"/>
        <v>21573</v>
      </c>
      <c r="M795" s="1816" t="str">
        <f>'Part VI-Revenues &amp; Expenses'!M33</f>
        <v>No</v>
      </c>
      <c r="N795" s="1816" t="str">
        <f>'Part VI-Revenues &amp; Expenses'!N33</f>
        <v>2-Story Walkup</v>
      </c>
      <c r="O795" s="1816" t="str">
        <f>'Part VI-Revenues &amp; Expenses'!O33</f>
        <v>New Construction</v>
      </c>
      <c r="P795" s="1316" t="str">
        <f>'Part VI-Revenues &amp; Expenses'!P33</f>
        <v>No</v>
      </c>
      <c r="Q795" s="1506">
        <f>'Part VI-Revenues &amp; Expenses'!Q33</f>
        <v>37840</v>
      </c>
      <c r="R795" s="1507">
        <f>'Part VI-Revenues &amp; Expenses'!R33</f>
        <v>0.57029177718832891</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f t="shared" si="16"/>
        <v>27</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f t="shared" si="130"/>
        <v>32643</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f t="shared" si="160"/>
        <v>27</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f t="shared" si="205"/>
        <v>27</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f t="shared" si="270"/>
        <v>27</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27</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3152">
        <f>'Part VI-Revenues &amp; Expenses'!B34</f>
        <v>50</v>
      </c>
      <c r="C796" s="1829">
        <f>'Part VI-Revenues &amp; Expenses'!C34</f>
        <v>3</v>
      </c>
      <c r="D796" s="1830">
        <f>'Part VI-Revenues &amp; Expenses'!D34</f>
        <v>2</v>
      </c>
      <c r="E796" s="1831">
        <f>'Part VI-Revenues &amp; Expenses'!E34</f>
        <v>9</v>
      </c>
      <c r="F796" s="1831">
        <f>'Part VI-Revenues &amp; Expenses'!F34</f>
        <v>1209</v>
      </c>
      <c r="G796" s="1831">
        <f>'Part VI-Revenues &amp; Expenses'!G34</f>
        <v>830</v>
      </c>
      <c r="H796" s="1831">
        <f>'Part VI-Revenues &amp; Expenses'!H34</f>
        <v>780</v>
      </c>
      <c r="I796" s="1831">
        <f>'Part VI-Revenues &amp; Expenses'!I34</f>
        <v>147</v>
      </c>
      <c r="J796" s="1832">
        <f>'Part VI-Revenues &amp; Expenses'!J34</f>
        <v>0</v>
      </c>
      <c r="K796" s="1505">
        <f t="shared" si="1"/>
        <v>633</v>
      </c>
      <c r="L796" s="1505">
        <f t="shared" si="2"/>
        <v>5697</v>
      </c>
      <c r="M796" s="1816" t="str">
        <f>'Part VI-Revenues &amp; Expenses'!M34</f>
        <v>No</v>
      </c>
      <c r="N796" s="1816" t="str">
        <f>'Part VI-Revenues &amp; Expenses'!N34</f>
        <v>2-Story Walkup</v>
      </c>
      <c r="O796" s="1816" t="str">
        <f>'Part VI-Revenues &amp; Expenses'!O34</f>
        <v>New Construction</v>
      </c>
      <c r="P796" s="1316" t="str">
        <f>'Part VI-Revenues &amp; Expenses'!P34</f>
        <v>No</v>
      </c>
      <c r="Q796" s="1506">
        <f>'Part VI-Revenues &amp; Expenses'!Q34</f>
        <v>31200</v>
      </c>
      <c r="R796" s="1507">
        <f>'Part VI-Revenues &amp; Expenses'!R34</f>
        <v>0.47021943573667713</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f t="shared" si="21"/>
        <v>9</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f t="shared" si="316"/>
        <v>10881</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f t="shared" si="160"/>
        <v>9</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f t="shared" si="205"/>
        <v>9</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f t="shared" si="270"/>
        <v>9</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9</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3152">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3152">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3152">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3152">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3152">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3152">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3152">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3152">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3152">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3152">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3152">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3152">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3152">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84</v>
      </c>
      <c r="F810" s="315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90300</v>
      </c>
      <c r="G810" s="3154" t="s">
        <v>4704</v>
      </c>
      <c r="H810" s="1578" t="s">
        <v>4705</v>
      </c>
      <c r="I810" s="3155" t="str">
        <f>IF(O829=0,"",IF(SUM(O820:O824)/O829&gt;=0.4,"Pass","Fail"))</f>
        <v>Pass</v>
      </c>
      <c r="J810" s="458"/>
      <c r="K810" s="1511" t="s">
        <v>1302</v>
      </c>
      <c r="L810" s="1509">
        <f>SUM(L772:L809)</f>
        <v>56514</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9</v>
      </c>
      <c r="AI810" s="1321">
        <f t="shared" si="338"/>
        <v>27</v>
      </c>
      <c r="AJ810" s="1321">
        <f t="shared" si="338"/>
        <v>27</v>
      </c>
      <c r="AK810" s="1321">
        <f t="shared" si="338"/>
        <v>0</v>
      </c>
      <c r="AL810" s="1321">
        <f>SUM(AL772:AL809)</f>
        <v>0</v>
      </c>
      <c r="AM810" s="1321">
        <f>SUM(AM772:AM809)</f>
        <v>3</v>
      </c>
      <c r="AN810" s="1321">
        <f>SUM(AN772:AN809)</f>
        <v>9</v>
      </c>
      <c r="AO810" s="1321">
        <f>SUM(AO772:AO809)</f>
        <v>9</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6570</v>
      </c>
      <c r="ET810" s="1321">
        <f t="shared" si="338"/>
        <v>28512</v>
      </c>
      <c r="EU810" s="1321">
        <f t="shared" si="338"/>
        <v>32643</v>
      </c>
      <c r="EV810" s="1321">
        <f t="shared" si="338"/>
        <v>0</v>
      </c>
      <c r="EW810" s="1321">
        <f t="shared" si="338"/>
        <v>0</v>
      </c>
      <c r="EX810" s="1321">
        <f t="shared" si="338"/>
        <v>2190</v>
      </c>
      <c r="EY810" s="1321">
        <f t="shared" si="338"/>
        <v>9504</v>
      </c>
      <c r="EZ810" s="1321">
        <f t="shared" si="338"/>
        <v>10881</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12</v>
      </c>
      <c r="GH810" s="1321">
        <f t="shared" si="340"/>
        <v>36</v>
      </c>
      <c r="GI810" s="1321">
        <f t="shared" si="340"/>
        <v>36</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12</v>
      </c>
      <c r="IA810" s="1321">
        <f t="shared" si="341"/>
        <v>36</v>
      </c>
      <c r="IB810" s="1321">
        <f t="shared" si="341"/>
        <v>36</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12</v>
      </c>
      <c r="KN810" s="1321">
        <f t="shared" si="342"/>
        <v>36</v>
      </c>
      <c r="KO810" s="1321">
        <f t="shared" si="342"/>
        <v>36</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12</v>
      </c>
      <c r="ML810" s="1321">
        <f t="shared" si="342"/>
        <v>36</v>
      </c>
      <c r="MM810" s="1321">
        <f t="shared" si="342"/>
        <v>36</v>
      </c>
      <c r="MN810" s="1321">
        <f t="shared" si="342"/>
        <v>0</v>
      </c>
      <c r="MO810" s="1321">
        <f t="shared" si="342"/>
        <v>0</v>
      </c>
      <c r="MP810" s="1321">
        <f t="shared" si="342"/>
        <v>0</v>
      </c>
      <c r="MQ810" s="1321">
        <f t="shared" si="342"/>
        <v>0</v>
      </c>
      <c r="MR810" s="1321">
        <f t="shared" si="342"/>
        <v>0</v>
      </c>
      <c r="MS810" s="1321">
        <f t="shared" si="342"/>
        <v>0</v>
      </c>
    </row>
    <row r="811" spans="1:357">
      <c r="B811" s="3156">
        <f>'Part VI-Revenues &amp; Expenses'!B49</f>
        <v>57.5</v>
      </c>
      <c r="C811" s="3156"/>
      <c r="D811" s="1313" t="s">
        <v>4614</v>
      </c>
      <c r="E811" s="1510">
        <f>SUM(E779:E809)</f>
        <v>84</v>
      </c>
      <c r="F811" s="3153">
        <f>(E779*F779+E780*F780+E781*F781+E782*F782+E783*F783+E784*F784+E785*F785+E786*F786+E787*F787+E788*F788+E789*F789+E790*F790+E791*F791+E792*F792+E793*F793+E794*F794+E795*F795+E796*F796+E797*F797+E798*F798+E799*F799+E800*F800+E801*F801+E802*F802+E803*F803+E804*F804+E805*F805+E806*F806+E807*F807+E808*F808+E809*F809)</f>
        <v>90300</v>
      </c>
      <c r="G811" s="3154"/>
      <c r="H811" s="1578" t="s">
        <v>4706</v>
      </c>
      <c r="I811" s="3155" t="str">
        <f>IF(O829=0,"",IF(SUM(O821:O824)/O829&gt;=0.2,"Pass","Fail"))</f>
        <v>Pass</v>
      </c>
      <c r="J811" s="458"/>
      <c r="K811" s="1511" t="s">
        <v>814</v>
      </c>
      <c r="L811" s="1509">
        <f>L810*12</f>
        <v>678168</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5345</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3157"/>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3158" t="s">
        <v>568</v>
      </c>
      <c r="K817" s="3158" t="s">
        <v>535</v>
      </c>
      <c r="L817" s="3158" t="s">
        <v>536</v>
      </c>
      <c r="M817" s="3158" t="s">
        <v>537</v>
      </c>
      <c r="N817" s="3158" t="s">
        <v>538</v>
      </c>
      <c r="O817" s="3158" t="s">
        <v>539</v>
      </c>
      <c r="R817" s="1794" t="s">
        <v>1846</v>
      </c>
      <c r="S817" s="1794"/>
      <c r="T817" s="3157"/>
      <c r="AQ817" s="3158"/>
      <c r="AR817" s="3158"/>
      <c r="AS817" s="3158"/>
      <c r="AT817" s="3158"/>
      <c r="AU817" s="3158"/>
      <c r="AV817" s="3158"/>
      <c r="AX817" s="1314"/>
      <c r="BA817" s="3158"/>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9</v>
      </c>
      <c r="L820" s="1516">
        <f>AI810</f>
        <v>27</v>
      </c>
      <c r="M820" s="1516">
        <f>AJ810</f>
        <v>27</v>
      </c>
      <c r="N820" s="1516">
        <f>AK810</f>
        <v>0</v>
      </c>
      <c r="O820" s="1516">
        <f t="shared" si="343"/>
        <v>63</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3</v>
      </c>
      <c r="L821" s="1516">
        <f>AN810</f>
        <v>9</v>
      </c>
      <c r="M821" s="1516">
        <f>AO810</f>
        <v>9</v>
      </c>
      <c r="N821" s="1516">
        <f>AP810</f>
        <v>0</v>
      </c>
      <c r="O821" s="1516">
        <f t="shared" si="343"/>
        <v>21</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12</v>
      </c>
      <c r="L825" s="1516">
        <f>SUM(L818:L824)</f>
        <v>36</v>
      </c>
      <c r="M825" s="1516">
        <f>SUM(M818:M824)</f>
        <v>36</v>
      </c>
      <c r="N825" s="1516">
        <f>SUM(N818:N824)</f>
        <v>0</v>
      </c>
      <c r="O825" s="1516">
        <f t="shared" si="343"/>
        <v>84</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3159" t="s">
        <v>1138</v>
      </c>
      <c r="D827" s="3159"/>
      <c r="E827" s="3159"/>
      <c r="F827" s="3159"/>
      <c r="G827" s="3160"/>
      <c r="H827" s="1549"/>
      <c r="I827" s="3160"/>
      <c r="J827" s="3161">
        <f>SUM(J825:J826)</f>
        <v>0</v>
      </c>
      <c r="K827" s="3161">
        <f>SUM(K825:K826)</f>
        <v>12</v>
      </c>
      <c r="L827" s="3161">
        <f>SUM(L825:L826)</f>
        <v>36</v>
      </c>
      <c r="M827" s="3161">
        <f>SUM(M825:M826)</f>
        <v>36</v>
      </c>
      <c r="N827" s="3161">
        <f>SUM(N825:N826)</f>
        <v>0</v>
      </c>
      <c r="O827" s="3161">
        <f t="shared" si="343"/>
        <v>84</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12</v>
      </c>
      <c r="L829" s="1516">
        <f>SUM(L827:L828)</f>
        <v>36</v>
      </c>
      <c r="M829" s="1516">
        <f>SUM(M827:M828)</f>
        <v>36</v>
      </c>
      <c r="N829" s="1516">
        <f>SUM(N827:N828)</f>
        <v>0</v>
      </c>
      <c r="O829" s="1516">
        <f t="shared" si="343"/>
        <v>84</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3162"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3163" t="str">
        <f>'Part VI-Revenues &amp; Expenses'!I71</f>
        <v/>
      </c>
      <c r="J833" s="3163">
        <f>'Part VI-Revenues &amp; Expenses'!J71</f>
        <v>0</v>
      </c>
      <c r="K833" s="3163">
        <f>'Part VI-Revenues &amp; Expenses'!K71</f>
        <v>0</v>
      </c>
      <c r="L833" s="3163">
        <f>'Part VI-Revenues &amp; Expenses'!L71</f>
        <v>0</v>
      </c>
      <c r="M833" s="3163">
        <f>'Part VI-Revenues &amp; Expenses'!M71</f>
        <v>0</v>
      </c>
      <c r="N833" s="3163">
        <f>'Part VI-Revenues &amp; Expenses'!N71</f>
        <v>0</v>
      </c>
      <c r="O833" s="3163">
        <f>'Part VI-Revenues &amp; Expenses'!O71</f>
        <v>0</v>
      </c>
      <c r="P833" s="3163" t="str">
        <f>'Part VI-Revenues &amp; Expenses'!P71</f>
        <v/>
      </c>
      <c r="Q833" s="3163">
        <f>'Part VI-Revenues &amp; Expenses'!Q71</f>
        <v>0</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3163" t="str">
        <f>'Part VI-Revenues &amp; Expenses'!I72</f>
        <v/>
      </c>
      <c r="J834" s="3163">
        <f>'Part VI-Revenues &amp; Expenses'!J72</f>
        <v>0</v>
      </c>
      <c r="K834" s="3163">
        <f>'Part VI-Revenues &amp; Expenses'!K72</f>
        <v>0</v>
      </c>
      <c r="L834" s="3163">
        <f>'Part VI-Revenues &amp; Expenses'!L72</f>
        <v>0</v>
      </c>
      <c r="M834" s="3163">
        <f>'Part VI-Revenues &amp; Expenses'!M72</f>
        <v>0</v>
      </c>
      <c r="N834" s="3163">
        <f>'Part VI-Revenues &amp; Expenses'!N72</f>
        <v>0</v>
      </c>
      <c r="O834" s="3163">
        <f>'Part VI-Revenues &amp; Expenses'!O72</f>
        <v>0</v>
      </c>
      <c r="P834" s="3163" t="str">
        <f>'Part VI-Revenues &amp; Expenses'!P72</f>
        <v/>
      </c>
      <c r="Q834" s="3163">
        <f>'Part VI-Revenues &amp; Expenses'!Q72</f>
        <v>0</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5346</v>
      </c>
      <c r="E835" s="1521"/>
      <c r="F835" s="1521"/>
      <c r="G835" s="1521"/>
      <c r="H835" s="457" t="s">
        <v>1149</v>
      </c>
      <c r="I835" s="3163" t="str">
        <f>'Part VI-Revenues &amp; Expenses'!I73</f>
        <v/>
      </c>
      <c r="J835" s="3163">
        <f>'Part VI-Revenues &amp; Expenses'!J73</f>
        <v>0</v>
      </c>
      <c r="K835" s="3163">
        <f>'Part VI-Revenues &amp; Expenses'!K73</f>
        <v>0.75</v>
      </c>
      <c r="L835" s="3163">
        <f>'Part VI-Revenues &amp; Expenses'!L73</f>
        <v>0.75</v>
      </c>
      <c r="M835" s="3163">
        <f>'Part VI-Revenues &amp; Expenses'!M73</f>
        <v>0.75</v>
      </c>
      <c r="N835" s="3163">
        <f>'Part VI-Revenues &amp; Expenses'!N73</f>
        <v>0</v>
      </c>
      <c r="O835" s="3163">
        <f>'Part VI-Revenues &amp; Expenses'!O73</f>
        <v>0.75</v>
      </c>
      <c r="P835" s="3163">
        <f>'Part VI-Revenues &amp; Expenses'!P73</f>
        <v>0.75</v>
      </c>
      <c r="Q835" s="3163">
        <f>'Part VI-Revenues &amp; Expenses'!Q73</f>
        <v>0</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3163" t="str">
        <f>'Part VI-Revenues &amp; Expenses'!I74</f>
        <v/>
      </c>
      <c r="J836" s="3163">
        <f>'Part VI-Revenues &amp; Expenses'!J74</f>
        <v>0</v>
      </c>
      <c r="K836" s="3163">
        <f>'Part VI-Revenues &amp; Expenses'!K74</f>
        <v>0.25</v>
      </c>
      <c r="L836" s="3163">
        <f>'Part VI-Revenues &amp; Expenses'!L74</f>
        <v>0.25</v>
      </c>
      <c r="M836" s="3163">
        <f>'Part VI-Revenues &amp; Expenses'!M74</f>
        <v>0.25</v>
      </c>
      <c r="N836" s="3163">
        <f>'Part VI-Revenues &amp; Expenses'!N74</f>
        <v>0</v>
      </c>
      <c r="O836" s="3163">
        <f>'Part VI-Revenues &amp; Expenses'!O74</f>
        <v>0.25</v>
      </c>
      <c r="P836" s="3163">
        <f>'Part VI-Revenues &amp; Expenses'!P74</f>
        <v>0.25</v>
      </c>
      <c r="Q836" s="3163">
        <f>'Part VI-Revenues &amp; Expenses'!Q74</f>
        <v>0</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3163" t="str">
        <f>'Part VI-Revenues &amp; Expenses'!I75</f>
        <v/>
      </c>
      <c r="J837" s="3163">
        <f>'Part VI-Revenues &amp; Expenses'!J75</f>
        <v>0</v>
      </c>
      <c r="K837" s="3163">
        <f>'Part VI-Revenues &amp; Expenses'!K75</f>
        <v>0</v>
      </c>
      <c r="L837" s="3163">
        <f>'Part VI-Revenues &amp; Expenses'!L75</f>
        <v>0</v>
      </c>
      <c r="M837" s="3163">
        <f>'Part VI-Revenues &amp; Expenses'!M75</f>
        <v>0</v>
      </c>
      <c r="N837" s="3163">
        <f>'Part VI-Revenues &amp; Expenses'!N75</f>
        <v>0</v>
      </c>
      <c r="O837" s="3163">
        <f>'Part VI-Revenues &amp; Expenses'!O75</f>
        <v>0</v>
      </c>
      <c r="P837" s="3163" t="str">
        <f>'Part VI-Revenues &amp; Expenses'!P75</f>
        <v/>
      </c>
      <c r="Q837" s="3163">
        <f>'Part VI-Revenues &amp; Expenses'!Q75</f>
        <v>0</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3163" t="str">
        <f>'Part VI-Revenues &amp; Expenses'!I76</f>
        <v/>
      </c>
      <c r="J838" s="3163">
        <f>'Part VI-Revenues &amp; Expenses'!J76</f>
        <v>0</v>
      </c>
      <c r="K838" s="3163">
        <f>'Part VI-Revenues &amp; Expenses'!K76</f>
        <v>0</v>
      </c>
      <c r="L838" s="3163">
        <f>'Part VI-Revenues &amp; Expenses'!L76</f>
        <v>0</v>
      </c>
      <c r="M838" s="3163">
        <f>'Part VI-Revenues &amp; Expenses'!M76</f>
        <v>0</v>
      </c>
      <c r="N838" s="3163">
        <f>'Part VI-Revenues &amp; Expenses'!N76</f>
        <v>0</v>
      </c>
      <c r="O838" s="3163">
        <f>'Part VI-Revenues &amp; Expenses'!O76</f>
        <v>0</v>
      </c>
      <c r="P838" s="3163" t="str">
        <f>'Part VI-Revenues &amp; Expenses'!P76</f>
        <v/>
      </c>
      <c r="Q838" s="3163">
        <f>'Part VI-Revenues &amp; Expenses'!Q76</f>
        <v>0</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3163" t="str">
        <f>'Part VI-Revenues &amp; Expenses'!I77</f>
        <v/>
      </c>
      <c r="J839" s="3163">
        <f>'Part VI-Revenues &amp; Expenses'!J77</f>
        <v>0</v>
      </c>
      <c r="K839" s="3163">
        <f>'Part VI-Revenues &amp; Expenses'!K77</f>
        <v>0</v>
      </c>
      <c r="L839" s="3163">
        <f>'Part VI-Revenues &amp; Expenses'!L77</f>
        <v>0</v>
      </c>
      <c r="M839" s="3163">
        <f>'Part VI-Revenues &amp; Expenses'!M77</f>
        <v>0</v>
      </c>
      <c r="N839" s="3163">
        <f>'Part VI-Revenues &amp; Expenses'!N77</f>
        <v>0</v>
      </c>
      <c r="O839" s="3163">
        <f>'Part VI-Revenues &amp; Expenses'!O77</f>
        <v>0</v>
      </c>
      <c r="P839" s="3163" t="str">
        <f>'Part VI-Revenues &amp; Expenses'!P77</f>
        <v/>
      </c>
      <c r="Q839" s="3163">
        <f>'Part VI-Revenues &amp; Expenses'!Q77</f>
        <v>0</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4">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4616</v>
      </c>
      <c r="J844" s="1516">
        <f>CJ810</f>
        <v>0</v>
      </c>
      <c r="K844" s="1516">
        <f>CK810</f>
        <v>0</v>
      </c>
      <c r="L844" s="1516">
        <f>CL810</f>
        <v>0</v>
      </c>
      <c r="M844" s="1516">
        <f>CM810</f>
        <v>0</v>
      </c>
      <c r="N844" s="1516">
        <f>CN810</f>
        <v>0</v>
      </c>
      <c r="O844" s="1516">
        <f t="shared" si="344"/>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4"/>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4"/>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4"/>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4"/>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4"/>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4"/>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5347</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3157"/>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5">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4616</v>
      </c>
      <c r="J855" s="1516">
        <f>DS810</f>
        <v>0</v>
      </c>
      <c r="K855" s="1516">
        <f>DT810</f>
        <v>0</v>
      </c>
      <c r="L855" s="1516">
        <f>DU810</f>
        <v>0</v>
      </c>
      <c r="M855" s="1516">
        <f>DV810</f>
        <v>0</v>
      </c>
      <c r="N855" s="1516">
        <f>DW810</f>
        <v>0</v>
      </c>
      <c r="O855" s="1516">
        <f t="shared" si="345"/>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5"/>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5"/>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5"/>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5"/>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5"/>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5"/>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12</v>
      </c>
      <c r="L863" s="1516">
        <f>GH810</f>
        <v>36</v>
      </c>
      <c r="M863" s="1516">
        <f>GI810</f>
        <v>36</v>
      </c>
      <c r="N863" s="1516">
        <f>GJ810</f>
        <v>0</v>
      </c>
      <c r="O863" s="1516">
        <f t="shared" ref="O863:O873" si="346">SUM(J863:N863)</f>
        <v>84</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6"/>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12</v>
      </c>
      <c r="L865" s="1516">
        <f>SUM(L863:L864)+GR810</f>
        <v>36</v>
      </c>
      <c r="M865" s="1516">
        <f>SUM(M863:M864)+GS810</f>
        <v>36</v>
      </c>
      <c r="N865" s="1516">
        <f>SUM(N863:N864)+GT810</f>
        <v>0</v>
      </c>
      <c r="O865" s="1516">
        <f t="shared" si="346"/>
        <v>84</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6"/>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6"/>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6"/>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6"/>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6"/>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6"/>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6"/>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6"/>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5348</v>
      </c>
      <c r="D877" s="1521"/>
      <c r="E877" s="1317" t="s">
        <v>39</v>
      </c>
      <c r="F877" s="1314"/>
      <c r="G877" s="1335"/>
      <c r="J877" s="1516">
        <f t="shared" ref="J877:O877" si="347">SUM(J878:J885)</f>
        <v>0</v>
      </c>
      <c r="K877" s="1516">
        <f t="shared" si="347"/>
        <v>12</v>
      </c>
      <c r="L877" s="1516">
        <f t="shared" si="347"/>
        <v>36</v>
      </c>
      <c r="M877" s="1516">
        <f t="shared" si="347"/>
        <v>36</v>
      </c>
      <c r="N877" s="1516">
        <f t="shared" si="347"/>
        <v>0</v>
      </c>
      <c r="O877" s="1516">
        <f t="shared" si="347"/>
        <v>84</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8">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8"/>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8"/>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8"/>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12</v>
      </c>
      <c r="L882" s="1516">
        <f>KN810</f>
        <v>36</v>
      </c>
      <c r="M882" s="1516">
        <f>KO810</f>
        <v>36</v>
      </c>
      <c r="N882" s="1516">
        <f>KP810</f>
        <v>0</v>
      </c>
      <c r="O882" s="1516">
        <f t="shared" si="348"/>
        <v>84</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8"/>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0</v>
      </c>
      <c r="L884" s="1516">
        <f>KX810</f>
        <v>0</v>
      </c>
      <c r="M884" s="1516">
        <f>KY810</f>
        <v>0</v>
      </c>
      <c r="N884" s="1516">
        <f>KZ810</f>
        <v>0</v>
      </c>
      <c r="O884" s="1516">
        <f t="shared" si="348"/>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8"/>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8"/>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8"/>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8"/>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8"/>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8"/>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8"/>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8"/>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8"/>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5347</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3157"/>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5349</v>
      </c>
      <c r="D897" s="1521"/>
      <c r="E897" s="1317" t="s">
        <v>3352</v>
      </c>
      <c r="F897" s="1335"/>
      <c r="H897" s="1524"/>
      <c r="J897" s="1516">
        <f t="shared" ref="J897:N898" si="349">J886+J890+J892</f>
        <v>0</v>
      </c>
      <c r="K897" s="1516">
        <f t="shared" si="349"/>
        <v>0</v>
      </c>
      <c r="L897" s="1516">
        <f t="shared" si="349"/>
        <v>0</v>
      </c>
      <c r="M897" s="1516">
        <f t="shared" si="349"/>
        <v>0</v>
      </c>
      <c r="N897" s="1516">
        <f t="shared" si="349"/>
        <v>0</v>
      </c>
      <c r="O897" s="1516">
        <f t="shared" ref="O897:O904" si="350">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49"/>
        <v>0</v>
      </c>
      <c r="K898" s="1516">
        <f t="shared" si="349"/>
        <v>0</v>
      </c>
      <c r="L898" s="1516">
        <f t="shared" si="349"/>
        <v>0</v>
      </c>
      <c r="M898" s="1516">
        <f t="shared" si="349"/>
        <v>0</v>
      </c>
      <c r="N898" s="1516">
        <f t="shared" si="349"/>
        <v>0</v>
      </c>
      <c r="O898" s="1516">
        <f t="shared" si="350"/>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1">J878+J888</f>
        <v>0</v>
      </c>
      <c r="K899" s="1516">
        <f t="shared" si="351"/>
        <v>0</v>
      </c>
      <c r="L899" s="1516">
        <f t="shared" si="351"/>
        <v>0</v>
      </c>
      <c r="M899" s="1516">
        <f t="shared" si="351"/>
        <v>0</v>
      </c>
      <c r="N899" s="1516">
        <f t="shared" si="351"/>
        <v>0</v>
      </c>
      <c r="O899" s="1516">
        <f t="shared" si="350"/>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1"/>
        <v>0</v>
      </c>
      <c r="K900" s="1516">
        <f t="shared" si="351"/>
        <v>0</v>
      </c>
      <c r="L900" s="1516">
        <f t="shared" si="351"/>
        <v>0</v>
      </c>
      <c r="M900" s="1516">
        <f t="shared" si="351"/>
        <v>0</v>
      </c>
      <c r="N900" s="1516">
        <f t="shared" si="351"/>
        <v>0</v>
      </c>
      <c r="O900" s="1516">
        <f t="shared" si="350"/>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2">J882</f>
        <v>0</v>
      </c>
      <c r="K901" s="1516">
        <f t="shared" si="352"/>
        <v>12</v>
      </c>
      <c r="L901" s="1516">
        <f t="shared" si="352"/>
        <v>36</v>
      </c>
      <c r="M901" s="1516">
        <f t="shared" si="352"/>
        <v>36</v>
      </c>
      <c r="N901" s="1516">
        <f t="shared" si="352"/>
        <v>0</v>
      </c>
      <c r="O901" s="1516">
        <f t="shared" si="350"/>
        <v>84</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2"/>
        <v>0</v>
      </c>
      <c r="K902" s="1516">
        <f t="shared" si="352"/>
        <v>0</v>
      </c>
      <c r="L902" s="1516">
        <f t="shared" si="352"/>
        <v>0</v>
      </c>
      <c r="M902" s="1516">
        <f t="shared" si="352"/>
        <v>0</v>
      </c>
      <c r="N902" s="1516">
        <f t="shared" si="352"/>
        <v>0</v>
      </c>
      <c r="O902" s="1516">
        <f t="shared" si="350"/>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3">J880+J884</f>
        <v>0</v>
      </c>
      <c r="K903" s="1516">
        <f t="shared" si="353"/>
        <v>0</v>
      </c>
      <c r="L903" s="1516">
        <f t="shared" si="353"/>
        <v>0</v>
      </c>
      <c r="M903" s="1516">
        <f t="shared" si="353"/>
        <v>0</v>
      </c>
      <c r="N903" s="1516">
        <f t="shared" si="353"/>
        <v>0</v>
      </c>
      <c r="O903" s="1516">
        <f t="shared" si="350"/>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3"/>
        <v>0</v>
      </c>
      <c r="K904" s="1516">
        <f t="shared" si="353"/>
        <v>0</v>
      </c>
      <c r="L904" s="1516">
        <f t="shared" si="353"/>
        <v>0</v>
      </c>
      <c r="M904" s="1516">
        <f t="shared" si="353"/>
        <v>0</v>
      </c>
      <c r="N904" s="1516">
        <f t="shared" si="353"/>
        <v>0</v>
      </c>
      <c r="O904" s="1516">
        <f t="shared" si="350"/>
        <v>0</v>
      </c>
      <c r="P904" s="1319" t="s">
        <v>5102</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4615</v>
      </c>
      <c r="J907" s="1527">
        <f>EH810</f>
        <v>0</v>
      </c>
      <c r="K907" s="1527">
        <f>EI810</f>
        <v>0</v>
      </c>
      <c r="L907" s="1527">
        <f>EJ810</f>
        <v>0</v>
      </c>
      <c r="M907" s="1527">
        <f>EK810</f>
        <v>0</v>
      </c>
      <c r="N907" s="1527">
        <f>EL810</f>
        <v>0</v>
      </c>
      <c r="O907" s="1530">
        <f t="shared" ref="O907:O913" si="354">SUM(J907:N907)</f>
        <v>0</v>
      </c>
      <c r="P907" s="1607" t="str">
        <f t="shared" ref="P907:P913" si="355">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4"/>
        <v>0</v>
      </c>
      <c r="P908" s="1607" t="str">
        <f t="shared" si="355"/>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6570</v>
      </c>
      <c r="L909" s="1530">
        <f>ET810</f>
        <v>28512</v>
      </c>
      <c r="M909" s="1530">
        <f>EU810</f>
        <v>32643</v>
      </c>
      <c r="N909" s="1530">
        <f>EV810</f>
        <v>0</v>
      </c>
      <c r="O909" s="1530">
        <f t="shared" si="354"/>
        <v>67725</v>
      </c>
      <c r="P909" s="1607">
        <f t="shared" si="355"/>
        <v>1075</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2190</v>
      </c>
      <c r="L910" s="1530">
        <f>EY810</f>
        <v>9504</v>
      </c>
      <c r="M910" s="1530">
        <f>EZ810</f>
        <v>10881</v>
      </c>
      <c r="N910" s="1530">
        <f>FA810</f>
        <v>0</v>
      </c>
      <c r="O910" s="1530">
        <f t="shared" si="354"/>
        <v>22575</v>
      </c>
      <c r="P910" s="1607">
        <f t="shared" si="355"/>
        <v>1075</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4"/>
        <v>0</v>
      </c>
      <c r="P911" s="1607" t="str">
        <f t="shared" si="355"/>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4"/>
        <v>0</v>
      </c>
      <c r="P912" s="1607" t="str">
        <f t="shared" si="355"/>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4"/>
        <v>0</v>
      </c>
      <c r="P913" s="1607" t="str">
        <f t="shared" si="355"/>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8760</v>
      </c>
      <c r="L914" s="1530">
        <f>SUM(L907:L913)</f>
        <v>38016</v>
      </c>
      <c r="M914" s="1530">
        <f>SUM(M907:M913)</f>
        <v>43524</v>
      </c>
      <c r="N914" s="1530">
        <f>SUM(N907:N913)</f>
        <v>0</v>
      </c>
      <c r="O914" s="1530">
        <f>SUM(J914:N914)</f>
        <v>90300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8760</v>
      </c>
      <c r="L916" s="1530">
        <f>SUM(L914:L915)</f>
        <v>38016</v>
      </c>
      <c r="M916" s="1530">
        <f>SUM(M914:M915)</f>
        <v>43524</v>
      </c>
      <c r="N916" s="1530">
        <f>SUM(N914:N915)</f>
        <v>0</v>
      </c>
      <c r="O916" s="1530">
        <f>SUM(J916:N916)</f>
        <v>90300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8760</v>
      </c>
      <c r="L918" s="1530">
        <f>SUM(L916:L917)</f>
        <v>38016</v>
      </c>
      <c r="M918" s="1530">
        <f>SUM(M916:M917)</f>
        <v>43524</v>
      </c>
      <c r="N918" s="1530">
        <f>SUM(N916:N917)</f>
        <v>0</v>
      </c>
      <c r="O918" s="1530">
        <f>SUM(J918:N918)</f>
        <v>90300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5350</v>
      </c>
      <c r="D921" s="1314"/>
      <c r="E921" s="1314"/>
      <c r="F921" s="1314"/>
      <c r="G921" s="1314"/>
      <c r="H921" s="1314"/>
      <c r="I921" s="1314"/>
      <c r="J921" s="1545" t="str">
        <f>'Part VI-Revenues &amp; Expenses'!J159</f>
        <v/>
      </c>
      <c r="K921" s="1545">
        <f>'Part VI-Revenues &amp; Expenses'!K159</f>
        <v>730</v>
      </c>
      <c r="L921" s="1545">
        <f>'Part VI-Revenues &amp; Expenses'!L159</f>
        <v>1056</v>
      </c>
      <c r="M921" s="1545">
        <f>'Part VI-Revenues &amp; Expenses'!M159</f>
        <v>1209</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3164"/>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3164"/>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3164"/>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3164"/>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13563.36</v>
      </c>
      <c r="I935" s="1834"/>
      <c r="J935" s="1204"/>
      <c r="K935" s="1532" t="s">
        <v>5103</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2287</v>
      </c>
      <c r="C938" s="1204"/>
      <c r="D938" s="1204"/>
      <c r="E938" s="1204"/>
      <c r="F938" s="1204"/>
      <c r="G938" s="3165">
        <v>1</v>
      </c>
      <c r="H938" s="3165">
        <v>2</v>
      </c>
      <c r="I938" s="3165">
        <v>3</v>
      </c>
      <c r="J938" s="3165">
        <v>4</v>
      </c>
      <c r="K938" s="3165">
        <v>5</v>
      </c>
      <c r="L938" s="3165">
        <v>6</v>
      </c>
      <c r="M938" s="3165">
        <v>7</v>
      </c>
      <c r="N938" s="3165">
        <v>8</v>
      </c>
      <c r="O938" s="3165">
        <v>9</v>
      </c>
      <c r="P938" s="3165">
        <v>10</v>
      </c>
      <c r="Q938" s="3166"/>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6">SUM(G939:G940)</f>
        <v>0</v>
      </c>
      <c r="H941" s="1540">
        <f t="shared" si="356"/>
        <v>0</v>
      </c>
      <c r="I941" s="1540">
        <f t="shared" si="356"/>
        <v>0</v>
      </c>
      <c r="J941" s="1540">
        <f t="shared" si="356"/>
        <v>0</v>
      </c>
      <c r="K941" s="1540">
        <f t="shared" si="356"/>
        <v>0</v>
      </c>
      <c r="L941" s="1540">
        <f t="shared" si="356"/>
        <v>0</v>
      </c>
      <c r="M941" s="1540">
        <f t="shared" si="356"/>
        <v>0</v>
      </c>
      <c r="N941" s="1540">
        <f t="shared" si="356"/>
        <v>0</v>
      </c>
      <c r="O941" s="1540">
        <f t="shared" si="356"/>
        <v>0</v>
      </c>
      <c r="P941" s="1540">
        <f t="shared" si="356"/>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5104</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5105</v>
      </c>
      <c r="D945" s="1317"/>
      <c r="E945" s="1317"/>
      <c r="F945" s="1317"/>
      <c r="G945" s="1540">
        <f t="shared" ref="G945:P945" si="357">SUM(G943:G944)</f>
        <v>0</v>
      </c>
      <c r="H945" s="1540">
        <f t="shared" si="357"/>
        <v>0</v>
      </c>
      <c r="I945" s="1540">
        <f t="shared" si="357"/>
        <v>0</v>
      </c>
      <c r="J945" s="1540">
        <f t="shared" si="357"/>
        <v>0</v>
      </c>
      <c r="K945" s="1540">
        <f t="shared" si="357"/>
        <v>0</v>
      </c>
      <c r="L945" s="1540">
        <f t="shared" si="357"/>
        <v>0</v>
      </c>
      <c r="M945" s="1540">
        <f t="shared" si="357"/>
        <v>0</v>
      </c>
      <c r="N945" s="1540">
        <f t="shared" si="357"/>
        <v>0</v>
      </c>
      <c r="O945" s="1540">
        <f t="shared" si="357"/>
        <v>0</v>
      </c>
      <c r="P945" s="1540">
        <f t="shared" si="357"/>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3165">
        <v>11</v>
      </c>
      <c r="H947" s="3165">
        <v>12</v>
      </c>
      <c r="I947" s="3165">
        <v>13</v>
      </c>
      <c r="J947" s="3165">
        <v>14</v>
      </c>
      <c r="K947" s="3165">
        <v>15</v>
      </c>
      <c r="L947" s="3165">
        <v>16</v>
      </c>
      <c r="M947" s="3165">
        <v>17</v>
      </c>
      <c r="N947" s="3165">
        <v>18</v>
      </c>
      <c r="O947" s="3165">
        <v>19</v>
      </c>
      <c r="P947" s="3165">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8">SUM(G948:G949)</f>
        <v>0</v>
      </c>
      <c r="H950" s="1540">
        <f t="shared" si="358"/>
        <v>0</v>
      </c>
      <c r="I950" s="1540">
        <f t="shared" si="358"/>
        <v>0</v>
      </c>
      <c r="J950" s="1540">
        <f t="shared" si="358"/>
        <v>0</v>
      </c>
      <c r="K950" s="1540">
        <f t="shared" si="358"/>
        <v>0</v>
      </c>
      <c r="L950" s="1540">
        <f t="shared" si="358"/>
        <v>0</v>
      </c>
      <c r="M950" s="1540">
        <f t="shared" si="358"/>
        <v>0</v>
      </c>
      <c r="N950" s="1540">
        <f t="shared" si="358"/>
        <v>0</v>
      </c>
      <c r="O950" s="1540">
        <f t="shared" si="358"/>
        <v>0</v>
      </c>
      <c r="P950" s="1540">
        <f t="shared" si="358"/>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5104</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5105</v>
      </c>
      <c r="D954" s="1317"/>
      <c r="E954" s="1317"/>
      <c r="F954" s="1317"/>
      <c r="G954" s="1540">
        <f t="shared" ref="G954:P954" si="359">SUM(G952:G953)</f>
        <v>0</v>
      </c>
      <c r="H954" s="1540">
        <f t="shared" si="359"/>
        <v>0</v>
      </c>
      <c r="I954" s="1540">
        <f t="shared" si="359"/>
        <v>0</v>
      </c>
      <c r="J954" s="1540">
        <f t="shared" si="359"/>
        <v>0</v>
      </c>
      <c r="K954" s="1540">
        <f t="shared" si="359"/>
        <v>0</v>
      </c>
      <c r="L954" s="1540">
        <f t="shared" si="359"/>
        <v>0</v>
      </c>
      <c r="M954" s="1540">
        <f t="shared" si="359"/>
        <v>0</v>
      </c>
      <c r="N954" s="1540">
        <f t="shared" si="359"/>
        <v>0</v>
      </c>
      <c r="O954" s="1540">
        <f t="shared" si="359"/>
        <v>0</v>
      </c>
      <c r="P954" s="1540">
        <f t="shared" si="359"/>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2287</v>
      </c>
      <c r="C956" s="1204"/>
      <c r="D956" s="1204"/>
      <c r="E956" s="1204"/>
      <c r="F956" s="1204"/>
      <c r="G956" s="3165">
        <v>21</v>
      </c>
      <c r="H956" s="3165">
        <v>22</v>
      </c>
      <c r="I956" s="3165">
        <v>23</v>
      </c>
      <c r="J956" s="3165">
        <v>24</v>
      </c>
      <c r="K956" s="3165">
        <v>25</v>
      </c>
      <c r="L956" s="3165">
        <v>26</v>
      </c>
      <c r="M956" s="3165">
        <v>27</v>
      </c>
      <c r="N956" s="3165">
        <v>28</v>
      </c>
      <c r="O956" s="3165">
        <v>29</v>
      </c>
      <c r="P956" s="3165">
        <v>30</v>
      </c>
      <c r="Q956" s="3166"/>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0">SUM(G957:G958)</f>
        <v>0</v>
      </c>
      <c r="H959" s="1540">
        <f t="shared" si="360"/>
        <v>0</v>
      </c>
      <c r="I959" s="1540">
        <f t="shared" si="360"/>
        <v>0</v>
      </c>
      <c r="J959" s="1540">
        <f t="shared" si="360"/>
        <v>0</v>
      </c>
      <c r="K959" s="1540">
        <f t="shared" si="360"/>
        <v>0</v>
      </c>
      <c r="L959" s="1540">
        <f t="shared" si="360"/>
        <v>0</v>
      </c>
      <c r="M959" s="1540">
        <f t="shared" si="360"/>
        <v>0</v>
      </c>
      <c r="N959" s="1540">
        <f t="shared" si="360"/>
        <v>0</v>
      </c>
      <c r="O959" s="1540">
        <f t="shared" si="360"/>
        <v>0</v>
      </c>
      <c r="P959" s="1540">
        <f t="shared" si="360"/>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5104</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5105</v>
      </c>
      <c r="D963" s="1317"/>
      <c r="E963" s="1317"/>
      <c r="F963" s="1317"/>
      <c r="G963" s="1540">
        <f t="shared" ref="G963:P963" si="361">SUM(G961:G962)</f>
        <v>0</v>
      </c>
      <c r="H963" s="1540">
        <f t="shared" si="361"/>
        <v>0</v>
      </c>
      <c r="I963" s="1540">
        <f t="shared" si="361"/>
        <v>0</v>
      </c>
      <c r="J963" s="1540">
        <f t="shared" si="361"/>
        <v>0</v>
      </c>
      <c r="K963" s="1540">
        <f t="shared" si="361"/>
        <v>0</v>
      </c>
      <c r="L963" s="1540">
        <f t="shared" si="361"/>
        <v>0</v>
      </c>
      <c r="M963" s="1540">
        <f t="shared" si="361"/>
        <v>0</v>
      </c>
      <c r="N963" s="1540">
        <f t="shared" si="361"/>
        <v>0</v>
      </c>
      <c r="O963" s="1540">
        <f t="shared" si="361"/>
        <v>0</v>
      </c>
      <c r="P963" s="1540">
        <f t="shared" si="361"/>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3165">
        <v>31</v>
      </c>
      <c r="H965" s="3165">
        <v>32</v>
      </c>
      <c r="I965" s="3165">
        <v>33</v>
      </c>
      <c r="J965" s="3165">
        <v>34</v>
      </c>
      <c r="K965" s="3165">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5104</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5105</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48709</v>
      </c>
      <c r="G977" s="1530"/>
      <c r="H977" s="1314"/>
      <c r="I977" s="1314" t="s">
        <v>1378</v>
      </c>
      <c r="J977" s="1314"/>
      <c r="K977" s="1530">
        <f>'Part VI-Revenues &amp; Expenses'!K215</f>
        <v>0</v>
      </c>
      <c r="L977" s="1530"/>
      <c r="M977" s="1314"/>
      <c r="N977" s="1314" t="s">
        <v>929</v>
      </c>
      <c r="O977" s="1314"/>
      <c r="P977" s="1545">
        <f>'Part VI-Revenues &amp; Expenses'!P215</f>
        <v>71243</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50789</v>
      </c>
      <c r="G978" s="1530"/>
      <c r="H978" s="1314"/>
      <c r="I978" s="1314" t="s">
        <v>1379</v>
      </c>
      <c r="J978" s="1314"/>
      <c r="K978" s="1530">
        <f>'Part VI-Revenues &amp; Expenses'!K216</f>
        <v>0</v>
      </c>
      <c r="L978" s="1530"/>
      <c r="M978" s="1314"/>
      <c r="N978" s="1314" t="s">
        <v>147</v>
      </c>
      <c r="O978" s="1314"/>
      <c r="P978" s="1545">
        <f>'Part VI-Revenues &amp; Expenses'!P216</f>
        <v>21600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3167" t="s">
        <v>191</v>
      </c>
      <c r="K979" s="1530">
        <f>SUM(K977:L978)</f>
        <v>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3167" t="s">
        <v>191</v>
      </c>
      <c r="O980" s="1314"/>
      <c r="P980" s="1545">
        <f>SUM(P977:P979)</f>
        <v>92843</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3167" t="s">
        <v>191</v>
      </c>
      <c r="D981" s="1314"/>
      <c r="E981" s="1314"/>
      <c r="F981" s="1530">
        <f>SUM(F977:G980)</f>
        <v>99498</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3167"/>
      <c r="E982" s="1314"/>
      <c r="F982" s="1516"/>
      <c r="G982" s="1516"/>
      <c r="H982" s="1314"/>
      <c r="I982" s="1314"/>
      <c r="J982" s="1516"/>
      <c r="K982" s="1314"/>
      <c r="L982" s="1314"/>
      <c r="M982" s="1314"/>
      <c r="N982" s="1314"/>
      <c r="O982" s="3167"/>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32166</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6400</v>
      </c>
      <c r="G984" s="1530"/>
      <c r="H984" s="1314"/>
      <c r="I984" s="1314" t="s">
        <v>1602</v>
      </c>
      <c r="J984" s="1314"/>
      <c r="K984" s="1530">
        <f>'Part VI-Revenues &amp; Expenses'!K222</f>
        <v>2000</v>
      </c>
      <c r="L984" s="1530"/>
      <c r="M984" s="1314"/>
      <c r="N984" s="1548">
        <f>+P983/(O829*0.93)</f>
        <v>411.75115207373267</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5600</v>
      </c>
      <c r="G985" s="1530"/>
      <c r="H985" s="1314"/>
      <c r="I985" s="1314" t="s">
        <v>2050</v>
      </c>
      <c r="J985" s="1314"/>
      <c r="K985" s="1530">
        <f>'Part VI-Revenues &amp; Expenses'!K223</f>
        <v>8000</v>
      </c>
      <c r="L985" s="1530"/>
      <c r="M985" s="1314"/>
      <c r="N985" s="1548">
        <f>+P983/(O829*0.93)/12</f>
        <v>34.312596006144389</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2500</v>
      </c>
      <c r="G986" s="1530"/>
      <c r="H986" s="1314"/>
      <c r="I986" s="1314" t="s">
        <v>1603</v>
      </c>
      <c r="J986" s="1314"/>
      <c r="K986" s="1530">
        <f>'Part VI-Revenues &amp; Expenses'!K224</f>
        <v>2500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0</v>
      </c>
      <c r="G987" s="1530"/>
      <c r="H987" s="1314"/>
      <c r="I987" s="1837">
        <f>'Part VI-Revenues &amp; Expenses'!I225</f>
        <v>0</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3167" t="s">
        <v>191</v>
      </c>
      <c r="K988" s="1545">
        <f>SUM(K984:K987)</f>
        <v>12500</v>
      </c>
      <c r="L988" s="1545"/>
      <c r="M988" s="1721" t="str">
        <f>IF(P990="","",IF(P988&lt;P990, "WARNING! OE below required minimum.",""))</f>
        <v/>
      </c>
      <c r="N988" s="1314" t="s">
        <v>2187</v>
      </c>
      <c r="O988" s="1314"/>
      <c r="P988" s="1545">
        <f>F981+F990+F1001+K979+K988+K998+P980+P983</f>
        <v>334107</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2759</v>
      </c>
      <c r="O989" s="1548">
        <f>+P988/O829</f>
        <v>3977.4642857142858</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3167" t="s">
        <v>191</v>
      </c>
      <c r="D990" s="1314"/>
      <c r="E990" s="1314"/>
      <c r="F990" s="1530">
        <f>SUM(F984:G989)</f>
        <v>14500</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3167"/>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5009</v>
      </c>
      <c r="K992" s="1314"/>
      <c r="L992" s="1314"/>
      <c r="M992" s="1314"/>
      <c r="N992" s="1314" t="s">
        <v>3481</v>
      </c>
      <c r="O992" s="1314"/>
      <c r="P992" s="1838">
        <f>'Part VI-Revenues &amp; Expenses'!P230</f>
        <v>21000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10000</v>
      </c>
      <c r="G993" s="1530"/>
      <c r="H993" s="1314"/>
      <c r="I993" s="1314" t="s">
        <v>1368</v>
      </c>
      <c r="J993" s="1419">
        <f>K993/12/O829</f>
        <v>12.896825396825395</v>
      </c>
      <c r="K993" s="1530">
        <f>'Part VI-Revenues &amp; Expenses'!K231</f>
        <v>13000</v>
      </c>
      <c r="L993" s="1530"/>
      <c r="M993" s="1721" t="str">
        <f>IF(P992&lt;P1001, "WARNING! RR proposed is below the DCA required minimum.","")</f>
        <v/>
      </c>
      <c r="N993" s="457" t="s">
        <v>5008</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18500</v>
      </c>
      <c r="G995" s="1530"/>
      <c r="H995" s="1314"/>
      <c r="I995" s="1314" t="s">
        <v>2353</v>
      </c>
      <c r="J995" s="1419">
        <f>K995/12/O829</f>
        <v>14.880952380952381</v>
      </c>
      <c r="K995" s="1530">
        <f>'Part VI-Revenues &amp; Expenses'!K233</f>
        <v>15000</v>
      </c>
      <c r="L995" s="1530"/>
      <c r="M995" s="1721"/>
      <c r="N995" s="1554" t="s">
        <v>2715</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4200</v>
      </c>
      <c r="G996" s="1530"/>
      <c r="H996" s="1314"/>
      <c r="I996" s="1314" t="s">
        <v>1371</v>
      </c>
      <c r="J996" s="1314"/>
      <c r="K996" s="1530">
        <f>'Part VI-Revenues &amp; Expenses'!K234</f>
        <v>7200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7500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3167" t="s">
        <v>191</v>
      </c>
      <c r="K998" s="1545">
        <f>SUM(K993:K997)</f>
        <v>35200</v>
      </c>
      <c r="L998" s="1545"/>
      <c r="M998" s="1721"/>
      <c r="N998" s="1335" t="s">
        <v>3429</v>
      </c>
      <c r="O998" s="1557" t="str">
        <f>CONCATENATE(SUM(MJ810:MN810)," units x $",'DCA Underwriting Assumptions'!$Q$65," =")</f>
        <v>84 units x $250 =</v>
      </c>
      <c r="P998" s="1557">
        <f>SUM(MJ810:MN810)*'DCA Underwriting Assumptions'!$Q$65</f>
        <v>21000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7200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3167" t="s">
        <v>191</v>
      </c>
      <c r="D1001" s="1314"/>
      <c r="E1001" s="1314"/>
      <c r="F1001" s="1530">
        <f>SUM(F993:G1000)</f>
        <v>47400</v>
      </c>
      <c r="G1001" s="1530"/>
      <c r="H1001" s="1314"/>
      <c r="I1001" s="1314"/>
      <c r="J1001" s="1516"/>
      <c r="K1001" s="1314"/>
      <c r="L1001" s="1314"/>
      <c r="M1001" s="1314"/>
      <c r="N1001" s="1511" t="s">
        <v>2718</v>
      </c>
      <c r="O1001" s="1506">
        <f>SUM(ME810:MI810)+SUM(MJ810:MN810)+SUM(MO810:MS810)+O875</f>
        <v>84</v>
      </c>
      <c r="P1001" s="1506">
        <f>SUM(P997:P1000)</f>
        <v>21000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3167"/>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3167"/>
      <c r="D1003" s="1314"/>
      <c r="E1003" s="1314"/>
      <c r="F1003" s="1516"/>
      <c r="G1003" s="1516"/>
      <c r="H1003" s="1314"/>
      <c r="I1003" s="1314"/>
      <c r="J1003" s="1516"/>
      <c r="K1003" s="1314"/>
      <c r="L1003" s="1314"/>
      <c r="M1003" s="1314"/>
      <c r="N1003" s="1314" t="s">
        <v>2188</v>
      </c>
      <c r="O1003" s="1314"/>
      <c r="P1003" s="1545">
        <f>P988+P992</f>
        <v>355107</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3167"/>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4994</v>
      </c>
      <c r="C1005" s="3167"/>
      <c r="D1005" s="1314"/>
      <c r="E1005" s="1314"/>
      <c r="F1005" s="3168" t="s">
        <v>4995</v>
      </c>
      <c r="G1005" s="1516"/>
      <c r="H1005" s="1545">
        <f>'Part VI-Revenues &amp; Expenses'!H243</f>
        <v>0</v>
      </c>
      <c r="I1005" s="1545"/>
      <c r="J1005" s="1516"/>
      <c r="K1005" s="1624" t="s">
        <v>4996</v>
      </c>
      <c r="L1005" s="1607">
        <f>'Part VI-Revenues &amp; Expenses'!K243</f>
        <v>0</v>
      </c>
      <c r="M1005" s="1314"/>
      <c r="N1005" s="1314" t="s">
        <v>4998</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3167"/>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5070</v>
      </c>
      <c r="C1007" s="3167"/>
      <c r="F1007" s="1516"/>
      <c r="G1007" s="1516"/>
      <c r="I1007" s="1313" t="str">
        <f>'Part VI-Revenues &amp; Expenses'!I245</f>
        <v>No</v>
      </c>
      <c r="J1007" s="3168" t="s">
        <v>5072</v>
      </c>
      <c r="K1007" s="1313" t="str">
        <f>'Part VI-Revenues &amp; Expenses'!K245</f>
        <v>&lt;&lt;Select&gt;&gt;</v>
      </c>
      <c r="L1007" s="1313" t="s">
        <v>5073</v>
      </c>
      <c r="M1007" s="1607" t="str">
        <f>'Part VI-Revenues &amp; Expenses'!L245</f>
        <v>Yrs in period</v>
      </c>
      <c r="N1007" s="1314" t="s">
        <v>5071</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3167"/>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4993</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2018 rents for the Camden County limits. The utility allowances and rents utilized are the ones effective as of January 1, 2019, per the QAP.  Applicant is pursuing deeper targeting through 40% at 60% AMI minimum set aside to achieve an overall area median income targeting less than 58% AMI.  Actual AMI averages to 57.5% AMI.</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3122" t="s">
        <v>4101</v>
      </c>
      <c r="R1010" s="3122"/>
      <c r="S1010" s="3122"/>
      <c r="T1010" s="3122"/>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2019-078 Abbington Sound, ,  County</v>
      </c>
      <c r="B1016" s="1794"/>
      <c r="C1016" s="1794"/>
      <c r="D1016" s="1794"/>
      <c r="E1016" s="1794"/>
      <c r="F1016" s="1794"/>
      <c r="G1016" s="1794"/>
      <c r="H1016" s="1794"/>
      <c r="I1016" s="1794"/>
      <c r="J1016" s="1794"/>
      <c r="K1016" s="1794"/>
      <c r="L1016" s="1314"/>
      <c r="M1016" s="1314"/>
      <c r="N1016" s="1314" t="str">
        <f>A1016</f>
        <v>PART SEVEN - OPERATING PRO FORMA  -  2019-078 Abbington Sound,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3169" t="str">
        <f>'Part I-Project Information'!$B$6</f>
        <v>April 2019 Final</v>
      </c>
      <c r="D1018" s="638" t="s">
        <v>80</v>
      </c>
      <c r="E1018" s="1313"/>
      <c r="F1018" s="1332" t="s">
        <v>5106</v>
      </c>
      <c r="N1018" s="638" t="str">
        <f>A1018</f>
        <v>I.  OPERATING ASSUMPTIONS</v>
      </c>
      <c r="O1018" s="1794"/>
    </row>
    <row r="1019" spans="1:318">
      <c r="C1019" s="3169"/>
    </row>
    <row r="1020" spans="1:318" ht="12.75" customHeight="1">
      <c r="A1020" s="638" t="s">
        <v>2189</v>
      </c>
      <c r="B1020" s="1559">
        <v>0.02</v>
      </c>
      <c r="C1020" s="3169"/>
      <c r="D1020" s="1521" t="s">
        <v>4532</v>
      </c>
      <c r="E1020" s="1521"/>
      <c r="F1020" s="1521"/>
      <c r="G1020" s="1839">
        <f>'Part VII-Pro Forma'!G5</f>
        <v>5000</v>
      </c>
      <c r="H1020" s="1526" t="s">
        <v>1908</v>
      </c>
      <c r="K1020" s="1560" t="str">
        <f>IF(($B$14+$B$15+$B$16+$B$17)=0,"",B1045/($B$14+$B$15+$B$16+$B$17))</f>
        <v/>
      </c>
      <c r="N1020" s="1521">
        <f>'Part VII-Pro Forma'!N5</f>
        <v>0</v>
      </c>
      <c r="O1020" s="1521"/>
    </row>
    <row r="1021" spans="1:318">
      <c r="A1021" s="638" t="s">
        <v>2190</v>
      </c>
      <c r="B1021" s="1559">
        <v>0.03</v>
      </c>
      <c r="C1021" s="3169"/>
      <c r="D1021" s="1521"/>
      <c r="E1021" s="1521"/>
      <c r="F1021" s="1521"/>
      <c r="G1021" s="3170">
        <f>IF(OR('Part III-Sources of Funds'!E1020="Yes",'Part III-Sources of Funds'!H1020&gt;0),'DCA Underwriting Assumptions'!$Q$96,0)</f>
        <v>0</v>
      </c>
      <c r="N1021" s="1521">
        <f>'Part VII-Pro Forma'!N6</f>
        <v>0</v>
      </c>
      <c r="O1021" s="1521"/>
    </row>
    <row r="1022" spans="1:318">
      <c r="A1022" s="638" t="s">
        <v>2192</v>
      </c>
      <c r="B1022" s="1559">
        <v>0.03</v>
      </c>
      <c r="C1022" s="3169"/>
      <c r="D1022" s="1314" t="s">
        <v>270</v>
      </c>
      <c r="G1022" s="1562"/>
      <c r="H1022" s="1526" t="s">
        <v>2375</v>
      </c>
      <c r="K1022" s="1560" t="str">
        <f>IF(($B$14+$B$15+$B$16+$B$17)=0,"",-B1036/($B$14+$B$15+$B$16+$B$17))</f>
        <v/>
      </c>
      <c r="N1022" s="1521">
        <f>'Part VII-Pro Forma'!N7</f>
        <v>0</v>
      </c>
      <c r="O1022" s="1521"/>
    </row>
    <row r="1023" spans="1:318">
      <c r="A1023" s="638" t="s">
        <v>2191</v>
      </c>
      <c r="B1023" s="1559">
        <f>'Part VII-Pro Forma'!B8</f>
        <v>7.0000000000000007E-2</v>
      </c>
      <c r="C1023" s="1334" t="str">
        <f>IF(B1023&lt;0.07, "Must be &gt;= 7%!","")</f>
        <v/>
      </c>
      <c r="D1023" s="1314" t="s">
        <v>2509</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0.05</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2">B1028+1</f>
        <v>2</v>
      </c>
      <c r="D1028" s="638">
        <f t="shared" si="362"/>
        <v>3</v>
      </c>
      <c r="E1028" s="638">
        <f t="shared" si="362"/>
        <v>4</v>
      </c>
      <c r="F1028" s="638">
        <f t="shared" si="362"/>
        <v>5</v>
      </c>
      <c r="G1028" s="638">
        <f t="shared" si="362"/>
        <v>6</v>
      </c>
      <c r="H1028" s="638">
        <f t="shared" si="362"/>
        <v>7</v>
      </c>
      <c r="I1028" s="638">
        <f t="shared" si="362"/>
        <v>8</v>
      </c>
      <c r="J1028" s="638">
        <f t="shared" si="362"/>
        <v>9</v>
      </c>
      <c r="K1028" s="638">
        <f t="shared" si="362"/>
        <v>10</v>
      </c>
      <c r="N1028" s="1794" t="s">
        <v>2625</v>
      </c>
      <c r="O1028" s="1794"/>
    </row>
    <row r="1029" spans="1:15">
      <c r="A1029" s="638" t="s">
        <v>2405</v>
      </c>
      <c r="B1029" s="1564">
        <f>'Part VII-Pro Forma'!B14</f>
        <v>678168</v>
      </c>
      <c r="C1029" s="1564">
        <f>'Part VII-Pro Forma'!C14</f>
        <v>691731.36</v>
      </c>
      <c r="D1029" s="1564">
        <f>'Part VII-Pro Forma'!D14</f>
        <v>705565.98719999997</v>
      </c>
      <c r="E1029" s="1564">
        <f>'Part VII-Pro Forma'!E14</f>
        <v>719677.30694399995</v>
      </c>
      <c r="F1029" s="1564">
        <f>'Part VII-Pro Forma'!F14</f>
        <v>734070.85308288003</v>
      </c>
      <c r="G1029" s="1564">
        <f>'Part VII-Pro Forma'!G14</f>
        <v>748752.27014453756</v>
      </c>
      <c r="H1029" s="1564">
        <f>'Part VII-Pro Forma'!H14</f>
        <v>763727.31554742844</v>
      </c>
      <c r="I1029" s="1564">
        <f>'Part VII-Pro Forma'!I14</f>
        <v>779001.86185837677</v>
      </c>
      <c r="J1029" s="1564">
        <f>'Part VII-Pro Forma'!J14</f>
        <v>794581.89909554436</v>
      </c>
      <c r="K1029" s="1564">
        <f>'Part VII-Pro Forma'!K14</f>
        <v>810473.53707745532</v>
      </c>
      <c r="N1029" s="1521">
        <f>'Part VII-Pro Forma'!N14</f>
        <v>0</v>
      </c>
      <c r="O1029" s="1521"/>
    </row>
    <row r="1030" spans="1:15">
      <c r="A1030" s="638" t="s">
        <v>1016</v>
      </c>
      <c r="B1030" s="1564">
        <f>'Part VII-Pro Forma'!B15</f>
        <v>13563.36</v>
      </c>
      <c r="C1030" s="1564">
        <f>'Part VII-Pro Forma'!C15</f>
        <v>13834.627200000001</v>
      </c>
      <c r="D1030" s="1564">
        <f>'Part VII-Pro Forma'!D15</f>
        <v>14111.319744</v>
      </c>
      <c r="E1030" s="1564">
        <f>'Part VII-Pro Forma'!E15</f>
        <v>14393.546138879999</v>
      </c>
      <c r="F1030" s="1564">
        <f>'Part VII-Pro Forma'!F15</f>
        <v>14681.417061657601</v>
      </c>
      <c r="G1030" s="1564">
        <f>'Part VII-Pro Forma'!G15</f>
        <v>14975.045402890753</v>
      </c>
      <c r="H1030" s="1564">
        <f>'Part VII-Pro Forma'!H15</f>
        <v>15274.546310948568</v>
      </c>
      <c r="I1030" s="1564">
        <f>'Part VII-Pro Forma'!I15</f>
        <v>15580.037237167537</v>
      </c>
      <c r="J1030" s="1564">
        <f>'Part VII-Pro Forma'!J15</f>
        <v>15891.637981910888</v>
      </c>
      <c r="K1030" s="1564">
        <f>'Part VII-Pro Forma'!K15</f>
        <v>16209.470741549107</v>
      </c>
      <c r="N1030" s="1521">
        <f>'Part VII-Pro Forma'!N15</f>
        <v>0</v>
      </c>
      <c r="O1030" s="1521"/>
    </row>
    <row r="1031" spans="1:15">
      <c r="A1031" s="638" t="s">
        <v>2406</v>
      </c>
      <c r="B1031" s="1564">
        <f>'Part VII-Pro Forma'!B16</f>
        <v>-48421.195200000002</v>
      </c>
      <c r="C1031" s="1564">
        <f>'Part VII-Pro Forma'!C16</f>
        <v>-49389.619104000005</v>
      </c>
      <c r="D1031" s="1564">
        <f>'Part VII-Pro Forma'!D16</f>
        <v>-50377.411486080004</v>
      </c>
      <c r="E1031" s="1564">
        <f>'Part VII-Pro Forma'!E16</f>
        <v>-51384.959715801597</v>
      </c>
      <c r="F1031" s="1564">
        <f>'Part VII-Pro Forma'!F16</f>
        <v>-52412.658910117643</v>
      </c>
      <c r="G1031" s="1564">
        <f>'Part VII-Pro Forma'!G16</f>
        <v>-53460.912088319987</v>
      </c>
      <c r="H1031" s="1564">
        <f>'Part VII-Pro Forma'!H16</f>
        <v>-54530.130330086395</v>
      </c>
      <c r="I1031" s="1564">
        <f>'Part VII-Pro Forma'!I16</f>
        <v>-55620.732936688109</v>
      </c>
      <c r="J1031" s="1564">
        <f>'Part VII-Pro Forma'!J16</f>
        <v>-56733.147595421869</v>
      </c>
      <c r="K1031" s="1564">
        <f>'Part VII-Pro Forma'!K16</f>
        <v>-57867.810547330322</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4935</v>
      </c>
      <c r="B1034" s="1564">
        <f>'Part VII-Pro Forma'!B19</f>
        <v>643310.16480000003</v>
      </c>
      <c r="C1034" s="1564">
        <f>'Part VII-Pro Forma'!C19</f>
        <v>656176.36809599993</v>
      </c>
      <c r="D1034" s="1564">
        <f>'Part VII-Pro Forma'!D19</f>
        <v>669299.89545791992</v>
      </c>
      <c r="E1034" s="1564">
        <f>'Part VII-Pro Forma'!E19</f>
        <v>682685.89336707827</v>
      </c>
      <c r="F1034" s="1564">
        <f>'Part VII-Pro Forma'!F19</f>
        <v>696339.61123441998</v>
      </c>
      <c r="G1034" s="1564">
        <f>'Part VII-Pro Forma'!G19</f>
        <v>710266.40345910832</v>
      </c>
      <c r="H1034" s="1564">
        <f>'Part VII-Pro Forma'!H19</f>
        <v>724471.73152829055</v>
      </c>
      <c r="I1034" s="1564">
        <f>'Part VII-Pro Forma'!I19</f>
        <v>738961.16615885624</v>
      </c>
      <c r="J1034" s="1564">
        <f>'Part VII-Pro Forma'!J19</f>
        <v>753740.38948203332</v>
      </c>
      <c r="K1034" s="1564">
        <f>'Part VII-Pro Forma'!K19</f>
        <v>768815.19727167417</v>
      </c>
      <c r="N1034" s="1521">
        <f>'Part VII-Pro Forma'!N19</f>
        <v>0</v>
      </c>
      <c r="O1034" s="1521"/>
    </row>
    <row r="1035" spans="1:15">
      <c r="A1035" s="638" t="s">
        <v>614</v>
      </c>
      <c r="B1035" s="1564">
        <f>'Part VII-Pro Forma'!B20</f>
        <v>-301941</v>
      </c>
      <c r="C1035" s="1564">
        <f>'Part VII-Pro Forma'!C20</f>
        <v>-310999.23</v>
      </c>
      <c r="D1035" s="1564">
        <f>'Part VII-Pro Forma'!D20</f>
        <v>-320329.20689999999</v>
      </c>
      <c r="E1035" s="1564">
        <f>'Part VII-Pro Forma'!E20</f>
        <v>-329939.08310699998</v>
      </c>
      <c r="F1035" s="1564">
        <f>'Part VII-Pro Forma'!F20</f>
        <v>-339837.25560020999</v>
      </c>
      <c r="G1035" s="1564">
        <f>'Part VII-Pro Forma'!G20</f>
        <v>-350032.37326821627</v>
      </c>
      <c r="H1035" s="1564">
        <f>'Part VII-Pro Forma'!H20</f>
        <v>-360533.34446626279</v>
      </c>
      <c r="I1035" s="1564">
        <f>'Part VII-Pro Forma'!I20</f>
        <v>-371349.34480025066</v>
      </c>
      <c r="J1035" s="1564">
        <f>'Part VII-Pro Forma'!J20</f>
        <v>-382489.82514425815</v>
      </c>
      <c r="K1035" s="1564">
        <f>'Part VII-Pro Forma'!K20</f>
        <v>-393964.51989858592</v>
      </c>
      <c r="N1035" s="1521">
        <f>'Part VII-Pro Forma'!N20</f>
        <v>0</v>
      </c>
      <c r="O1035" s="1521"/>
    </row>
    <row r="1036" spans="1:15">
      <c r="A1036" s="638" t="s">
        <v>1115</v>
      </c>
      <c r="B1036" s="1564">
        <f>'Part VII-Pro Forma'!B21</f>
        <v>-32166</v>
      </c>
      <c r="C1036" s="1564">
        <f>'Part VII-Pro Forma'!C21</f>
        <v>-32809</v>
      </c>
      <c r="D1036" s="1564">
        <f>'Part VII-Pro Forma'!D21</f>
        <v>-33465</v>
      </c>
      <c r="E1036" s="1564">
        <f>'Part VII-Pro Forma'!E21</f>
        <v>-34134</v>
      </c>
      <c r="F1036" s="1564">
        <f>'Part VII-Pro Forma'!F21</f>
        <v>-34817</v>
      </c>
      <c r="G1036" s="1564">
        <f>'Part VII-Pro Forma'!G21</f>
        <v>-35513</v>
      </c>
      <c r="H1036" s="1564">
        <f>'Part VII-Pro Forma'!H21</f>
        <v>-36224</v>
      </c>
      <c r="I1036" s="1564">
        <f>'Part VII-Pro Forma'!I21</f>
        <v>-36948</v>
      </c>
      <c r="J1036" s="1564">
        <f>'Part VII-Pro Forma'!J21</f>
        <v>-37687</v>
      </c>
      <c r="K1036" s="1564">
        <f>'Part VII-Pro Forma'!K21</f>
        <v>-38441</v>
      </c>
      <c r="N1036" s="1521">
        <f>'Part VII-Pro Forma'!N21</f>
        <v>0</v>
      </c>
      <c r="O1036" s="1521"/>
    </row>
    <row r="1037" spans="1:15">
      <c r="A1037" s="638" t="s">
        <v>1202</v>
      </c>
      <c r="B1037" s="1564">
        <f>'Part VII-Pro Forma'!B22</f>
        <v>-21000</v>
      </c>
      <c r="C1037" s="1564">
        <f>'Part VII-Pro Forma'!C22</f>
        <v>-21630</v>
      </c>
      <c r="D1037" s="1564">
        <f>'Part VII-Pro Forma'!D22</f>
        <v>-22278.899999999998</v>
      </c>
      <c r="E1037" s="1564">
        <f>'Part VII-Pro Forma'!E22</f>
        <v>-22947.267</v>
      </c>
      <c r="F1037" s="1564">
        <f>'Part VII-Pro Forma'!F22</f>
        <v>-23635.685009999997</v>
      </c>
      <c r="G1037" s="1564">
        <f>'Part VII-Pro Forma'!G22</f>
        <v>-24344.755560299996</v>
      </c>
      <c r="H1037" s="1564">
        <f>'Part VII-Pro Forma'!H22</f>
        <v>-25075.098227109</v>
      </c>
      <c r="I1037" s="1564">
        <f>'Part VII-Pro Forma'!I22</f>
        <v>-25827.35117392227</v>
      </c>
      <c r="J1037" s="1564">
        <f>'Part VII-Pro Forma'!J22</f>
        <v>-26602.171709139933</v>
      </c>
      <c r="K1037" s="1564">
        <f>'Part VII-Pro Forma'!K22</f>
        <v>-27400.236860414134</v>
      </c>
      <c r="N1037" s="1521">
        <f>'Part VII-Pro Forma'!N22</f>
        <v>0</v>
      </c>
      <c r="O1037" s="1521"/>
    </row>
    <row r="1038" spans="1:15">
      <c r="A1038" s="638" t="s">
        <v>4934</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288203.16480000003</v>
      </c>
      <c r="C1039" s="1564">
        <f t="shared" ref="C1039:J1039" si="363">SUM(C1034:C1038)</f>
        <v>290738.13809599995</v>
      </c>
      <c r="D1039" s="1564">
        <f t="shared" si="363"/>
        <v>293226.78855791991</v>
      </c>
      <c r="E1039" s="1564">
        <f t="shared" si="363"/>
        <v>295665.5432600783</v>
      </c>
      <c r="F1039" s="1564">
        <f t="shared" si="363"/>
        <v>298049.67062420998</v>
      </c>
      <c r="G1039" s="1564">
        <f t="shared" si="363"/>
        <v>300376.27463059203</v>
      </c>
      <c r="H1039" s="1564">
        <f t="shared" si="363"/>
        <v>302639.28883491876</v>
      </c>
      <c r="I1039" s="1564">
        <f t="shared" si="363"/>
        <v>304836.47018468333</v>
      </c>
      <c r="J1039" s="1564">
        <f t="shared" si="363"/>
        <v>306961.39262863522</v>
      </c>
      <c r="K1039" s="1564">
        <f>SUM(K1034:K1038)</f>
        <v>309009.4405126741</v>
      </c>
      <c r="N1039" s="1521">
        <f>'Part VII-Pro Forma'!N24</f>
        <v>0</v>
      </c>
      <c r="O1039" s="1521"/>
    </row>
    <row r="1040" spans="1:15">
      <c r="A1040" s="638" t="s">
        <v>1591</v>
      </c>
      <c r="B1040" s="1564">
        <f>'Part VII-Pro Forma'!B25</f>
        <v>-229027.36486498272</v>
      </c>
      <c r="C1040" s="1564">
        <f>'Part VII-Pro Forma'!C25</f>
        <v>-229027.36486498272</v>
      </c>
      <c r="D1040" s="1564">
        <f>'Part VII-Pro Forma'!D25</f>
        <v>-229027.36486498272</v>
      </c>
      <c r="E1040" s="1564">
        <f>'Part VII-Pro Forma'!E25</f>
        <v>-229027.36486498272</v>
      </c>
      <c r="F1040" s="1564">
        <f>'Part VII-Pro Forma'!F25</f>
        <v>-229027.36486498272</v>
      </c>
      <c r="G1040" s="1564">
        <f>'Part VII-Pro Forma'!G25</f>
        <v>-229027.36486498272</v>
      </c>
      <c r="H1040" s="1564">
        <f>'Part VII-Pro Forma'!H25</f>
        <v>-229027.36486498272</v>
      </c>
      <c r="I1040" s="1564">
        <f>'Part VII-Pro Forma'!I25</f>
        <v>-229027.36486498272</v>
      </c>
      <c r="J1040" s="1564">
        <f>'Part VII-Pro Forma'!J25</f>
        <v>-229027.36486498272</v>
      </c>
      <c r="K1040" s="1564">
        <f>'Part VII-Pro Forma'!K25</f>
        <v>-229027.36486498272</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4080</v>
      </c>
      <c r="B1046" s="1564">
        <f>'Part VII-Pro Forma'!B31</f>
        <v>-53713.73333333333</v>
      </c>
      <c r="C1046" s="1564">
        <f>'Part VII-Pro Forma'!C31</f>
        <v>-53713.73333333333</v>
      </c>
      <c r="D1046" s="1564">
        <f>'Part VII-Pro Forma'!D31</f>
        <v>-53713.73333333333</v>
      </c>
      <c r="E1046" s="1564">
        <f>'Part VII-Pro Forma'!E31</f>
        <v>-53713.73333333333</v>
      </c>
      <c r="F1046" s="1564">
        <f>'Part VII-Pro Forma'!F31</f>
        <v>-53713.73333333333</v>
      </c>
      <c r="G1046" s="1564">
        <f>'Part VII-Pro Forma'!G31</f>
        <v>-53713.73333333333</v>
      </c>
      <c r="H1046" s="1564">
        <f>'Part VII-Pro Forma'!H31</f>
        <v>-53713.73333333333</v>
      </c>
      <c r="I1046" s="1564">
        <f>'Part VII-Pro Forma'!I31</f>
        <v>-53713.73333333333</v>
      </c>
      <c r="J1046" s="1564">
        <f>'Part VII-Pro Forma'!J31</f>
        <v>-53713.73333333333</v>
      </c>
      <c r="K1046" s="1564">
        <f>'Part VII-Pro Forma'!K31</f>
        <v>-53713.73333333333</v>
      </c>
      <c r="N1046" s="1521">
        <f>'Part VII-Pro Forma'!N31</f>
        <v>0</v>
      </c>
      <c r="O1046" s="1521"/>
    </row>
    <row r="1047" spans="1:15">
      <c r="A1047" s="638" t="s">
        <v>1164</v>
      </c>
      <c r="B1047" s="1564">
        <f>'Part VII-Pro Forma'!B32</f>
        <v>462.06660168397502</v>
      </c>
      <c r="C1047" s="1564">
        <f>'Part VII-Pro Forma'!C32</f>
        <v>2997.0398976838987</v>
      </c>
      <c r="D1047" s="1564">
        <f>'Part VII-Pro Forma'!D32</f>
        <v>5485.6903596038537</v>
      </c>
      <c r="E1047" s="1564">
        <f>'Part VII-Pro Forma'!E32</f>
        <v>7924.4450617622424</v>
      </c>
      <c r="F1047" s="1564">
        <f>'Part VII-Pro Forma'!F32</f>
        <v>10308.572425893923</v>
      </c>
      <c r="G1047" s="1564">
        <f>'Part VII-Pro Forma'!G32</f>
        <v>12635.176432275977</v>
      </c>
      <c r="H1047" s="1564">
        <f>'Part VII-Pro Forma'!H32</f>
        <v>14898.190636602703</v>
      </c>
      <c r="I1047" s="1564">
        <f>'Part VII-Pro Forma'!I32</f>
        <v>17095.371986367281</v>
      </c>
      <c r="J1047" s="1564">
        <f>'Part VII-Pro Forma'!J32</f>
        <v>19220.294430319169</v>
      </c>
      <c r="K1047" s="1564">
        <f>'Part VII-Pro Forma'!K32</f>
        <v>21268.342314358051</v>
      </c>
      <c r="N1047" s="1521">
        <f>'Part VII-Pro Forma'!N32</f>
        <v>0</v>
      </c>
      <c r="O1047" s="1521"/>
    </row>
    <row r="1048" spans="1:15">
      <c r="A1048" s="638" t="str">
        <f>IF('Part III-Sources of Funds'!$E$38 = "Neither", "", "DCR Mortgage A")</f>
        <v>DCR Mortgage A</v>
      </c>
      <c r="B1048" s="1565">
        <f>'Part VII-Pro Forma'!B33</f>
        <v>1.2583787311612431</v>
      </c>
      <c r="C1048" s="1565">
        <f>'Part VII-Pro Forma'!C33</f>
        <v>1.2694471608988613</v>
      </c>
      <c r="D1048" s="1565">
        <f>'Part VII-Pro Forma'!D33</f>
        <v>1.2803133316876101</v>
      </c>
      <c r="E1048" s="1565">
        <f>'Part VII-Pro Forma'!E33</f>
        <v>1.2909616430961446</v>
      </c>
      <c r="F1048" s="1565">
        <f>'Part VII-Pro Forma'!F33</f>
        <v>1.3013714356793897</v>
      </c>
      <c r="G1048" s="1565">
        <f>'Part VII-Pro Forma'!G33</f>
        <v>1.3115300645740358</v>
      </c>
      <c r="H1048" s="1565">
        <f>'Part VII-Pro Forma'!H33</f>
        <v>1.3214110419221392</v>
      </c>
      <c r="I1048" s="1565">
        <f>'Part VII-Pro Forma'!I33</f>
        <v>1.3310045739049217</v>
      </c>
      <c r="J1048" s="1565">
        <f>'Part VII-Pro Forma'!J33</f>
        <v>1.3402826025160641</v>
      </c>
      <c r="K1048" s="1565">
        <f>'Part VII-Pro Forma'!K33</f>
        <v>1.3492249744690674</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1.2583787311612431</v>
      </c>
      <c r="C1052" s="1565">
        <f>'Part VII-Pro Forma'!C37</f>
        <v>1.2694471608988613</v>
      </c>
      <c r="D1052" s="1565">
        <f>'Part VII-Pro Forma'!D37</f>
        <v>1.2803133316876101</v>
      </c>
      <c r="E1052" s="1565">
        <f>'Part VII-Pro Forma'!E37</f>
        <v>1.2909616430961446</v>
      </c>
      <c r="F1052" s="1565">
        <f>'Part VII-Pro Forma'!F37</f>
        <v>1.3013714356793897</v>
      </c>
      <c r="G1052" s="1565">
        <f>'Part VII-Pro Forma'!G37</f>
        <v>1.3115300645740358</v>
      </c>
      <c r="H1052" s="1565">
        <f>'Part VII-Pro Forma'!H37</f>
        <v>1.3214110419221392</v>
      </c>
      <c r="I1052" s="1565">
        <f>'Part VII-Pro Forma'!I37</f>
        <v>1.3310045739049217</v>
      </c>
      <c r="J1052" s="1565">
        <f>'Part VII-Pro Forma'!J37</f>
        <v>1.3402826025160641</v>
      </c>
      <c r="K1052" s="1565">
        <f>'Part VII-Pro Forma'!K37</f>
        <v>1.3492249744690674</v>
      </c>
      <c r="N1052" s="1521">
        <f>'Part VII-Pro Forma'!N37</f>
        <v>0</v>
      </c>
      <c r="O1052" s="1521"/>
    </row>
    <row r="1053" spans="1:15">
      <c r="A1053" s="638" t="s">
        <v>770</v>
      </c>
      <c r="B1053" s="1566">
        <f>'Part VII-Pro Forma'!B38</f>
        <v>1.8115952791693772</v>
      </c>
      <c r="C1053" s="1566">
        <f>'Part VII-Pro Forma'!C38</f>
        <v>1.7955876376043085</v>
      </c>
      <c r="D1053" s="1566">
        <f>'Part VII-Pro Forma'!D38</f>
        <v>1.7797068792687976</v>
      </c>
      <c r="E1053" s="1566">
        <f>'Part VII-Pro Forma'!E38</f>
        <v>1.7639534799096102</v>
      </c>
      <c r="F1053" s="1566">
        <f>'Part VII-Pro Forma'!F38</f>
        <v>1.7483233700745129</v>
      </c>
      <c r="G1053" s="1566">
        <f>'Part VII-Pro Forma'!G38</f>
        <v>1.7328214404408333</v>
      </c>
      <c r="H1053" s="1566">
        <f>'Part VII-Pro Forma'!H38</f>
        <v>1.7174395760140857</v>
      </c>
      <c r="I1053" s="1566">
        <f>'Part VII-Pro Forma'!I38</f>
        <v>1.7021864294097169</v>
      </c>
      <c r="J1053" s="1566">
        <f>'Part VII-Pro Forma'!J38</f>
        <v>1.6870542142547464</v>
      </c>
      <c r="K1053" s="1566">
        <f>'Part VII-Pro Forma'!K38</f>
        <v>1.6720434356689373</v>
      </c>
      <c r="N1053" s="1521">
        <f>'Part VII-Pro Forma'!N38</f>
        <v>0</v>
      </c>
      <c r="O1053" s="1521"/>
    </row>
    <row r="1054" spans="1:15">
      <c r="A1054" s="638" t="s">
        <v>2618</v>
      </c>
      <c r="B1054" s="1564">
        <f>'Part VII-Pro Forma'!B39</f>
        <v>3961610.7427290343</v>
      </c>
      <c r="C1054" s="1564">
        <f>'Part VII-Pro Forma'!C39</f>
        <v>3771328.9343479592</v>
      </c>
      <c r="D1054" s="1564">
        <f>'Part VII-Pro Forma'!D39</f>
        <v>3579135.5623623459</v>
      </c>
      <c r="E1054" s="1564">
        <f>'Part VII-Pro Forma'!E39</f>
        <v>3385011.4232789902</v>
      </c>
      <c r="F1054" s="1564">
        <f>'Part VII-Pro Forma'!F39</f>
        <v>3188937.1206871457</v>
      </c>
      <c r="G1054" s="1564">
        <f>'Part VII-Pro Forma'!G39</f>
        <v>2990893.0633204821</v>
      </c>
      <c r="H1054" s="1564">
        <f>'Part VII-Pro Forma'!H39</f>
        <v>2790859.4630995747</v>
      </c>
      <c r="I1054" s="1564">
        <f>'Part VII-Pro Forma'!I39</f>
        <v>2588816.3331547258</v>
      </c>
      <c r="J1054" s="1564">
        <f>'Part VII-Pro Forma'!J39</f>
        <v>2384743.4858289277</v>
      </c>
      <c r="K1054" s="1564">
        <f>'Part VII-Pro Forma'!K39</f>
        <v>2178620.5306607587</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751992.26666666672</v>
      </c>
      <c r="C1058" s="1564">
        <f>'Part VII-Pro Forma'!C43</f>
        <v>698278.53333333344</v>
      </c>
      <c r="D1058" s="1564">
        <f>'Part VII-Pro Forma'!D43</f>
        <v>644564.80000000016</v>
      </c>
      <c r="E1058" s="1564">
        <f>'Part VII-Pro Forma'!E43</f>
        <v>590851.06666666688</v>
      </c>
      <c r="F1058" s="1564">
        <f>'Part VII-Pro Forma'!F43</f>
        <v>537137.3333333336</v>
      </c>
      <c r="G1058" s="1564">
        <f>'Part VII-Pro Forma'!G43</f>
        <v>483423.60000000027</v>
      </c>
      <c r="H1058" s="1564">
        <f>'Part VII-Pro Forma'!H43</f>
        <v>429709.86666666693</v>
      </c>
      <c r="I1058" s="1564">
        <f>'Part VII-Pro Forma'!I43</f>
        <v>375996.13333333359</v>
      </c>
      <c r="J1058" s="1564">
        <f>'Part VII-Pro Forma'!J43</f>
        <v>322282.40000000026</v>
      </c>
      <c r="K1058" s="1564">
        <f>'Part VII-Pro Forma'!K43</f>
        <v>268568.66666666692</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4">B1060+1</f>
        <v>12</v>
      </c>
      <c r="D1060" s="1564">
        <f t="shared" si="364"/>
        <v>13</v>
      </c>
      <c r="E1060" s="1564">
        <f t="shared" si="364"/>
        <v>14</v>
      </c>
      <c r="F1060" s="1564">
        <f t="shared" si="364"/>
        <v>15</v>
      </c>
      <c r="G1060" s="1564">
        <f t="shared" si="364"/>
        <v>16</v>
      </c>
      <c r="H1060" s="1564">
        <f t="shared" si="364"/>
        <v>17</v>
      </c>
      <c r="I1060" s="1564">
        <f t="shared" si="364"/>
        <v>18</v>
      </c>
      <c r="J1060" s="1564">
        <f t="shared" si="364"/>
        <v>19</v>
      </c>
      <c r="K1060" s="1564">
        <f t="shared" si="364"/>
        <v>20</v>
      </c>
      <c r="N1060" s="1794" t="s">
        <v>2623</v>
      </c>
      <c r="O1060" s="1794"/>
    </row>
    <row r="1061" spans="1:15">
      <c r="A1061" s="638" t="s">
        <v>2405</v>
      </c>
      <c r="B1061" s="1564">
        <f>'Part VII-Pro Forma'!B46</f>
        <v>826683.00781900447</v>
      </c>
      <c r="C1061" s="1564">
        <f>'Part VII-Pro Forma'!C46</f>
        <v>843216.66797538439</v>
      </c>
      <c r="D1061" s="1564">
        <f>'Part VII-Pro Forma'!D46</f>
        <v>860081.00133489224</v>
      </c>
      <c r="E1061" s="1564">
        <f>'Part VII-Pro Forma'!E46</f>
        <v>877282.62136158999</v>
      </c>
      <c r="F1061" s="1564">
        <f>'Part VII-Pro Forma'!F46</f>
        <v>894828.27378882188</v>
      </c>
      <c r="G1061" s="1564">
        <f>'Part VII-Pro Forma'!G46</f>
        <v>912724.83926459809</v>
      </c>
      <c r="H1061" s="1564">
        <f>'Part VII-Pro Forma'!H46</f>
        <v>930979.33604989015</v>
      </c>
      <c r="I1061" s="1564">
        <f>'Part VII-Pro Forma'!I46</f>
        <v>949598.92277088808</v>
      </c>
      <c r="J1061" s="1564">
        <f>'Part VII-Pro Forma'!J46</f>
        <v>968590.90122630575</v>
      </c>
      <c r="K1061" s="1564">
        <f>'Part VII-Pro Forma'!K46</f>
        <v>987962.71925083175</v>
      </c>
      <c r="N1061" s="1521">
        <f>'Part VII-Pro Forma'!N46</f>
        <v>0</v>
      </c>
      <c r="O1061" s="1521"/>
    </row>
    <row r="1062" spans="1:15">
      <c r="A1062" s="638" t="s">
        <v>1016</v>
      </c>
      <c r="B1062" s="1564">
        <f>'Part VII-Pro Forma'!B47</f>
        <v>16533.66015638009</v>
      </c>
      <c r="C1062" s="1564">
        <f>'Part VII-Pro Forma'!C47</f>
        <v>16864.333359507687</v>
      </c>
      <c r="D1062" s="1564">
        <f>'Part VII-Pro Forma'!D47</f>
        <v>17201.620026697845</v>
      </c>
      <c r="E1062" s="1564">
        <f>'Part VII-Pro Forma'!E47</f>
        <v>17545.652427231802</v>
      </c>
      <c r="F1062" s="1564">
        <f>'Part VII-Pro Forma'!F47</f>
        <v>17896.565475776439</v>
      </c>
      <c r="G1062" s="1564">
        <f>'Part VII-Pro Forma'!G47</f>
        <v>18254.496785291962</v>
      </c>
      <c r="H1062" s="1564">
        <f>'Part VII-Pro Forma'!H47</f>
        <v>18619.586720997806</v>
      </c>
      <c r="I1062" s="1564">
        <f>'Part VII-Pro Forma'!I47</f>
        <v>18991.97845541776</v>
      </c>
      <c r="J1062" s="1564">
        <f>'Part VII-Pro Forma'!J47</f>
        <v>19371.818024526114</v>
      </c>
      <c r="K1062" s="1564">
        <f>'Part VII-Pro Forma'!K47</f>
        <v>19759.254385016637</v>
      </c>
      <c r="N1062" s="1521">
        <f>'Part VII-Pro Forma'!N47</f>
        <v>0</v>
      </c>
      <c r="O1062" s="1521"/>
    </row>
    <row r="1063" spans="1:15">
      <c r="A1063" s="638" t="s">
        <v>2406</v>
      </c>
      <c r="B1063" s="1564">
        <f>'Part VII-Pro Forma'!B48</f>
        <v>-59025.166758276922</v>
      </c>
      <c r="C1063" s="1564">
        <f>'Part VII-Pro Forma'!C48</f>
        <v>-60205.670093442452</v>
      </c>
      <c r="D1063" s="1564">
        <f>'Part VII-Pro Forma'!D48</f>
        <v>-61409.783495311312</v>
      </c>
      <c r="E1063" s="1564">
        <f>'Part VII-Pro Forma'!E48</f>
        <v>-62637.979165217526</v>
      </c>
      <c r="F1063" s="1564">
        <f>'Part VII-Pro Forma'!F48</f>
        <v>-63890.738748521886</v>
      </c>
      <c r="G1063" s="1564">
        <f>'Part VII-Pro Forma'!G48</f>
        <v>-65168.553523492308</v>
      </c>
      <c r="H1063" s="1564">
        <f>'Part VII-Pro Forma'!H48</f>
        <v>-66471.924593962161</v>
      </c>
      <c r="I1063" s="1564">
        <f>'Part VII-Pro Forma'!I48</f>
        <v>-67801.363085841411</v>
      </c>
      <c r="J1063" s="1564">
        <f>'Part VII-Pro Forma'!J48</f>
        <v>-69157.390347558234</v>
      </c>
      <c r="K1063" s="1564">
        <f>'Part VII-Pro Forma'!K48</f>
        <v>-70540.538154509399</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4935</v>
      </c>
      <c r="B1066" s="1564">
        <f>'Part VII-Pro Forma'!B51</f>
        <v>784191.50121710764</v>
      </c>
      <c r="C1066" s="1564">
        <f>'Part VII-Pro Forma'!C51</f>
        <v>799875.33124144969</v>
      </c>
      <c r="D1066" s="1564">
        <f>'Part VII-Pro Forma'!D51</f>
        <v>815872.83786627883</v>
      </c>
      <c r="E1066" s="1564">
        <f>'Part VII-Pro Forma'!E51</f>
        <v>832190.29462360428</v>
      </c>
      <c r="F1066" s="1564">
        <f>'Part VII-Pro Forma'!F51</f>
        <v>848834.10051607643</v>
      </c>
      <c r="G1066" s="1564">
        <f>'Part VII-Pro Forma'!G51</f>
        <v>865810.78252639773</v>
      </c>
      <c r="H1066" s="1564">
        <f>'Part VII-Pro Forma'!H51</f>
        <v>883126.99817692582</v>
      </c>
      <c r="I1066" s="1564">
        <f>'Part VII-Pro Forma'!I51</f>
        <v>900789.53814046446</v>
      </c>
      <c r="J1066" s="1564">
        <f>'Part VII-Pro Forma'!J51</f>
        <v>918805.32890327368</v>
      </c>
      <c r="K1066" s="1564">
        <f>'Part VII-Pro Forma'!K51</f>
        <v>937181.43548133899</v>
      </c>
      <c r="N1066" s="1521">
        <f>'Part VII-Pro Forma'!N51</f>
        <v>0</v>
      </c>
      <c r="O1066" s="1521"/>
    </row>
    <row r="1067" spans="1:15">
      <c r="A1067" s="638" t="s">
        <v>614</v>
      </c>
      <c r="B1067" s="1564">
        <f>'Part VII-Pro Forma'!B52</f>
        <v>-405783.45549554349</v>
      </c>
      <c r="C1067" s="1564">
        <f>'Part VII-Pro Forma'!C52</f>
        <v>-417956.95916040981</v>
      </c>
      <c r="D1067" s="1564">
        <f>'Part VII-Pro Forma'!D52</f>
        <v>-430495.66793522204</v>
      </c>
      <c r="E1067" s="1564">
        <f>'Part VII-Pro Forma'!E52</f>
        <v>-443410.53797327867</v>
      </c>
      <c r="F1067" s="1564">
        <f>'Part VII-Pro Forma'!F52</f>
        <v>-456712.8541124771</v>
      </c>
      <c r="G1067" s="1564">
        <f>'Part VII-Pro Forma'!G52</f>
        <v>-470414.23973585141</v>
      </c>
      <c r="H1067" s="1564">
        <f>'Part VII-Pro Forma'!H52</f>
        <v>-484526.66692792688</v>
      </c>
      <c r="I1067" s="1564">
        <f>'Part VII-Pro Forma'!I52</f>
        <v>-499062.46693576465</v>
      </c>
      <c r="J1067" s="1564">
        <f>'Part VII-Pro Forma'!J52</f>
        <v>-514034.3409438376</v>
      </c>
      <c r="K1067" s="1564">
        <f>'Part VII-Pro Forma'!K52</f>
        <v>-529455.37117215269</v>
      </c>
      <c r="N1067" s="1521">
        <f>'Part VII-Pro Forma'!N52</f>
        <v>0</v>
      </c>
      <c r="O1067" s="1521"/>
    </row>
    <row r="1068" spans="1:15">
      <c r="A1068" s="638" t="s">
        <v>1115</v>
      </c>
      <c r="B1068" s="1564">
        <f>'Part VII-Pro Forma'!B53</f>
        <v>-39210</v>
      </c>
      <c r="C1068" s="1564">
        <f>'Part VII-Pro Forma'!C53</f>
        <v>-39994</v>
      </c>
      <c r="D1068" s="1564">
        <f>'Part VII-Pro Forma'!D53</f>
        <v>-40794</v>
      </c>
      <c r="E1068" s="1564">
        <f>'Part VII-Pro Forma'!E53</f>
        <v>-41610</v>
      </c>
      <c r="F1068" s="1564">
        <f>'Part VII-Pro Forma'!F53</f>
        <v>-42442</v>
      </c>
      <c r="G1068" s="1564">
        <f>'Part VII-Pro Forma'!G53</f>
        <v>-43291</v>
      </c>
      <c r="H1068" s="1564">
        <f>'Part VII-Pro Forma'!H53</f>
        <v>-44156</v>
      </c>
      <c r="I1068" s="1564">
        <f>'Part VII-Pro Forma'!I53</f>
        <v>-45039</v>
      </c>
      <c r="J1068" s="1564">
        <f>'Part VII-Pro Forma'!J53</f>
        <v>-45940</v>
      </c>
      <c r="K1068" s="1564">
        <f>'Part VII-Pro Forma'!K53</f>
        <v>-46859</v>
      </c>
      <c r="N1068" s="1521">
        <f>'Part VII-Pro Forma'!N53</f>
        <v>0</v>
      </c>
      <c r="O1068" s="1521"/>
    </row>
    <row r="1069" spans="1:15">
      <c r="A1069" s="638" t="s">
        <v>1202</v>
      </c>
      <c r="B1069" s="1564">
        <f>'Part VII-Pro Forma'!B54</f>
        <v>-28222.243966226557</v>
      </c>
      <c r="C1069" s="1564">
        <f>'Part VII-Pro Forma'!C54</f>
        <v>-29068.911285213355</v>
      </c>
      <c r="D1069" s="1564">
        <f>'Part VII-Pro Forma'!D54</f>
        <v>-29940.978623769752</v>
      </c>
      <c r="E1069" s="1564">
        <f>'Part VII-Pro Forma'!E54</f>
        <v>-30839.207982482843</v>
      </c>
      <c r="F1069" s="1564">
        <f>'Part VII-Pro Forma'!F54</f>
        <v>-31764.384221957331</v>
      </c>
      <c r="G1069" s="1564">
        <f>'Part VII-Pro Forma'!G54</f>
        <v>-32717.315748616053</v>
      </c>
      <c r="H1069" s="1564">
        <f>'Part VII-Pro Forma'!H54</f>
        <v>-33698.835221074529</v>
      </c>
      <c r="I1069" s="1564">
        <f>'Part VII-Pro Forma'!I54</f>
        <v>-34709.800277706767</v>
      </c>
      <c r="J1069" s="1564">
        <f>'Part VII-Pro Forma'!J54</f>
        <v>-35751.094286037966</v>
      </c>
      <c r="K1069" s="1564">
        <f>'Part VII-Pro Forma'!K54</f>
        <v>-36823.627114619107</v>
      </c>
      <c r="N1069" s="1521">
        <f>'Part VII-Pro Forma'!N54</f>
        <v>0</v>
      </c>
      <c r="O1069" s="1521"/>
    </row>
    <row r="1070" spans="1:15">
      <c r="A1070" s="638" t="s">
        <v>4934</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310975.80175533757</v>
      </c>
      <c r="C1071" s="1564">
        <f t="shared" ref="C1071:J1071" si="365">SUM(C1066:C1070)</f>
        <v>312855.46079582651</v>
      </c>
      <c r="D1071" s="1564">
        <f t="shared" si="365"/>
        <v>314642.19130728702</v>
      </c>
      <c r="E1071" s="1564">
        <f t="shared" si="365"/>
        <v>316330.54866784276</v>
      </c>
      <c r="F1071" s="1564">
        <f t="shared" si="365"/>
        <v>317914.86218164198</v>
      </c>
      <c r="G1071" s="1564">
        <f t="shared" si="365"/>
        <v>319388.22704193025</v>
      </c>
      <c r="H1071" s="1564">
        <f t="shared" si="365"/>
        <v>320745.49602792441</v>
      </c>
      <c r="I1071" s="1564">
        <f t="shared" si="365"/>
        <v>321978.27092699305</v>
      </c>
      <c r="J1071" s="1564">
        <f t="shared" si="365"/>
        <v>323079.89367339812</v>
      </c>
      <c r="K1071" s="1564">
        <f>SUM(K1066:K1070)</f>
        <v>324043.43719456717</v>
      </c>
      <c r="N1071" s="1521">
        <f>'Part VII-Pro Forma'!N56</f>
        <v>0</v>
      </c>
      <c r="O1071" s="1521"/>
    </row>
    <row r="1072" spans="1:15">
      <c r="A1072" s="638" t="str">
        <f>$A1040</f>
        <v>Mortgage A</v>
      </c>
      <c r="B1072" s="1564">
        <f>IF('Part III-Sources of Funds'!$P$38="", 0,-'Part III-Sources of Funds'!$P$38)</f>
        <v>-229027.36486498272</v>
      </c>
      <c r="C1072" s="1564">
        <f>IF('Part III-Sources of Funds'!$P$38="", 0,-'Part III-Sources of Funds'!$P$38)</f>
        <v>-229027.36486498272</v>
      </c>
      <c r="D1072" s="1564">
        <f>IF('Part III-Sources of Funds'!$P$38="", 0,-'Part III-Sources of Funds'!$P$38)</f>
        <v>-229027.36486498272</v>
      </c>
      <c r="E1072" s="1564">
        <f>IF('Part III-Sources of Funds'!$P$38="", 0,-'Part III-Sources of Funds'!$P$38)</f>
        <v>-229027.36486498272</v>
      </c>
      <c r="F1072" s="1564">
        <f>IF('Part III-Sources of Funds'!$P$38="", 0,-'Part III-Sources of Funds'!$P$38)</f>
        <v>-229027.36486498272</v>
      </c>
      <c r="G1072" s="1564">
        <f>IF('Part III-Sources of Funds'!$P$38="", 0,-'Part III-Sources of Funds'!$P$38)</f>
        <v>-229027.36486498272</v>
      </c>
      <c r="H1072" s="1564">
        <f>IF('Part III-Sources of Funds'!$P$38="", 0,-'Part III-Sources of Funds'!$P$38)</f>
        <v>-229027.36486498272</v>
      </c>
      <c r="I1072" s="1564">
        <f>IF('Part III-Sources of Funds'!$P$38="", 0,-'Part III-Sources of Funds'!$P$38)</f>
        <v>-229027.36486498272</v>
      </c>
      <c r="J1072" s="1564">
        <f>IF('Part III-Sources of Funds'!$P$38="", 0,-'Part III-Sources of Funds'!$P$38)</f>
        <v>-229027.36486498272</v>
      </c>
      <c r="K1072" s="1564">
        <f>IF('Part III-Sources of Funds'!$P$38="", 0,-'Part III-Sources of Funds'!$P$38)</f>
        <v>-229027.36486498272</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6">+B1077</f>
        <v>-5000</v>
      </c>
      <c r="D1077" s="1564">
        <f t="shared" si="366"/>
        <v>-5000</v>
      </c>
      <c r="E1077" s="1564">
        <f t="shared" si="366"/>
        <v>-5000</v>
      </c>
      <c r="F1077" s="1564">
        <f t="shared" si="366"/>
        <v>-5000</v>
      </c>
      <c r="G1077" s="1564">
        <f t="shared" si="366"/>
        <v>-5000</v>
      </c>
      <c r="H1077" s="1564">
        <f t="shared" si="366"/>
        <v>-5000</v>
      </c>
      <c r="I1077" s="1564">
        <f t="shared" si="366"/>
        <v>-5000</v>
      </c>
      <c r="J1077" s="1564">
        <f t="shared" si="366"/>
        <v>-5000</v>
      </c>
      <c r="K1077" s="1564">
        <f t="shared" si="366"/>
        <v>-5000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23234.703557021516</v>
      </c>
      <c r="C1079" s="1564">
        <f>'Part VII-Pro Forma'!C64</f>
        <v>25114.362597510459</v>
      </c>
      <c r="D1079" s="1564">
        <f>'Part VII-Pro Forma'!D64</f>
        <v>26901.09310897097</v>
      </c>
      <c r="E1079" s="1564">
        <f>'Part VII-Pro Forma'!E64</f>
        <v>28589.450469526702</v>
      </c>
      <c r="F1079" s="1564">
        <f>'Part VII-Pro Forma'!F64</f>
        <v>30173.763983325924</v>
      </c>
      <c r="G1079" s="1564">
        <f>'Part VII-Pro Forma'!G64</f>
        <v>85360.862176947528</v>
      </c>
      <c r="H1079" s="1564">
        <f>'Part VII-Pro Forma'!H64</f>
        <v>86718.131162941689</v>
      </c>
      <c r="I1079" s="1564">
        <f>'Part VII-Pro Forma'!I64</f>
        <v>87950.906062010326</v>
      </c>
      <c r="J1079" s="1564">
        <f>'Part VII-Pro Forma'!J64</f>
        <v>89052.528808415402</v>
      </c>
      <c r="K1079" s="1564">
        <f>'Part VII-Pro Forma'!K64</f>
        <v>90016.072329584451</v>
      </c>
      <c r="N1079" s="1521">
        <f>'Part VII-Pro Forma'!N64</f>
        <v>0</v>
      </c>
      <c r="O1079" s="1521"/>
    </row>
    <row r="1080" spans="1:15">
      <c r="A1080" s="638" t="str">
        <f>$A1048</f>
        <v>DCR Mortgage A</v>
      </c>
      <c r="B1080" s="1565">
        <f>'Part VII-Pro Forma'!B65</f>
        <v>1.3578106788185136</v>
      </c>
      <c r="C1080" s="1565">
        <f>'Part VII-Pro Forma'!C65</f>
        <v>1.3660178161690963</v>
      </c>
      <c r="D1080" s="1565">
        <f>'Part VII-Pro Forma'!D65</f>
        <v>1.373819200569226</v>
      </c>
      <c r="E1080" s="1565">
        <f>'Part VII-Pro Forma'!E65</f>
        <v>1.3811910592183052</v>
      </c>
      <c r="F1080" s="1565">
        <f>'Part VII-Pro Forma'!F65</f>
        <v>1.3881086322110925</v>
      </c>
      <c r="G1080" s="1565">
        <f>'Part VII-Pro Forma'!G65</f>
        <v>1.394541771155676</v>
      </c>
      <c r="H1080" s="1565">
        <f>'Part VII-Pro Forma'!H65</f>
        <v>1.4004680017910165</v>
      </c>
      <c r="I1080" s="1565">
        <f>'Part VII-Pro Forma'!I65</f>
        <v>1.4058506550813574</v>
      </c>
      <c r="J1080" s="1565">
        <f>'Part VII-Pro Forma'!J65</f>
        <v>1.4106606599777354</v>
      </c>
      <c r="K1080" s="1565">
        <f>'Part VII-Pro Forma'!K65</f>
        <v>1.4148677708692092</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1.3578106788185136</v>
      </c>
      <c r="C1084" s="1565">
        <f>'Part VII-Pro Forma'!C69</f>
        <v>1.3660178161690963</v>
      </c>
      <c r="D1084" s="1565">
        <f>'Part VII-Pro Forma'!D69</f>
        <v>1.373819200569226</v>
      </c>
      <c r="E1084" s="1565">
        <f>'Part VII-Pro Forma'!E69</f>
        <v>1.3811910592183052</v>
      </c>
      <c r="F1084" s="1565">
        <f>'Part VII-Pro Forma'!F69</f>
        <v>1.3881086322110925</v>
      </c>
      <c r="G1084" s="1565">
        <f>'Part VII-Pro Forma'!G69</f>
        <v>1.394541771155676</v>
      </c>
      <c r="H1084" s="1565">
        <f>'Part VII-Pro Forma'!H69</f>
        <v>1.4004680017910165</v>
      </c>
      <c r="I1084" s="1565">
        <f>'Part VII-Pro Forma'!I69</f>
        <v>1.4058506550813574</v>
      </c>
      <c r="J1084" s="1565">
        <f>'Part VII-Pro Forma'!J69</f>
        <v>1.4106606599777354</v>
      </c>
      <c r="K1084" s="1565">
        <f>'Part VII-Pro Forma'!K69</f>
        <v>1.4148677708692092</v>
      </c>
      <c r="N1084" s="1521">
        <f>'Part VII-Pro Forma'!N69</f>
        <v>0</v>
      </c>
      <c r="O1084" s="1521"/>
    </row>
    <row r="1085" spans="1:15">
      <c r="A1085" s="638" t="s">
        <v>770</v>
      </c>
      <c r="B1085" s="1566">
        <f>'Part VII-Pro Forma'!B70</f>
        <v>1.6571544479801448</v>
      </c>
      <c r="C1085" s="1566">
        <f>'Part VII-Pro Forma'!C70</f>
        <v>1.6423874666747453</v>
      </c>
      <c r="D1085" s="1566">
        <f>'Part VII-Pro Forma'!D70</f>
        <v>1.6277393321165479</v>
      </c>
      <c r="E1085" s="1566">
        <f>'Part VII-Pro Forma'!E70</f>
        <v>1.613210375781037</v>
      </c>
      <c r="F1085" s="1566">
        <f>'Part VII-Pro Forma'!F70</f>
        <v>1.5988007953506902</v>
      </c>
      <c r="G1085" s="1566">
        <f>'Part VII-Pro Forma'!G70</f>
        <v>1.5845077657139452</v>
      </c>
      <c r="H1085" s="1566">
        <f>'Part VII-Pro Forma'!H70</f>
        <v>1.5703343634210496</v>
      </c>
      <c r="I1085" s="1566">
        <f>'Part VII-Pro Forma'!I70</f>
        <v>1.5562750574588315</v>
      </c>
      <c r="J1085" s="1566">
        <f>'Part VII-Pro Forma'!J70</f>
        <v>1.5423301987244002</v>
      </c>
      <c r="K1085" s="1566">
        <f>'Part VII-Pro Forma'!K70</f>
        <v>1.5285000083178799</v>
      </c>
      <c r="N1085" s="1521">
        <f>'Part VII-Pro Forma'!N70</f>
        <v>0</v>
      </c>
      <c r="O1085" s="1521"/>
    </row>
    <row r="1086" spans="1:15">
      <c r="A1086" s="638" t="s">
        <v>2618</v>
      </c>
      <c r="B1086" s="1564">
        <f>'Part VII-Pro Forma'!B71</f>
        <v>1970426.8723470203</v>
      </c>
      <c r="C1086" s="1564">
        <f>'Part VII-Pro Forma'!C71</f>
        <v>1760141.7086849029</v>
      </c>
      <c r="D1086" s="1564">
        <f>'Part VII-Pro Forma'!D71</f>
        <v>1547744.0284934815</v>
      </c>
      <c r="E1086" s="1564">
        <f>'Part VII-Pro Forma'!E71</f>
        <v>1333212.6095143291</v>
      </c>
      <c r="F1086" s="1564">
        <f>'Part VII-Pro Forma'!F71</f>
        <v>1116526.0162910409</v>
      </c>
      <c r="G1086" s="1564">
        <f>'Part VII-Pro Forma'!G71</f>
        <v>897662.59802745515</v>
      </c>
      <c r="H1086" s="1564">
        <f>'Part VII-Pro Forma'!H71</f>
        <v>676600.48642435879</v>
      </c>
      <c r="I1086" s="1564">
        <f>'Part VII-Pro Forma'!I71</f>
        <v>453317.59349446022</v>
      </c>
      <c r="J1086" s="1564">
        <f>'Part VII-Pro Forma'!J71</f>
        <v>227791.60935541132</v>
      </c>
      <c r="K1086" s="1564">
        <f>'Part VII-Pro Forma'!K71</f>
        <v>6.5864878706634045E-7</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214854.93333333358</v>
      </c>
      <c r="C1090" s="1564">
        <f>'Part VII-Pro Forma'!C75</f>
        <v>161141.20000000024</v>
      </c>
      <c r="D1090" s="1564">
        <f>'Part VII-Pro Forma'!D75</f>
        <v>107427.46666666691</v>
      </c>
      <c r="E1090" s="1564">
        <f>'Part VII-Pro Forma'!E75</f>
        <v>53713.733333333577</v>
      </c>
      <c r="F1090" s="1564">
        <f>'Part VII-Pro Forma'!F75</f>
        <v>2.4738255888223648E-10</v>
      </c>
      <c r="G1090" s="1564">
        <f>'Part VII-Pro Forma'!G75</f>
        <v>2.4738255888223648E-10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7">B1092+1</f>
        <v>22</v>
      </c>
      <c r="D1092" s="1564">
        <f t="shared" si="367"/>
        <v>23</v>
      </c>
      <c r="E1092" s="1564">
        <f t="shared" si="367"/>
        <v>24</v>
      </c>
      <c r="F1092" s="1564">
        <f t="shared" si="367"/>
        <v>25</v>
      </c>
      <c r="G1092" s="1564">
        <f t="shared" si="367"/>
        <v>26</v>
      </c>
      <c r="H1092" s="1564">
        <f t="shared" si="367"/>
        <v>27</v>
      </c>
      <c r="I1092" s="1564">
        <f t="shared" si="367"/>
        <v>28</v>
      </c>
      <c r="J1092" s="1564">
        <f t="shared" si="367"/>
        <v>29</v>
      </c>
      <c r="K1092" s="1564">
        <f t="shared" si="367"/>
        <v>30</v>
      </c>
      <c r="N1092" s="1794" t="s">
        <v>2624</v>
      </c>
      <c r="O1092" s="1794"/>
    </row>
    <row r="1093" spans="1:15">
      <c r="A1093" s="638" t="s">
        <v>2405</v>
      </c>
      <c r="B1093" s="1564">
        <f>'Part VII-Pro Forma'!B78</f>
        <v>1007721.9736358485</v>
      </c>
      <c r="C1093" s="1564">
        <f>'Part VII-Pro Forma'!C78</f>
        <v>1027876.4131085654</v>
      </c>
      <c r="D1093" s="1564">
        <f>'Part VII-Pro Forma'!D78</f>
        <v>1048433.9413707368</v>
      </c>
      <c r="E1093" s="1564">
        <f>'Part VII-Pro Forma'!E78</f>
        <v>1069402.6201981513</v>
      </c>
      <c r="F1093" s="1564">
        <f>'Part VII-Pro Forma'!F78</f>
        <v>1090790.6726021145</v>
      </c>
      <c r="G1093" s="1564">
        <f>'Part VII-Pro Forma'!G78</f>
        <v>1112606.4860541567</v>
      </c>
      <c r="H1093" s="1564">
        <f>'Part VII-Pro Forma'!H78</f>
        <v>1134858.6157752399</v>
      </c>
      <c r="I1093" s="1564">
        <f>'Part VII-Pro Forma'!I78</f>
        <v>1157555.7880907445</v>
      </c>
      <c r="J1093" s="1564">
        <f>'Part VII-Pro Forma'!J78</f>
        <v>1180706.9038525596</v>
      </c>
      <c r="K1093" s="1564">
        <f>'Part VII-Pro Forma'!K78</f>
        <v>1204321.0419296108</v>
      </c>
      <c r="N1093" s="1521">
        <f>'Part VII-Pro Forma'!N78</f>
        <v>0</v>
      </c>
      <c r="O1093" s="1521"/>
    </row>
    <row r="1094" spans="1:15">
      <c r="A1094" s="638" t="s">
        <v>1016</v>
      </c>
      <c r="B1094" s="1564">
        <f>'Part VII-Pro Forma'!B79</f>
        <v>20154.439472716971</v>
      </c>
      <c r="C1094" s="1564">
        <f>'Part VII-Pro Forma'!C79</f>
        <v>20557.528262171309</v>
      </c>
      <c r="D1094" s="1564">
        <f>'Part VII-Pro Forma'!D79</f>
        <v>20968.678827414737</v>
      </c>
      <c r="E1094" s="1564">
        <f>'Part VII-Pro Forma'!E79</f>
        <v>21388.052403963029</v>
      </c>
      <c r="F1094" s="1564">
        <f>'Part VII-Pro Forma'!F79</f>
        <v>21815.81345204229</v>
      </c>
      <c r="G1094" s="1564">
        <f>'Part VII-Pro Forma'!G79</f>
        <v>22252.129721083136</v>
      </c>
      <c r="H1094" s="1564">
        <f>'Part VII-Pro Forma'!H79</f>
        <v>22697.172315504802</v>
      </c>
      <c r="I1094" s="1564">
        <f>'Part VII-Pro Forma'!I79</f>
        <v>23151.115761814894</v>
      </c>
      <c r="J1094" s="1564">
        <f>'Part VII-Pro Forma'!J79</f>
        <v>23614.138077051193</v>
      </c>
      <c r="K1094" s="1564">
        <f>'Part VII-Pro Forma'!K79</f>
        <v>24086.420838592214</v>
      </c>
      <c r="N1094" s="1521">
        <f>'Part VII-Pro Forma'!N79</f>
        <v>0</v>
      </c>
      <c r="O1094" s="1521"/>
    </row>
    <row r="1095" spans="1:15">
      <c r="A1095" s="638" t="s">
        <v>2406</v>
      </c>
      <c r="B1095" s="1564">
        <f>'Part VII-Pro Forma'!B80</f>
        <v>-71951.348917599593</v>
      </c>
      <c r="C1095" s="1564">
        <f>'Part VII-Pro Forma'!C80</f>
        <v>-73390.375895951569</v>
      </c>
      <c r="D1095" s="1564">
        <f>'Part VII-Pro Forma'!D80</f>
        <v>-74858.183413870618</v>
      </c>
      <c r="E1095" s="1564">
        <f>'Part VII-Pro Forma'!E80</f>
        <v>-76355.347082148</v>
      </c>
      <c r="F1095" s="1564">
        <f>'Part VII-Pro Forma'!F80</f>
        <v>-77882.454023790997</v>
      </c>
      <c r="G1095" s="1564">
        <f>'Part VII-Pro Forma'!G80</f>
        <v>-79440.103104266804</v>
      </c>
      <c r="H1095" s="1564">
        <f>'Part VII-Pro Forma'!H80</f>
        <v>-81028.905166352139</v>
      </c>
      <c r="I1095" s="1564">
        <f>'Part VII-Pro Forma'!I80</f>
        <v>-82649.483269679171</v>
      </c>
      <c r="J1095" s="1564">
        <f>'Part VII-Pro Forma'!J80</f>
        <v>-84302.472935072758</v>
      </c>
      <c r="K1095" s="1564">
        <f>'Part VII-Pro Forma'!K80</f>
        <v>-85988.522393774212</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4935</v>
      </c>
      <c r="B1098" s="1564">
        <f>'Part VII-Pro Forma'!B83</f>
        <v>955925.06419096584</v>
      </c>
      <c r="C1098" s="1564">
        <f>'Part VII-Pro Forma'!C83</f>
        <v>975043.56547478517</v>
      </c>
      <c r="D1098" s="1564">
        <f>'Part VII-Pro Forma'!D83</f>
        <v>994544.43678428093</v>
      </c>
      <c r="E1098" s="1564">
        <f>'Part VII-Pro Forma'!E83</f>
        <v>1014435.3255199663</v>
      </c>
      <c r="F1098" s="1564">
        <f>'Part VII-Pro Forma'!F83</f>
        <v>1034724.0320303659</v>
      </c>
      <c r="G1098" s="1564">
        <f>'Part VII-Pro Forma'!G83</f>
        <v>1055418.5126709731</v>
      </c>
      <c r="H1098" s="1564">
        <f>'Part VII-Pro Forma'!H83</f>
        <v>1076526.8829243926</v>
      </c>
      <c r="I1098" s="1564">
        <f>'Part VII-Pro Forma'!I83</f>
        <v>1098057.4205828803</v>
      </c>
      <c r="J1098" s="1564">
        <f>'Part VII-Pro Forma'!J83</f>
        <v>1120018.5689945379</v>
      </c>
      <c r="K1098" s="1564">
        <f>'Part VII-Pro Forma'!K83</f>
        <v>1142418.9403744286</v>
      </c>
      <c r="N1098" s="1521">
        <f>'Part VII-Pro Forma'!N83</f>
        <v>0</v>
      </c>
      <c r="O1098" s="1521"/>
    </row>
    <row r="1099" spans="1:15">
      <c r="A1099" s="638" t="s">
        <v>614</v>
      </c>
      <c r="B1099" s="1564">
        <f>'Part VII-Pro Forma'!B84</f>
        <v>-545339.03230731736</v>
      </c>
      <c r="C1099" s="1564">
        <f>'Part VII-Pro Forma'!C84</f>
        <v>-561699.20327653678</v>
      </c>
      <c r="D1099" s="1564">
        <f>'Part VII-Pro Forma'!D84</f>
        <v>-578550.17937483289</v>
      </c>
      <c r="E1099" s="1564">
        <f>'Part VII-Pro Forma'!E84</f>
        <v>-595906.68475607794</v>
      </c>
      <c r="F1099" s="1564">
        <f>'Part VII-Pro Forma'!F84</f>
        <v>-613783.88529876014</v>
      </c>
      <c r="G1099" s="1564">
        <f>'Part VII-Pro Forma'!G84</f>
        <v>-632197.40185772302</v>
      </c>
      <c r="H1099" s="1564">
        <f>'Part VII-Pro Forma'!H84</f>
        <v>-651163.32391345478</v>
      </c>
      <c r="I1099" s="1564">
        <f>'Part VII-Pro Forma'!I84</f>
        <v>-670698.22363085835</v>
      </c>
      <c r="J1099" s="1564">
        <f>'Part VII-Pro Forma'!J84</f>
        <v>-690819.17033978412</v>
      </c>
      <c r="K1099" s="1564">
        <f>'Part VII-Pro Forma'!K84</f>
        <v>-711543.74544997758</v>
      </c>
      <c r="N1099" s="1521">
        <f>'Part VII-Pro Forma'!N84</f>
        <v>0</v>
      </c>
      <c r="O1099" s="1521"/>
    </row>
    <row r="1100" spans="1:15">
      <c r="A1100" s="638" t="s">
        <v>1115</v>
      </c>
      <c r="B1100" s="1564">
        <f>'Part VII-Pro Forma'!B85</f>
        <v>-47796</v>
      </c>
      <c r="C1100" s="1564">
        <f>'Part VII-Pro Forma'!C85</f>
        <v>-48752</v>
      </c>
      <c r="D1100" s="1564">
        <f>'Part VII-Pro Forma'!D85</f>
        <v>-49727</v>
      </c>
      <c r="E1100" s="1564">
        <f>'Part VII-Pro Forma'!E85</f>
        <v>-50722</v>
      </c>
      <c r="F1100" s="1564">
        <f>'Part VII-Pro Forma'!F85</f>
        <v>-51736</v>
      </c>
      <c r="G1100" s="1564">
        <f>'Part VII-Pro Forma'!G85</f>
        <v>-52771</v>
      </c>
      <c r="H1100" s="1564">
        <f>'Part VII-Pro Forma'!H85</f>
        <v>-53826</v>
      </c>
      <c r="I1100" s="1564">
        <f>'Part VII-Pro Forma'!I85</f>
        <v>-54903</v>
      </c>
      <c r="J1100" s="1564">
        <f>'Part VII-Pro Forma'!J85</f>
        <v>-56001</v>
      </c>
      <c r="K1100" s="1564">
        <f>'Part VII-Pro Forma'!K85</f>
        <v>-57121</v>
      </c>
      <c r="N1100" s="1521">
        <f>'Part VII-Pro Forma'!N85</f>
        <v>0</v>
      </c>
      <c r="O1100" s="1521"/>
    </row>
    <row r="1101" spans="1:15">
      <c r="A1101" s="638" t="s">
        <v>1202</v>
      </c>
      <c r="B1101" s="1564">
        <f>'Part VII-Pro Forma'!B86</f>
        <v>-37928.335928057677</v>
      </c>
      <c r="C1101" s="1564">
        <f>'Part VII-Pro Forma'!C86</f>
        <v>-39066.186005899406</v>
      </c>
      <c r="D1101" s="1564">
        <f>'Part VII-Pro Forma'!D86</f>
        <v>-40238.171586076387</v>
      </c>
      <c r="E1101" s="1564">
        <f>'Part VII-Pro Forma'!E86</f>
        <v>-41445.316733658685</v>
      </c>
      <c r="F1101" s="1564">
        <f>'Part VII-Pro Forma'!F86</f>
        <v>-42688.676235668441</v>
      </c>
      <c r="G1101" s="1564">
        <f>'Part VII-Pro Forma'!G86</f>
        <v>-43969.336522738493</v>
      </c>
      <c r="H1101" s="1564">
        <f>'Part VII-Pro Forma'!H86</f>
        <v>-45288.416618420655</v>
      </c>
      <c r="I1101" s="1564">
        <f>'Part VII-Pro Forma'!I86</f>
        <v>-46647.069116973267</v>
      </c>
      <c r="J1101" s="1564">
        <f>'Part VII-Pro Forma'!J86</f>
        <v>-48046.481190482467</v>
      </c>
      <c r="K1101" s="1564">
        <f>'Part VII-Pro Forma'!K86</f>
        <v>-49487.875626196932</v>
      </c>
      <c r="N1101" s="1521">
        <f>'Part VII-Pro Forma'!N86</f>
        <v>0</v>
      </c>
      <c r="O1101" s="1521"/>
    </row>
    <row r="1102" spans="1:15">
      <c r="A1102" s="638" t="s">
        <v>4934</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324861.69595559081</v>
      </c>
      <c r="C1103" s="1564">
        <f t="shared" ref="C1103:J1103" si="368">SUM(C1098:C1102)</f>
        <v>325526.176192349</v>
      </c>
      <c r="D1103" s="1564">
        <f t="shared" si="368"/>
        <v>326029.08582337166</v>
      </c>
      <c r="E1103" s="1564">
        <f t="shared" si="368"/>
        <v>326361.32403022971</v>
      </c>
      <c r="F1103" s="1564">
        <f t="shared" si="368"/>
        <v>326515.47049593733</v>
      </c>
      <c r="G1103" s="1564">
        <f t="shared" si="368"/>
        <v>326480.77429051156</v>
      </c>
      <c r="H1103" s="1564">
        <f t="shared" si="368"/>
        <v>326249.14239251718</v>
      </c>
      <c r="I1103" s="1564">
        <f t="shared" si="368"/>
        <v>325809.12783504865</v>
      </c>
      <c r="J1103" s="1564">
        <f t="shared" si="368"/>
        <v>325151.91746427136</v>
      </c>
      <c r="K1103" s="1564">
        <f>SUM(K1098:K1102)</f>
        <v>324266.31929825415</v>
      </c>
      <c r="N1103" s="1521">
        <f>'Part VII-Pro Forma'!N88</f>
        <v>0</v>
      </c>
      <c r="O1103" s="1521"/>
    </row>
    <row r="1104" spans="1:15">
      <c r="A1104" s="638" t="str">
        <f>$A1072</f>
        <v>Mortgage A</v>
      </c>
      <c r="B1104" s="1564">
        <f>IF('Part III-Sources of Funds'!$P$38="", 0,-'Part III-Sources of Funds'!$P$38)</f>
        <v>-229027.36486498272</v>
      </c>
      <c r="C1104" s="1564">
        <f>IF('Part III-Sources of Funds'!$P$38="", 0,-'Part III-Sources of Funds'!$P$38)</f>
        <v>-229027.36486498272</v>
      </c>
      <c r="D1104" s="1564">
        <f>IF('Part III-Sources of Funds'!$P$38="", 0,-'Part III-Sources of Funds'!$P$38)</f>
        <v>-229027.36486498272</v>
      </c>
      <c r="E1104" s="1564">
        <f>IF('Part III-Sources of Funds'!$P$38="", 0,-'Part III-Sources of Funds'!$P$38)</f>
        <v>-229027.36486498272</v>
      </c>
      <c r="F1104" s="1564">
        <f>IF('Part III-Sources of Funds'!$P$38="", 0,-'Part III-Sources of Funds'!$P$38)</f>
        <v>-229027.36486498272</v>
      </c>
      <c r="G1104" s="1564">
        <f>IF('Part III-Sources of Funds'!$P$38="", 0,-'Part III-Sources of Funds'!$P$38)</f>
        <v>-229027.36486498272</v>
      </c>
      <c r="H1104" s="1564">
        <f>IF('Part III-Sources of Funds'!$P$38="", 0,-'Part III-Sources of Funds'!$P$38)</f>
        <v>-229027.36486498272</v>
      </c>
      <c r="I1104" s="1564">
        <f>IF('Part III-Sources of Funds'!$P$38="", 0,-'Part III-Sources of Funds'!$P$38)</f>
        <v>-229027.36486498272</v>
      </c>
      <c r="J1104" s="1564">
        <f>IF('Part III-Sources of Funds'!$P$38="", 0,-'Part III-Sources of Funds'!$P$38)</f>
        <v>-229027.36486498272</v>
      </c>
      <c r="K1104" s="1564">
        <f>IF('Part III-Sources of Funds'!$P$38="", 0,-'Part III-Sources of Funds'!$P$38)</f>
        <v>-229027.36486498272</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69">+B1109</f>
        <v>-5000</v>
      </c>
      <c r="D1109" s="1564">
        <f t="shared" si="369"/>
        <v>-5000</v>
      </c>
      <c r="E1109" s="1564">
        <f t="shared" si="369"/>
        <v>-5000</v>
      </c>
      <c r="F1109" s="1564">
        <f t="shared" si="369"/>
        <v>-5000</v>
      </c>
      <c r="G1109" s="1564">
        <f t="shared" si="369"/>
        <v>-5000</v>
      </c>
      <c r="H1109" s="1564">
        <f t="shared" si="369"/>
        <v>-5000</v>
      </c>
      <c r="I1109" s="1564">
        <f t="shared" si="369"/>
        <v>-5000</v>
      </c>
      <c r="J1109" s="1564">
        <f t="shared" si="369"/>
        <v>-5000</v>
      </c>
      <c r="K1109" s="1564">
        <f t="shared" si="369"/>
        <v>-5000</v>
      </c>
      <c r="N1109" s="1521">
        <f>'Part VII-Pro Forma'!N94</f>
        <v>0</v>
      </c>
      <c r="O1109" s="1521"/>
    </row>
    <row r="1110" spans="1:15">
      <c r="A1110" s="638" t="s">
        <v>1164</v>
      </c>
      <c r="B1110" s="1564">
        <f>'Part VII-Pro Forma'!B95</f>
        <v>319861.69595559081</v>
      </c>
      <c r="C1110" s="1564">
        <f>'Part VII-Pro Forma'!C95</f>
        <v>320526.176192349</v>
      </c>
      <c r="D1110" s="1564">
        <f>'Part VII-Pro Forma'!D95</f>
        <v>321029.08582337166</v>
      </c>
      <c r="E1110" s="1564">
        <f>'Part VII-Pro Forma'!E95</f>
        <v>321361.32403022971</v>
      </c>
      <c r="F1110" s="1564">
        <f>'Part VII-Pro Forma'!F95</f>
        <v>321515.47049593733</v>
      </c>
      <c r="G1110" s="1564">
        <f>'Part VII-Pro Forma'!G95</f>
        <v>321480.77429051156</v>
      </c>
      <c r="H1110" s="1564">
        <f>'Part VII-Pro Forma'!H95</f>
        <v>321249.14239251718</v>
      </c>
      <c r="I1110" s="1564">
        <f>'Part VII-Pro Forma'!I95</f>
        <v>320809.12783504865</v>
      </c>
      <c r="J1110" s="1564">
        <f>'Part VII-Pro Forma'!J95</f>
        <v>320151.91746427136</v>
      </c>
      <c r="K1110" s="1564">
        <f>'Part VII-Pro Forma'!K95</f>
        <v>319266.31929825415</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770</v>
      </c>
      <c r="B1116" s="1566">
        <f>'Part VII-Pro Forma'!B101</f>
        <v>1.5147845878996153</v>
      </c>
      <c r="C1116" s="1566">
        <f>'Part VII-Pro Forma'!C101</f>
        <v>1.5011816181734237</v>
      </c>
      <c r="D1116" s="1566">
        <f>'Part VII-Pro Forma'!D101</f>
        <v>1.4876912480091065</v>
      </c>
      <c r="E1116" s="1566">
        <f>'Part VII-Pro Forma'!E101</f>
        <v>1.4743113725030021</v>
      </c>
      <c r="F1116" s="1566">
        <f>'Part VII-Pro Forma'!F101</f>
        <v>1.4610442293842054</v>
      </c>
      <c r="G1116" s="1566">
        <f>'Part VII-Pro Forma'!G101</f>
        <v>1.4478856795312585</v>
      </c>
      <c r="H1116" s="1566">
        <f>'Part VII-Pro Forma'!H101</f>
        <v>1.4348378270708626</v>
      </c>
      <c r="I1116" s="1566">
        <f>'Part VII-Pro Forma'!I101</f>
        <v>1.4218968573899298</v>
      </c>
      <c r="J1116" s="1566">
        <f>'Part VII-Pro Forma'!J101</f>
        <v>1.4090647366300917</v>
      </c>
      <c r="K1116" s="1566">
        <f>'Part VII-Pro Forma'!K101</f>
        <v>1.3963396448840113</v>
      </c>
      <c r="N1116" s="1521">
        <f>'Part VII-Pro Forma'!N101</f>
        <v>0</v>
      </c>
      <c r="O1116" s="1521"/>
    </row>
    <row r="1117" spans="1:15">
      <c r="A1117" s="638" t="s">
        <v>2618</v>
      </c>
      <c r="B1117" s="1564">
        <f>'Part VII-Pro Forma'!B102</f>
        <v>6.6526554701959787E-7</v>
      </c>
      <c r="C1117" s="1564">
        <f>'Part VII-Pro Forma'!C102</f>
        <v>6.7194877868454555E-7</v>
      </c>
      <c r="D1117" s="1564">
        <f>'Part VII-Pro Forma'!D102</f>
        <v>6.7869914983339926E-7</v>
      </c>
      <c r="E1117" s="1564">
        <f>'Part VII-Pro Forma'!E102</f>
        <v>6.8551733494678826E-7</v>
      </c>
      <c r="F1117" s="1564">
        <f>'Part VII-Pro Forma'!F102</f>
        <v>6.9240401528114801E-7</v>
      </c>
      <c r="G1117" s="1564">
        <f>'Part VII-Pro Forma'!G102</f>
        <v>6.9935987893678918E-7</v>
      </c>
      <c r="H1117" s="1564">
        <f>'Part VII-Pro Forma'!H102</f>
        <v>7.0638562092665146E-7</v>
      </c>
      <c r="I1117" s="1564">
        <f>'Part VII-Pro Forma'!I102</f>
        <v>7.1348194324574741E-7</v>
      </c>
      <c r="J1117" s="1564">
        <f>'Part VII-Pro Forma'!J102</f>
        <v>7.206495549413038E-7</v>
      </c>
      <c r="K1117" s="1564">
        <f>'Part VII-Pro Forma'!K102</f>
        <v>7.2788917218360821E-7</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2405</v>
      </c>
      <c r="B1123" s="1564">
        <f>'Part VII-Pro Forma'!B108</f>
        <v>1228407.4627682031</v>
      </c>
      <c r="C1123" s="1564">
        <f>'Part VII-Pro Forma'!C108</f>
        <v>1252975.6120235668</v>
      </c>
      <c r="D1123" s="1564">
        <f>'Part VII-Pro Forma'!D108</f>
        <v>1278035.1242640384</v>
      </c>
      <c r="E1123" s="1564">
        <f>'Part VII-Pro Forma'!E108</f>
        <v>1303595.8267493192</v>
      </c>
      <c r="F1123" s="1564">
        <f>'Part VII-Pro Forma'!F108</f>
        <v>1329667.7432843056</v>
      </c>
      <c r="G1123" s="1564"/>
      <c r="H1123" s="1564"/>
      <c r="I1123" s="1564"/>
      <c r="J1123" s="1564"/>
      <c r="K1123" s="1564"/>
      <c r="N1123" s="1521">
        <f>'Part VII-Pro Forma'!N108</f>
        <v>0</v>
      </c>
      <c r="O1123" s="1521"/>
    </row>
    <row r="1124" spans="1:15">
      <c r="A1124" s="638" t="s">
        <v>1016</v>
      </c>
      <c r="B1124" s="1564">
        <f>'Part VII-Pro Forma'!B109</f>
        <v>24568.14925536406</v>
      </c>
      <c r="C1124" s="1564">
        <f>'Part VII-Pro Forma'!C109</f>
        <v>25059.512240471337</v>
      </c>
      <c r="D1124" s="1564">
        <f>'Part VII-Pro Forma'!D109</f>
        <v>25560.70248528077</v>
      </c>
      <c r="E1124" s="1564">
        <f>'Part VII-Pro Forma'!E109</f>
        <v>26071.916534986387</v>
      </c>
      <c r="F1124" s="1564">
        <f>'Part VII-Pro Forma'!F109</f>
        <v>26593.354865686109</v>
      </c>
      <c r="G1124" s="1564"/>
      <c r="H1124" s="1564"/>
      <c r="I1124" s="1564"/>
      <c r="J1124" s="1564"/>
      <c r="K1124" s="1564"/>
      <c r="N1124" s="1521">
        <f>'Part VII-Pro Forma'!N109</f>
        <v>0</v>
      </c>
      <c r="O1124" s="1521"/>
    </row>
    <row r="1125" spans="1:15">
      <c r="A1125" s="638" t="s">
        <v>2406</v>
      </c>
      <c r="B1125" s="1564">
        <f>'Part VII-Pro Forma'!B110</f>
        <v>-87708.292841649702</v>
      </c>
      <c r="C1125" s="1564">
        <f>'Part VII-Pro Forma'!C110</f>
        <v>-89462.458698482675</v>
      </c>
      <c r="D1125" s="1564">
        <f>'Part VII-Pro Forma'!D110</f>
        <v>-91251.70787245236</v>
      </c>
      <c r="E1125" s="1564">
        <f>'Part VII-Pro Forma'!E110</f>
        <v>-93076.742029901405</v>
      </c>
      <c r="F1125" s="1564">
        <f>'Part VII-Pro Forma'!F110</f>
        <v>-94938.276870499423</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4935</v>
      </c>
      <c r="B1128" s="1564">
        <f>'Part VII-Pro Forma'!B113</f>
        <v>1165267.3191819175</v>
      </c>
      <c r="C1128" s="1564">
        <f>'Part VII-Pro Forma'!C113</f>
        <v>1188572.6655655554</v>
      </c>
      <c r="D1128" s="1564">
        <f>'Part VII-Pro Forma'!D113</f>
        <v>1212344.1188768668</v>
      </c>
      <c r="E1128" s="1564">
        <f>'Part VII-Pro Forma'!E113</f>
        <v>1236591.0012544042</v>
      </c>
      <c r="F1128" s="1564">
        <f>'Part VII-Pro Forma'!F113</f>
        <v>1261322.8212794922</v>
      </c>
      <c r="G1128" s="1564"/>
      <c r="H1128" s="1564"/>
      <c r="I1128" s="1564"/>
      <c r="J1128" s="1564"/>
      <c r="K1128" s="1564"/>
      <c r="N1128" s="1521">
        <f>'Part VII-Pro Forma'!N113</f>
        <v>0</v>
      </c>
      <c r="O1128" s="1521"/>
    </row>
    <row r="1129" spans="1:15">
      <c r="A1129" s="638" t="s">
        <v>614</v>
      </c>
      <c r="B1129" s="1564">
        <f>'Part VII-Pro Forma'!B114</f>
        <v>-732890.05781347689</v>
      </c>
      <c r="C1129" s="1564">
        <f>'Part VII-Pro Forma'!C114</f>
        <v>-754876.75954788132</v>
      </c>
      <c r="D1129" s="1564">
        <f>'Part VII-Pro Forma'!D114</f>
        <v>-777523.0623343176</v>
      </c>
      <c r="E1129" s="1564">
        <f>'Part VII-Pro Forma'!E114</f>
        <v>-800848.75420434715</v>
      </c>
      <c r="F1129" s="1564">
        <f>'Part VII-Pro Forma'!F114</f>
        <v>-824874.21683047747</v>
      </c>
      <c r="G1129" s="1564"/>
      <c r="H1129" s="1564"/>
      <c r="I1129" s="1564"/>
      <c r="J1129" s="1564"/>
      <c r="K1129" s="1564"/>
      <c r="N1129" s="1521">
        <f>'Part VII-Pro Forma'!N114</f>
        <v>0</v>
      </c>
      <c r="O1129" s="1521"/>
    </row>
    <row r="1130" spans="1:15">
      <c r="A1130" s="638" t="s">
        <v>1115</v>
      </c>
      <c r="B1130" s="1564">
        <f>'Part VII-Pro Forma'!B115</f>
        <v>-58263</v>
      </c>
      <c r="C1130" s="1564">
        <f>'Part VII-Pro Forma'!C115</f>
        <v>-59429</v>
      </c>
      <c r="D1130" s="1564">
        <f>'Part VII-Pro Forma'!D115</f>
        <v>-60617</v>
      </c>
      <c r="E1130" s="1564">
        <f>'Part VII-Pro Forma'!E115</f>
        <v>-61830</v>
      </c>
      <c r="F1130" s="1564">
        <f>'Part VII-Pro Forma'!F115</f>
        <v>-63066</v>
      </c>
      <c r="G1130" s="1564"/>
      <c r="H1130" s="1564"/>
      <c r="I1130" s="1564"/>
      <c r="J1130" s="1564"/>
      <c r="K1130" s="1564"/>
      <c r="N1130" s="1521">
        <f>'Part VII-Pro Forma'!N115</f>
        <v>0</v>
      </c>
      <c r="O1130" s="1521"/>
    </row>
    <row r="1131" spans="1:15">
      <c r="A1131" s="638" t="s">
        <v>1202</v>
      </c>
      <c r="B1131" s="1564">
        <f>'Part VII-Pro Forma'!B116</f>
        <v>-50972.511894982839</v>
      </c>
      <c r="C1131" s="1564">
        <f>'Part VII-Pro Forma'!C116</f>
        <v>-52501.687251832336</v>
      </c>
      <c r="D1131" s="1564">
        <f>'Part VII-Pro Forma'!D116</f>
        <v>-54076.737869387296</v>
      </c>
      <c r="E1131" s="1564">
        <f>'Part VII-Pro Forma'!E116</f>
        <v>-55699.040005468916</v>
      </c>
      <c r="F1131" s="1564">
        <f>'Part VII-Pro Forma'!F116</f>
        <v>-57370.011205632974</v>
      </c>
      <c r="G1131" s="1564"/>
      <c r="H1131" s="1564"/>
      <c r="I1131" s="1564"/>
      <c r="J1131" s="1564"/>
      <c r="K1131" s="1564"/>
      <c r="N1131" s="1521">
        <f>'Part VII-Pro Forma'!N116</f>
        <v>0</v>
      </c>
      <c r="O1131" s="1521"/>
    </row>
    <row r="1132" spans="1:15">
      <c r="A1132" s="638" t="s">
        <v>4934</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0">SUM(B1128:B1132)</f>
        <v>323141.74947345775</v>
      </c>
      <c r="C1133" s="1564">
        <f t="shared" si="370"/>
        <v>321765.2187658418</v>
      </c>
      <c r="D1133" s="1564">
        <f t="shared" si="370"/>
        <v>320127.31867316185</v>
      </c>
      <c r="E1133" s="1564">
        <f t="shared" si="370"/>
        <v>318213.20704458811</v>
      </c>
      <c r="F1133" s="1564">
        <f>SUM(F1128:F1132)</f>
        <v>316012.59324338177</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-229027.36486498272</v>
      </c>
      <c r="C1134" s="1564">
        <f>IF('Part III-Sources of Funds'!$P$38="", 0,-'Part III-Sources of Funds'!$P$38)</f>
        <v>-229027.36486498272</v>
      </c>
      <c r="D1134" s="1564">
        <f>IF('Part III-Sources of Funds'!$P$38="", 0,-'Part III-Sources of Funds'!$P$38)</f>
        <v>-229027.36486498272</v>
      </c>
      <c r="E1134" s="1564">
        <f>IF('Part III-Sources of Funds'!$P$38="", 0,-'Part III-Sources of Funds'!$P$38)</f>
        <v>-229027.36486498272</v>
      </c>
      <c r="F1134" s="1564">
        <f>IF('Part III-Sources of Funds'!$P$38="", 0,-'Part III-Sources of Funds'!$P$38)</f>
        <v>-229027.36486498272</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318141.74947345775</v>
      </c>
      <c r="C1140" s="1564">
        <f>'Part VII-Pro Forma'!C125</f>
        <v>316765.2187658418</v>
      </c>
      <c r="D1140" s="1564">
        <f>'Part VII-Pro Forma'!D125</f>
        <v>315127.31867316185</v>
      </c>
      <c r="E1140" s="1564">
        <f>'Part VII-Pro Forma'!E125</f>
        <v>313213.20704458811</v>
      </c>
      <c r="F1140" s="1564">
        <f>'Part VII-Pro Forma'!F125</f>
        <v>311012.59324338177</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1.3837215744266356</v>
      </c>
      <c r="C1146" s="1566">
        <f>'Part VII-Pro Forma'!C131</f>
        <v>1.3712072617209408</v>
      </c>
      <c r="D1146" s="1566">
        <f>'Part VII-Pro Forma'!D131</f>
        <v>1.3587999223956246</v>
      </c>
      <c r="E1146" s="1566">
        <f>'Part VII-Pro Forma'!E131</f>
        <v>1.3464948837513899</v>
      </c>
      <c r="F1146" s="1566">
        <f>'Part VII-Pro Forma'!F131</f>
        <v>1.3342951169584831</v>
      </c>
      <c r="G1146" s="1564"/>
      <c r="H1146" s="1564"/>
      <c r="I1146" s="1564"/>
      <c r="J1146" s="1564"/>
      <c r="K1146" s="1564"/>
      <c r="N1146" s="1521">
        <f>'Part VII-Pro Forma'!N131</f>
        <v>0</v>
      </c>
      <c r="O1146" s="1521"/>
    </row>
    <row r="1147" spans="1:15">
      <c r="A1147" s="638" t="s">
        <v>2618</v>
      </c>
      <c r="B1147" s="1564">
        <f>'Part VII-Pro Forma'!B132</f>
        <v>7.3520151833756695E-7</v>
      </c>
      <c r="C1147" s="1564">
        <f>'Part VII-Pro Forma'!C132</f>
        <v>7.4258732403498189E-7</v>
      </c>
      <c r="D1147" s="1564">
        <f>'Part VII-Pro Forma'!D132</f>
        <v>7.5004732724755339E-7</v>
      </c>
      <c r="E1147" s="1564">
        <f>'Part VII-Pro Forma'!E132</f>
        <v>7.5758227336061668E-7</v>
      </c>
      <c r="F1147" s="1564">
        <f>'Part VII-Pro Forma'!F132</f>
        <v>7.6519291524761878E-7</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 xml:space="preserve">Debt service coverage ratio is at or above 1.20 through Year 15. </v>
      </c>
      <c r="B1154" s="1391"/>
      <c r="C1154" s="1391"/>
      <c r="D1154" s="1391"/>
      <c r="E1154" s="1391"/>
      <c r="F1154" s="1391"/>
      <c r="G1154" s="1391">
        <f>'Part VII-Pro Forma'!G139</f>
        <v>0</v>
      </c>
      <c r="H1154" s="1391"/>
      <c r="I1154" s="1391"/>
      <c r="J1154" s="1391"/>
      <c r="K1154" s="1391"/>
      <c r="N1154" s="3122" t="s">
        <v>2694</v>
      </c>
      <c r="O1154" s="3122"/>
    </row>
    <row r="1159" spans="1:19" ht="12.75" customHeight="1">
      <c r="A1159" s="1314" t="str">
        <f>CONCATENATE("PART EIGHT - THRESHOLD CRITERIA","  -  ",'Part I-Project Information'!$O$6," ",'Part I-Project Information'!$F$34,", ",'Part I-Project Information'!F1196,", ",'Part I-Project Information'!J1197," County")</f>
        <v>PART EIGHT - THRESHOLD CRITERIA  -  2019-078 Abbington Sound, ,  County</v>
      </c>
      <c r="B1159" s="1314"/>
      <c r="C1159" s="1314"/>
      <c r="D1159" s="1314"/>
      <c r="E1159" s="1314"/>
      <c r="F1159" s="1314"/>
      <c r="G1159" s="1314"/>
      <c r="H1159" s="1314"/>
      <c r="I1159" s="1314"/>
      <c r="J1159" s="1314"/>
      <c r="K1159" s="1314"/>
      <c r="L1159" s="1314"/>
      <c r="M1159" s="1314"/>
      <c r="N1159" s="1314"/>
      <c r="O1159" s="1314"/>
      <c r="P1159" s="1314"/>
      <c r="Q1159" s="1314"/>
      <c r="R1159" s="3147" t="str">
        <f>'Part I-Project Information'!$B$6</f>
        <v>April 2019 Final</v>
      </c>
      <c r="S1159" s="3147"/>
    </row>
    <row r="1160" spans="1:19">
      <c r="R1160" s="3147"/>
      <c r="S1160" s="3147"/>
    </row>
    <row r="1161" spans="1:19" ht="20.25" customHeight="1">
      <c r="A1161" s="3171" t="str">
        <f>'Part VIII-Threshold Criteria'!A3</f>
        <v>Preliminary Rating: Incomplete</v>
      </c>
      <c r="B1161" s="3171"/>
      <c r="C1161" s="3171"/>
      <c r="D1161" s="3171"/>
      <c r="E1161" s="3171"/>
      <c r="F1161" s="3171"/>
      <c r="G1161" s="3171"/>
      <c r="H1161" s="3171" t="str">
        <f>'Part VIII-Threshold Criteria'!H3</f>
        <v/>
      </c>
      <c r="I1161" s="3171"/>
      <c r="J1161" s="3171"/>
      <c r="K1161" s="3171"/>
      <c r="L1161" s="3171"/>
      <c r="M1161" s="3171"/>
      <c r="N1161" s="3171"/>
      <c r="O1161" s="1721" t="s">
        <v>935</v>
      </c>
      <c r="P1161" s="1721"/>
      <c r="Q1161" s="3149" t="s">
        <v>1843</v>
      </c>
      <c r="R1161" s="3147"/>
      <c r="S1161" s="3147"/>
    </row>
    <row r="1162" spans="1:19">
      <c r="A1162" s="1316"/>
      <c r="B1162" s="3172"/>
      <c r="C1162" s="3172"/>
      <c r="D1162" s="3172"/>
      <c r="E1162" s="1316"/>
      <c r="F1162" s="1316"/>
      <c r="G1162" s="1316"/>
      <c r="H1162" s="1316"/>
      <c r="I1162" s="1316"/>
      <c r="J1162" s="1316"/>
      <c r="K1162" s="1316"/>
      <c r="L1162" s="1316"/>
      <c r="M1162" s="1316"/>
      <c r="N1162" s="1316"/>
      <c r="P1162" s="1316"/>
      <c r="Q1162" s="1316"/>
      <c r="R1162" s="3147"/>
      <c r="S1162" s="3147"/>
    </row>
    <row r="1163" spans="1:19">
      <c r="A1163" s="1316"/>
      <c r="B1163" s="1316"/>
      <c r="C1163" s="1316"/>
      <c r="D1163" s="1316"/>
      <c r="E1163" s="1316"/>
      <c r="F1163" s="1316"/>
      <c r="G1163" s="1316"/>
      <c r="H1163" s="1316"/>
      <c r="I1163" s="1316"/>
      <c r="J1163" s="1316"/>
      <c r="K1163" s="1316"/>
      <c r="L1163" s="1316"/>
      <c r="M1163" s="1316"/>
      <c r="N1163" s="1316"/>
      <c r="P1163" s="1316"/>
      <c r="Q1163" s="1316"/>
      <c r="R1163" s="3147"/>
      <c r="S1163" s="3147"/>
    </row>
    <row r="1164" spans="1:19" ht="18" customHeight="1">
      <c r="A1164" s="3173" t="s">
        <v>567</v>
      </c>
      <c r="J1164" s="1570" t="s">
        <v>4533</v>
      </c>
      <c r="K1164" s="1570"/>
      <c r="L1164" s="1570"/>
      <c r="M1164" s="1570"/>
      <c r="N1164" s="1570"/>
      <c r="O1164" s="1570"/>
      <c r="P1164" s="3174"/>
      <c r="Q1164" s="3174"/>
      <c r="R1164" s="3147"/>
      <c r="S1164" s="3147"/>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3122" t="s">
        <v>2032</v>
      </c>
      <c r="S1166" s="3122"/>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3122"/>
      <c r="S1167" s="3122"/>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3122"/>
      <c r="S1168" s="3122"/>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3122"/>
      <c r="S1169" s="3122"/>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3175"/>
      <c r="S1170" s="3175"/>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3175"/>
      <c r="S1171" s="3175"/>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3122" t="s">
        <v>2032</v>
      </c>
      <c r="S1173" s="3122"/>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3122"/>
      <c r="S1174" s="3122"/>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3122"/>
      <c r="S1175" s="3122"/>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3122"/>
      <c r="S1176" s="3122"/>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3122"/>
      <c r="S1177" s="3122"/>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3122"/>
      <c r="S1178" s="3122"/>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3122" t="s">
        <v>2032</v>
      </c>
      <c r="S1180" s="3122"/>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3122"/>
      <c r="S1181" s="3122"/>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3122"/>
      <c r="S1182" s="3122"/>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3122"/>
      <c r="S1183" s="3122"/>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3122"/>
      <c r="S1184" s="3122"/>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3122"/>
      <c r="S1185" s="3122"/>
    </row>
    <row r="1187" spans="1:22">
      <c r="A1187" s="3176" t="s">
        <v>616</v>
      </c>
      <c r="B1187" s="1596" t="s">
        <v>2652</v>
      </c>
      <c r="C1187" s="1604"/>
      <c r="D1187" s="457"/>
      <c r="E1187" s="457"/>
      <c r="F1187" s="457"/>
      <c r="G1187" s="457"/>
      <c r="I1187" s="1578"/>
      <c r="J1187" s="1578"/>
      <c r="K1187" s="1578"/>
      <c r="L1187" s="1316"/>
      <c r="M1187" s="1316"/>
      <c r="O1187" s="3177" t="s">
        <v>1868</v>
      </c>
      <c r="P1187" s="1317"/>
      <c r="Q1187" s="1317"/>
    </row>
    <row r="1189" spans="1:22" ht="20.25">
      <c r="B1189" s="1549" t="s">
        <v>3750</v>
      </c>
      <c r="C1189" s="1549"/>
      <c r="D1189" s="1549"/>
      <c r="E1189" s="1549"/>
      <c r="F1189" s="1549"/>
      <c r="G1189" s="1578"/>
      <c r="H1189" s="1578"/>
      <c r="I1189" s="1578"/>
      <c r="J1189" s="1578"/>
      <c r="K1189" s="1316"/>
      <c r="L1189" s="1316"/>
      <c r="M1189" s="1316"/>
      <c r="N1189" s="1316"/>
      <c r="O1189" s="1316"/>
      <c r="P1189" s="1316"/>
      <c r="S1189" s="3178"/>
      <c r="T1189" s="3178"/>
    </row>
    <row r="1190" spans="1:22" ht="409.5">
      <c r="A1190" s="1583" t="str">
        <f>'Part VIII-Threshold Criteria'!A32</f>
        <v>The Applicant has submitted an proposal which conforms to the 2019 QAP and requirements of the CDBG-DR NOFA.   All costs for Development and Construction have been carefully underwritten by experienced estimators.  Federal ($0.80) and State ($0.44)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relative to 2018 maximum allowable rents as these were what was in effect on January 1, 2019 (per DCA instructions) but the most current utility allowances from DCA for the South Region have been used as those have been confirmed to be in effect on January 1, 2019.  Total Developer Fee and Deferred Developer Fee are within 2019 QAP limits.  This property is ideally situated for a market starving for workforce housing and is located within a disaster recovery location (Zip Code 31548) in great need for new affordable housing stock.</v>
      </c>
      <c r="B1190" s="1583"/>
      <c r="C1190" s="1583"/>
      <c r="D1190" s="1583"/>
      <c r="E1190" s="1583"/>
      <c r="F1190" s="1583"/>
      <c r="G1190" s="1583"/>
      <c r="H1190" s="1583"/>
      <c r="I1190" s="1583"/>
      <c r="J1190" s="1583"/>
      <c r="K1190" s="1583"/>
      <c r="L1190" s="1583"/>
      <c r="M1190" s="1583"/>
      <c r="N1190" s="1583"/>
      <c r="O1190" s="1583"/>
      <c r="P1190" s="1583"/>
      <c r="Q1190" s="1583"/>
      <c r="R1190" s="3179" t="s">
        <v>1254</v>
      </c>
      <c r="S1190" s="3179"/>
      <c r="T1190" s="3178"/>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3179" t="s">
        <v>1254</v>
      </c>
      <c r="S1192" s="3179"/>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3169"/>
      <c r="M1194" s="3169"/>
      <c r="N1194" s="3169"/>
      <c r="O1194" s="3177" t="s">
        <v>1868</v>
      </c>
      <c r="P1194" s="1317"/>
      <c r="Q1194" s="1317"/>
    </row>
    <row r="1195" spans="1:22">
      <c r="A1195" s="1585"/>
      <c r="B1195" s="1585"/>
      <c r="C1195" s="1585"/>
      <c r="D1195" s="1585"/>
      <c r="E1195" s="1585"/>
      <c r="F1195" s="1585"/>
      <c r="G1195" s="1335" t="s">
        <v>2716</v>
      </c>
      <c r="H1195" s="1335"/>
      <c r="I1195" s="457"/>
      <c r="J1195" s="1314"/>
      <c r="K1195" s="457" t="s">
        <v>3632</v>
      </c>
      <c r="L1195" s="457"/>
      <c r="M1195" s="457"/>
      <c r="N1195" s="457"/>
    </row>
    <row r="1196" spans="1:22" ht="13.5">
      <c r="A1196" s="1585"/>
      <c r="B1196" s="1585"/>
      <c r="C1196" s="1585"/>
      <c r="D1196" s="1585"/>
      <c r="E1196" s="1585"/>
      <c r="F1196" s="1585"/>
      <c r="G1196" s="1335" t="s">
        <v>346</v>
      </c>
      <c r="H1196" s="1335"/>
      <c r="I1196" s="457"/>
      <c r="J1196" s="1314"/>
      <c r="K1196" s="457" t="s">
        <v>3633</v>
      </c>
      <c r="L1196" s="457"/>
      <c r="M1196" s="457"/>
      <c r="N1196" s="457"/>
      <c r="P1196" s="1436" t="s">
        <v>2736</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3453</v>
      </c>
      <c r="G1198" s="1587" t="s">
        <v>5036</v>
      </c>
      <c r="H1198" s="1587"/>
      <c r="I1198" s="1587"/>
      <c r="K1198" s="1587" t="s">
        <v>3453</v>
      </c>
      <c r="L1198" s="1587" t="s">
        <v>5035</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3147" t="str">
        <f>IF('Part I-Project Information'!$F$38="","",VLOOKUP('Part I-Project Information'!$J$39,'DCA Underwriting Assumptions'!$G$158:$N$317,8,FALSE))</f>
        <v>Valdosta</v>
      </c>
      <c r="Q1200" s="3147"/>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1">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2">IF(K1201="","",K1201*L1201)</f>
        <v/>
      </c>
      <c r="O1201" s="1582"/>
      <c r="P1201" s="3147"/>
      <c r="Q1201" s="3147"/>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1"/>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2"/>
        <v/>
      </c>
      <c r="O1202" s="1582"/>
      <c r="P1202" s="1550" t="s">
        <v>5034</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1"/>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2"/>
        <v/>
      </c>
      <c r="O1203" s="1582"/>
      <c r="P1203" s="3180">
        <f ca="1">'Part IV-A-Uses of Funds'!$G$132</f>
        <v>15903809.932432491</v>
      </c>
      <c r="Q1203" s="3180"/>
    </row>
    <row r="1204" spans="1:22">
      <c r="C1204" s="1314"/>
      <c r="D1204" s="1595" t="s">
        <v>3368</v>
      </c>
      <c r="E1204" s="1596"/>
      <c r="F1204" s="1597">
        <f>SUM(F1199:F1203)</f>
        <v>0</v>
      </c>
      <c r="G1204" s="3181"/>
      <c r="H1204" s="1599"/>
      <c r="I1204" s="1600">
        <f>SUM(I1199:I1203)</f>
        <v>0</v>
      </c>
      <c r="J1204" s="1601"/>
      <c r="K1204" s="1597">
        <f>SUM(K1199:K1203)</f>
        <v>0</v>
      </c>
      <c r="L1204" s="1601"/>
      <c r="M1204" s="1599"/>
      <c r="N1204" s="1600">
        <f>SUM(N1199:N1203)</f>
        <v>0</v>
      </c>
      <c r="O1204" s="1582"/>
      <c r="P1204" s="3180"/>
      <c r="Q1204" s="3180"/>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3180"/>
      <c r="Q1206" s="3180"/>
      <c r="S1206" s="1702" t="s">
        <v>5351</v>
      </c>
      <c r="T1206" s="1702"/>
      <c r="U1206" s="1702"/>
      <c r="V1206" s="1702"/>
    </row>
    <row r="1207" spans="1:22" ht="12.75" customHeight="1">
      <c r="A1207" s="1573"/>
      <c r="B1207" s="1573"/>
      <c r="C1207" s="1573"/>
      <c r="D1207" s="1589" t="s">
        <v>2441</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2442</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3">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4">IF(K1208="","",K1208*L1208)</f>
        <v/>
      </c>
      <c r="O1208" s="1606"/>
      <c r="P1208" s="3182"/>
      <c r="Q1208" s="3182"/>
      <c r="R1208" s="1315"/>
      <c r="S1208" s="1702"/>
      <c r="T1208" s="1702"/>
      <c r="U1208" s="1702"/>
      <c r="V1208" s="1702"/>
    </row>
    <row r="1209" spans="1:22" ht="12.75" customHeight="1">
      <c r="C1209" s="1314"/>
      <c r="D1209" s="1589" t="s">
        <v>2443</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3"/>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4"/>
        <v/>
      </c>
      <c r="O1209" s="1606"/>
      <c r="P1209" s="3182"/>
      <c r="Q1209" s="3182"/>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3"/>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4"/>
        <v/>
      </c>
      <c r="O1210" s="1606"/>
      <c r="P1210" s="457" t="s">
        <v>3627</v>
      </c>
      <c r="Q1210" s="457"/>
      <c r="S1210" s="1702"/>
      <c r="T1210" s="1702"/>
      <c r="U1210" s="1702"/>
      <c r="V1210" s="1702"/>
    </row>
    <row r="1211" spans="1:22" ht="12.75" customHeight="1">
      <c r="C1211" s="1314"/>
      <c r="D1211" s="1595" t="s">
        <v>3368</v>
      </c>
      <c r="E1211" s="1596"/>
      <c r="F1211" s="1597">
        <f>SUM(F1206:F1210)</f>
        <v>0</v>
      </c>
      <c r="G1211" s="3181"/>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f>IF('Part VI-Revenues &amp; Expenses'!$K$139 =0,"",'Part VI-Revenues &amp; Expenses'!$K$139)</f>
        <v>12</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12 units = </v>
      </c>
      <c r="I1214" s="1592">
        <f>IF(F1214="","",F1214*G1214)</f>
        <v>1701192</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2442</v>
      </c>
      <c r="E1215" s="1578">
        <v>2</v>
      </c>
      <c r="F1215" s="1590">
        <f>IF('Part VI-Revenues &amp; Expenses'!$L$139 =0,"",'Part VI-Revenues &amp; Expenses'!$L$139)</f>
        <v>36</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36 units = </v>
      </c>
      <c r="I1215" s="1592">
        <f t="shared" ref="I1215:I1217" si="375">IF(F1215="","",F1215*G1215)</f>
        <v>6561756</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6">IF(K1215="","",K1215*L1215)</f>
        <v/>
      </c>
      <c r="P1215" s="1504" t="s">
        <v>3246</v>
      </c>
      <c r="Q1215" s="1504" t="s">
        <v>256</v>
      </c>
      <c r="S1215" s="1702"/>
      <c r="T1215" s="1702"/>
      <c r="U1215" s="1702"/>
      <c r="V1215" s="1702"/>
    </row>
    <row r="1216" spans="1:22" ht="13.5" customHeight="1">
      <c r="C1216" s="1314"/>
      <c r="D1216" s="1589" t="s">
        <v>2443</v>
      </c>
      <c r="E1216" s="1578">
        <v>3</v>
      </c>
      <c r="F1216" s="1590">
        <f>IF('Part VI-Revenues &amp; Expenses'!$M$139 =0,"",'Part VI-Revenues &amp; Expenses'!$M$139)</f>
        <v>36</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36 units = </v>
      </c>
      <c r="I1216" s="1592">
        <f t="shared" si="375"/>
        <v>8749008</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6"/>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5"/>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6"/>
        <v/>
      </c>
      <c r="O1217" s="1606"/>
      <c r="P1217" s="3183" t="s">
        <v>2771</v>
      </c>
      <c r="Q1217" s="3183"/>
      <c r="V1217" s="1314"/>
    </row>
    <row r="1218" spans="1:22" ht="12.75" customHeight="1">
      <c r="C1218" s="1314"/>
      <c r="D1218" s="1595" t="s">
        <v>3368</v>
      </c>
      <c r="E1218" s="1596"/>
      <c r="F1218" s="1597">
        <f>SUM(F1213:F1217)</f>
        <v>84</v>
      </c>
      <c r="G1218" s="3181"/>
      <c r="H1218" s="1599"/>
      <c r="I1218" s="1600">
        <f>SUM(I1213:I1217)</f>
        <v>17011956</v>
      </c>
      <c r="J1218" s="1601"/>
      <c r="K1218" s="1597">
        <f>SUM(K1213:K1217)</f>
        <v>0</v>
      </c>
      <c r="L1218" s="1601"/>
      <c r="M1218" s="1599"/>
      <c r="N1218" s="1600">
        <f>SUM(N1213:N1217)</f>
        <v>0</v>
      </c>
      <c r="O1218" s="1606"/>
      <c r="P1218" s="3183"/>
      <c r="Q1218" s="3183"/>
      <c r="V1218" s="1314"/>
    </row>
    <row r="1219" spans="1:22" ht="12.75" customHeight="1">
      <c r="C1219" s="1314"/>
      <c r="D1219" s="1768"/>
      <c r="E1219" s="1768"/>
      <c r="F1219" s="1603"/>
      <c r="G1219" s="1604"/>
      <c r="I1219" s="1603"/>
      <c r="K1219" s="1603"/>
      <c r="M1219" s="1582"/>
      <c r="N1219" s="1603"/>
      <c r="O1219" s="1606"/>
      <c r="P1219" s="3183"/>
      <c r="Q1219" s="3183"/>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3183"/>
      <c r="Q1220" s="3183"/>
      <c r="R1220" s="1315"/>
      <c r="V1220" s="1314"/>
    </row>
    <row r="1221" spans="1:22" ht="12.75" customHeight="1">
      <c r="C1221" s="1314"/>
      <c r="D1221" s="1589" t="s">
        <v>2441</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3184">
        <f>'Part VIII-Threshold Criteria'!P63</f>
        <v>15915972</v>
      </c>
      <c r="Q1221" s="3184"/>
      <c r="R1221" s="1314"/>
      <c r="S1221" s="1314"/>
      <c r="V1221" s="1314"/>
    </row>
    <row r="1222" spans="1:22" ht="12.75" customHeight="1">
      <c r="C1222" s="1314"/>
      <c r="D1222" s="1589" t="s">
        <v>2442</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7">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8">IF(K1222="","",K1222*L1222)</f>
        <v/>
      </c>
      <c r="P1222" s="3184"/>
      <c r="Q1222" s="3184"/>
      <c r="R1222" s="1314"/>
      <c r="S1222" s="1314"/>
      <c r="V1222" s="1314"/>
    </row>
    <row r="1223" spans="1:22" ht="12.75" customHeight="1">
      <c r="C1223" s="1314"/>
      <c r="D1223" s="1589" t="s">
        <v>2443</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7"/>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8"/>
        <v/>
      </c>
      <c r="P1223" s="1585" t="s">
        <v>4535</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7"/>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8"/>
        <v/>
      </c>
      <c r="O1224" s="1606"/>
      <c r="P1224" s="1585"/>
      <c r="Q1224" s="1585"/>
      <c r="R1224" s="1315"/>
      <c r="V1224" s="1314"/>
    </row>
    <row r="1225" spans="1:22">
      <c r="C1225" s="1314"/>
      <c r="D1225" s="1595" t="s">
        <v>3368</v>
      </c>
      <c r="E1225" s="1596"/>
      <c r="F1225" s="1597">
        <f>SUM(F1220:F1224)</f>
        <v>0</v>
      </c>
      <c r="G1225" s="3181"/>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3369</v>
      </c>
      <c r="B1227" s="1314"/>
      <c r="C1227" s="1314"/>
      <c r="D1227" s="1314"/>
      <c r="E1227" s="1317"/>
      <c r="F1227" s="3185">
        <f>F1204+F1211+F1218+F1225</f>
        <v>84</v>
      </c>
      <c r="G1227" s="1393"/>
      <c r="H1227" s="1406">
        <f>I1204+I1211+I1218+I1225</f>
        <v>17011956</v>
      </c>
      <c r="I1227" s="1406"/>
      <c r="J1227" s="1406"/>
      <c r="K1227" s="3185">
        <f>K1204+K1211+K1218+K1225</f>
        <v>0</v>
      </c>
      <c r="L1227" s="3186"/>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1867</v>
      </c>
      <c r="L1228" s="1316"/>
      <c r="M1228" s="1316"/>
      <c r="N1228" s="1316"/>
      <c r="O1228" s="1316"/>
      <c r="P1228" s="1585"/>
      <c r="Q1228" s="1585"/>
    </row>
    <row r="1229" spans="1:22" ht="405">
      <c r="A1229" s="1583" t="str">
        <f>'Part VIII-Threshold Criteria'!A71</f>
        <v>The property consists of four (4) residential walk-up buildings and one (1) non-residential clubhouse.  Hard costs were determined by an experienced contractor and are within 2018 HUD cost limits as these were in effect on January 1, 2019 per DCA instructions.  Project total development costs do not exceed the HUD cost limits for its type.</v>
      </c>
      <c r="B1229" s="1583"/>
      <c r="C1229" s="1583"/>
      <c r="D1229" s="1583"/>
      <c r="E1229" s="1583"/>
      <c r="F1229" s="1583"/>
      <c r="G1229" s="1583"/>
      <c r="H1229" s="1583"/>
      <c r="I1229" s="1583"/>
      <c r="J1229" s="1583"/>
      <c r="K1229" s="1583"/>
      <c r="L1229" s="1583"/>
      <c r="M1229" s="1583"/>
      <c r="N1229" s="1583"/>
      <c r="O1229" s="1583"/>
      <c r="P1229" s="1583"/>
      <c r="Q1229" s="1583"/>
      <c r="R1229" s="3179"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3177" t="s">
        <v>1868</v>
      </c>
      <c r="P1231" s="1317"/>
      <c r="Q1231" s="1317"/>
    </row>
    <row r="1232" spans="1:22">
      <c r="B1232" s="1525" t="s">
        <v>3750</v>
      </c>
      <c r="D1232" s="1525"/>
      <c r="E1232" s="1525"/>
      <c r="F1232" s="1525"/>
      <c r="G1232" s="1525"/>
      <c r="H1232" s="1524"/>
      <c r="I1232" s="1578"/>
      <c r="J1232" s="1578"/>
      <c r="K1232" s="1580" t="s">
        <v>1867</v>
      </c>
      <c r="L1232" s="1316"/>
      <c r="M1232" s="1316"/>
      <c r="N1232" s="1316"/>
      <c r="O1232" s="1316"/>
      <c r="P1232" s="1316"/>
      <c r="Q1232" s="1316"/>
    </row>
    <row r="1233" spans="1:22" ht="56.25">
      <c r="A1233" s="1583" t="str">
        <f>'Part VIII-Threshold Criteria'!A75</f>
        <v>This application is for family development.</v>
      </c>
      <c r="B1233" s="1583"/>
      <c r="C1233" s="1583"/>
      <c r="D1233" s="1583"/>
      <c r="E1233" s="1583"/>
      <c r="F1233" s="1583"/>
      <c r="G1233" s="1583"/>
      <c r="H1233" s="1583"/>
      <c r="I1233" s="1583"/>
      <c r="J1233" s="1583"/>
      <c r="K1233" s="1583"/>
      <c r="L1233" s="1583"/>
      <c r="M1233" s="1583"/>
      <c r="N1233" s="1583"/>
      <c r="O1233" s="1583"/>
      <c r="P1233" s="1583"/>
      <c r="Q1233" s="1583"/>
      <c r="R1233" s="3179"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3187" t="s">
        <v>4748</v>
      </c>
      <c r="M1235" s="3188" t="s">
        <v>4749</v>
      </c>
      <c r="O1235" s="3177" t="s">
        <v>1868</v>
      </c>
      <c r="P1235" s="1317"/>
      <c r="Q1235" s="1317"/>
    </row>
    <row r="1237" spans="1:22" ht="12.75" customHeight="1">
      <c r="A1237" s="1627" t="s">
        <v>1984</v>
      </c>
      <c r="B1237" s="1583" t="s">
        <v>4740</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1986</v>
      </c>
      <c r="B1239" s="1604" t="s">
        <v>4750</v>
      </c>
      <c r="C1239" s="1604"/>
      <c r="D1239" s="1604"/>
      <c r="E1239" s="1604"/>
      <c r="F1239" s="1604"/>
      <c r="G1239" s="1604"/>
      <c r="H1239" s="1604"/>
      <c r="I1239" s="1604"/>
      <c r="J1239" s="1604"/>
      <c r="K1239" s="1583"/>
      <c r="L1239" s="1604"/>
      <c r="N1239" s="3189"/>
      <c r="O1239" s="3189"/>
      <c r="P1239" s="3189"/>
    </row>
    <row r="1240" spans="1:22">
      <c r="A1240" s="1620"/>
      <c r="B1240" s="1635" t="s">
        <v>1737</v>
      </c>
      <c r="C1240" s="1604" t="s">
        <v>4754</v>
      </c>
      <c r="D1240" s="1604"/>
      <c r="E1240" s="1604"/>
      <c r="F1240" s="1604"/>
      <c r="G1240" s="1604"/>
      <c r="H1240" s="1604"/>
      <c r="I1240" s="1604"/>
      <c r="J1240" s="1604"/>
      <c r="K1240" s="1583"/>
      <c r="L1240" s="1604"/>
      <c r="N1240" s="1604" t="s">
        <v>3694</v>
      </c>
      <c r="O1240" s="3189"/>
      <c r="P1240" s="1578" t="str">
        <f>'Part VIII-Threshold Criteria'!P82</f>
        <v>Agree</v>
      </c>
      <c r="Q1240" s="1578"/>
    </row>
    <row r="1241" spans="1:22">
      <c r="A1241" s="1620"/>
      <c r="B1241" s="1635" t="s">
        <v>1738</v>
      </c>
      <c r="C1241" s="1604" t="s">
        <v>4751</v>
      </c>
      <c r="D1241" s="1604"/>
      <c r="E1241" s="1604"/>
      <c r="F1241" s="1604"/>
      <c r="G1241" s="1604"/>
      <c r="H1241" s="1604"/>
      <c r="I1241" s="1604"/>
      <c r="J1241" s="1604"/>
      <c r="K1241" s="1583"/>
      <c r="L1241" s="1604"/>
      <c r="N1241" s="1604" t="s">
        <v>3694</v>
      </c>
      <c r="O1241" s="3189"/>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3189"/>
      <c r="N1242" s="1604" t="s">
        <v>3694</v>
      </c>
      <c r="O1242" s="3189"/>
      <c r="P1242" s="1578" t="str">
        <f>'Part VIII-Threshold Criteria'!P84</f>
        <v>Agree</v>
      </c>
      <c r="Q1242" s="1578"/>
    </row>
    <row r="1243" spans="1:22">
      <c r="A1243" s="1762"/>
      <c r="B1243" s="1635" t="s">
        <v>2366</v>
      </c>
      <c r="C1243" s="1635" t="s">
        <v>4755</v>
      </c>
      <c r="D1243" s="1550"/>
      <c r="E1243" s="1550"/>
      <c r="F1243" s="1550"/>
      <c r="G1243" s="1550"/>
      <c r="H1243" s="1550"/>
      <c r="I1243" s="1314"/>
      <c r="J1243" s="1314"/>
      <c r="N1243" s="1604" t="s">
        <v>3694</v>
      </c>
      <c r="O1243" s="3189"/>
      <c r="P1243" s="1578">
        <f>'Part VIII-Threshold Criteria'!P85</f>
        <v>0</v>
      </c>
      <c r="Q1243" s="1578"/>
    </row>
    <row r="1244" spans="1:22">
      <c r="A1244" s="1762"/>
      <c r="B1244" s="1635"/>
      <c r="C1244" s="1604" t="s">
        <v>4756</v>
      </c>
      <c r="D1244" s="1550"/>
      <c r="E1244" s="1550"/>
      <c r="F1244" s="1550"/>
      <c r="G1244" s="1550"/>
      <c r="H1244" s="1550"/>
      <c r="I1244" s="1314"/>
      <c r="J1244" s="1314"/>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3694</v>
      </c>
      <c r="O1245" s="3189"/>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1867</v>
      </c>
      <c r="L1247" s="1316"/>
      <c r="M1247" s="1316"/>
      <c r="N1247" s="1316"/>
      <c r="O1247" s="1316"/>
      <c r="P1247" s="1316"/>
      <c r="Q1247" s="1316"/>
    </row>
    <row r="1248" spans="1:22" ht="258.75">
      <c r="A1248" s="1583" t="str">
        <f>'Part VIII-Threshold Criteria'!A90</f>
        <v>Tenants will also be encouraged to utilize the community spaces for daily functions in addition to the above programs and enrichment classes.  Tenants will be encouraged to utilize on-site seminars, fitness center, and garden.</v>
      </c>
      <c r="B1248" s="1583"/>
      <c r="C1248" s="1583"/>
      <c r="D1248" s="1583"/>
      <c r="E1248" s="1583"/>
      <c r="F1248" s="1583"/>
      <c r="G1248" s="1583"/>
      <c r="H1248" s="1583"/>
      <c r="I1248" s="1583"/>
      <c r="J1248" s="1583"/>
      <c r="K1248" s="1583"/>
      <c r="L1248" s="1583"/>
      <c r="M1248" s="1583"/>
      <c r="N1248" s="1583"/>
      <c r="O1248" s="1583"/>
      <c r="P1248" s="1583"/>
      <c r="Q1248" s="1583"/>
      <c r="R1248" s="3179"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3177"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Real Property Research Group</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6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3190">
        <f>'Part VIII-Threshold Criteria'!M96</f>
        <v>0.96699999999999997</v>
      </c>
      <c r="N1254" s="3190">
        <f>'Part VIII-Threshold Criteria'!N96</f>
        <v>0</v>
      </c>
      <c r="O1254" s="3190">
        <f>'Part VIII-Threshold Criteria'!O96</f>
        <v>0</v>
      </c>
      <c r="P1254" s="1843">
        <f>'Part VIII-Threshold Criteria'!P96</f>
        <v>0</v>
      </c>
      <c r="Q1254" s="1578"/>
    </row>
    <row r="1255" spans="1:22">
      <c r="A1255" s="1620" t="s">
        <v>2116</v>
      </c>
      <c r="B1255" s="457" t="s">
        <v>3891</v>
      </c>
      <c r="D1255" s="1550"/>
      <c r="E1255" s="1550"/>
      <c r="F1255" s="1550"/>
      <c r="L1255" s="1620" t="s">
        <v>3892</v>
      </c>
      <c r="M1255" s="3191">
        <f>'Part VIII-Threshold Criteria'!M97</f>
        <v>0.14499999999999999</v>
      </c>
      <c r="N1255" s="3190"/>
      <c r="O1255" s="1623" t="s">
        <v>4123</v>
      </c>
      <c r="P1255" s="1766" t="str">
        <f>'Part VIII-Threshold Criteria'!P97</f>
        <v>N / A</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2016-003</v>
      </c>
      <c r="E1258" s="457" t="str">
        <f>'Part VIII-Threshold Criteria'!E100</f>
        <v>The Village at Winding Road</v>
      </c>
      <c r="F1258" s="457">
        <f>'Part VIII-Threshold Criteria'!F100</f>
        <v>0</v>
      </c>
      <c r="G1258" s="457">
        <f>'Part VIII-Threshold Criteria'!G100</f>
        <v>0</v>
      </c>
      <c r="H1258" s="1620" t="s">
        <v>1739</v>
      </c>
      <c r="I1258" s="1578" t="str">
        <f>'Part VIII-Threshold Criteria'!I100</f>
        <v>1996-010</v>
      </c>
      <c r="J1258" s="457" t="str">
        <f>'Part VIII-Threshold Criteria'!J100</f>
        <v>Reserve at Sugar Mill</v>
      </c>
      <c r="K1258" s="457">
        <f>'Part VIII-Threshold Criteria'!K100</f>
        <v>0</v>
      </c>
      <c r="L1258" s="457">
        <f>'Part VIII-Threshold Criteria'!L100</f>
        <v>0</v>
      </c>
      <c r="M1258" s="1620" t="s">
        <v>1549</v>
      </c>
      <c r="N1258" s="1578" t="str">
        <f>'Part VIII-Threshold Criteria'!N100</f>
        <v>1998-022</v>
      </c>
      <c r="O1258" s="457" t="str">
        <f>'Part VIII-Threshold Criteria'!O100</f>
        <v>Ashton Cove</v>
      </c>
      <c r="P1258" s="457">
        <f>'Part VIII-Threshold Criteria'!P100</f>
        <v>0</v>
      </c>
      <c r="Q1258" s="457">
        <f>'Part VIII-Threshold Criteria'!Q100</f>
        <v>0</v>
      </c>
    </row>
    <row r="1259" spans="1:22">
      <c r="C1259" s="1620" t="s">
        <v>1738</v>
      </c>
      <c r="D1259" s="1578" t="str">
        <f>'Part VIII-Threshold Criteria'!D101</f>
        <v>2016-010</v>
      </c>
      <c r="E1259" s="457" t="str">
        <f>'Part VIII-Threshold Criteria'!E101</f>
        <v>The Preserve at Newport</v>
      </c>
      <c r="F1259" s="457">
        <f>'Part VIII-Threshold Criteria'!F101</f>
        <v>0</v>
      </c>
      <c r="G1259" s="457">
        <f>'Part VIII-Threshold Criteria'!G101</f>
        <v>0</v>
      </c>
      <c r="H1259" s="1620" t="s">
        <v>2366</v>
      </c>
      <c r="I1259" s="1578" t="str">
        <f>'Part VIII-Threshold Criteria'!I101</f>
        <v>1998-022</v>
      </c>
      <c r="J1259" s="457" t="str">
        <f>'Part VIII-Threshold Criteria'!J101</f>
        <v>Royal Point</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303.75">
      <c r="A1262" s="1583" t="str">
        <f>'Part VIII-Threshold Criteria'!A104</f>
        <v>Projected demand for affordable product is high and capture rates are low.  There is one affordable development in the primary market area that has not yet reached stabilization.  The Village at Winding Road is still under construction, although 45 units have been leased.</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3177" t="s">
        <v>1868</v>
      </c>
      <c r="P1265" s="1317"/>
      <c r="Q1265" s="1317"/>
    </row>
    <row r="1267" spans="1:22">
      <c r="B1267" s="1051" t="s">
        <v>4933</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2880</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135">
      <c r="A1282" s="1583" t="str">
        <f>'Part VIII-Threshold Criteria'!A124</f>
        <v>An appraisal is not required because there is not an identity of interest between the buyer and seller of the property.</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3177" t="s">
        <v>1868</v>
      </c>
      <c r="P1285" s="1317"/>
      <c r="Q1285" s="1317"/>
    </row>
    <row r="1287" spans="1:22">
      <c r="A1287" s="1620" t="s">
        <v>1984</v>
      </c>
      <c r="B1287" s="457" t="s">
        <v>3634</v>
      </c>
      <c r="D1287" s="1550"/>
      <c r="E1287" s="1550"/>
      <c r="F1287" s="1550"/>
      <c r="G1287" s="1550"/>
      <c r="H1287" s="1550"/>
      <c r="I1287" s="1314"/>
      <c r="J1287" s="1314"/>
      <c r="K1287" s="1620" t="s">
        <v>1984</v>
      </c>
      <c r="L1287" s="1317" t="str">
        <f>'Part VIII-Threshold Criteria'!L129</f>
        <v>Geotechnical &amp; Environmental Consultants, Inc. (GEC)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Geotechnical &amp; Environmental Consultants, Inc. (GEC)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70</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3192">
        <f>'Part VIII-Threshold Criteria'!P138</f>
        <v>0</v>
      </c>
      <c r="Q1296" s="3192"/>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3192">
        <f>'Part VIII-Threshold Criteria'!P142</f>
        <v>0</v>
      </c>
      <c r="Q1300" s="3192"/>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4977</v>
      </c>
      <c r="I1304" s="1051" t="s">
        <v>2641</v>
      </c>
      <c r="L1304" s="1578" t="str">
        <f>'Part VIII-Threshold Criteria'!L146</f>
        <v>No</v>
      </c>
      <c r="M1304" s="1578"/>
      <c r="N1304" s="1620" t="s">
        <v>4981</v>
      </c>
      <c r="O1304" s="457" t="s">
        <v>1552</v>
      </c>
      <c r="P1304" s="1578" t="str">
        <f>'Part VIII-Threshold Criteria'!P146</f>
        <v>No</v>
      </c>
      <c r="Q1304" s="1578"/>
    </row>
    <row r="1305" spans="1:17">
      <c r="A1305" s="457"/>
      <c r="B1305" s="1524" t="s">
        <v>1738</v>
      </c>
      <c r="C1305" s="457" t="s">
        <v>2804</v>
      </c>
      <c r="E1305" s="1550"/>
      <c r="F1305" s="1578" t="str">
        <f>'Part VIII-Threshold Criteria'!F147</f>
        <v>Yes</v>
      </c>
      <c r="G1305" s="1578"/>
      <c r="H1305" s="1620" t="s">
        <v>4978</v>
      </c>
      <c r="I1305" s="1051" t="s">
        <v>2642</v>
      </c>
      <c r="L1305" s="1578" t="str">
        <f>'Part VIII-Threshold Criteria'!L147</f>
        <v>No</v>
      </c>
      <c r="M1305" s="1578"/>
      <c r="N1305" s="1620" t="s">
        <v>4982</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4979</v>
      </c>
      <c r="I1306" s="1051" t="s">
        <v>3842</v>
      </c>
      <c r="L1306" s="1578" t="str">
        <f>'Part VIII-Threshold Criteria'!L148</f>
        <v>No</v>
      </c>
      <c r="M1306" s="1578"/>
      <c r="N1306" s="1620" t="s">
        <v>4983</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4980</v>
      </c>
      <c r="I1307" s="457" t="s">
        <v>2803</v>
      </c>
      <c r="L1307" s="1578" t="str">
        <f>'Part VIII-Threshold Criteria'!L149</f>
        <v>No</v>
      </c>
      <c r="M1307" s="1578"/>
      <c r="O1307" s="1620"/>
    </row>
    <row r="1308" spans="1:17">
      <c r="A1308" s="457"/>
      <c r="B1308" s="1524" t="s">
        <v>2894</v>
      </c>
      <c r="C1308" s="457" t="s">
        <v>2805</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Yes</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Yes</v>
      </c>
      <c r="Q1313" s="1578"/>
    </row>
    <row r="1314" spans="1:22">
      <c r="A1314" s="1578"/>
      <c r="B1314" s="1524" t="s">
        <v>2366</v>
      </c>
      <c r="C1314" s="457" t="s">
        <v>4959</v>
      </c>
      <c r="E1314" s="457"/>
      <c r="F1314" s="457"/>
      <c r="G1314" s="457"/>
      <c r="H1314" s="457"/>
      <c r="I1314" s="1314"/>
      <c r="J1314" s="1314"/>
      <c r="K1314" s="457"/>
      <c r="L1314" s="457"/>
      <c r="M1314" s="457"/>
      <c r="O1314" s="1620" t="s">
        <v>1739</v>
      </c>
      <c r="P1314" s="1578" t="str">
        <f>'Part VIII-Threshold Criteria'!P156</f>
        <v>Yes</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4536</v>
      </c>
      <c r="C1316" s="1583"/>
      <c r="D1316" s="1583"/>
      <c r="E1316" s="1583"/>
      <c r="F1316" s="1583"/>
      <c r="G1316" s="1583"/>
      <c r="H1316" s="1583"/>
      <c r="I1316" s="1583"/>
      <c r="J1316" s="1583"/>
      <c r="K1316" s="1583"/>
      <c r="L1316" s="1583"/>
      <c r="M1316" s="1620" t="s">
        <v>1948</v>
      </c>
      <c r="N1316" s="1604" t="str">
        <f>'Part VIII-Threshold Criteria'!N158</f>
        <v>Racially mixed</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409.5">
      <c r="A1318" s="1583" t="str">
        <f>'Part VIII-Threshold Criteria'!A160</f>
        <v>No wetlands or 100-year floodplain were identified on the property.  Noise levels were projected above the 65 dB mitigation level but below the 75 dB avoidane level.  All recommended mitigation measures will be followed and no outdoor amenities will be located within the 65 dB noise line on the property.  Phase 1 site assessment was conducted to HOME/HUD standards.</v>
      </c>
      <c r="B1318" s="1583"/>
      <c r="C1318" s="1583"/>
      <c r="D1318" s="1583"/>
      <c r="E1318" s="1583"/>
      <c r="F1318" s="1583"/>
      <c r="G1318" s="1583"/>
      <c r="H1318" s="1583"/>
      <c r="I1318" s="1583"/>
      <c r="J1318" s="1583"/>
      <c r="K1318" s="1583"/>
      <c r="L1318" s="1583"/>
      <c r="M1318" s="1583"/>
      <c r="N1318" s="1583"/>
      <c r="O1318" s="1583"/>
      <c r="P1318" s="1583"/>
      <c r="Q1318" s="1583"/>
      <c r="R1318" s="3179" t="s">
        <v>1254</v>
      </c>
      <c r="S1318" s="3179"/>
      <c r="U1318" s="1317"/>
      <c r="V1318" s="1317"/>
    </row>
    <row r="1319" spans="1:22" ht="15">
      <c r="R1319" s="3179"/>
      <c r="S1319" s="3179"/>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3177" t="s">
        <v>1868</v>
      </c>
      <c r="P1323" s="1317"/>
      <c r="Q1323" s="1317"/>
    </row>
    <row r="1324" spans="1:22">
      <c r="A1324" s="1620" t="s">
        <v>1984</v>
      </c>
      <c r="B1324" s="457" t="s">
        <v>5083</v>
      </c>
      <c r="D1324" s="457"/>
      <c r="E1324" s="457"/>
      <c r="F1324" s="457"/>
      <c r="G1324" s="457"/>
      <c r="H1324" s="457" t="s">
        <v>2708</v>
      </c>
      <c r="K1324" s="3193">
        <f>'Part VIII-Threshold Criteria'!K166</f>
        <v>43861</v>
      </c>
      <c r="L1324" s="3193">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Kingsland Abbington Sound,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360">
      <c r="A1328" s="1583" t="str">
        <f>'Part VIII-Threshold Criteria'!A170</f>
        <v>The ownership entity has been assigned the contract for the development site.  Site control is provided through November 30, 2019 in the form of a valid purchase contract.  There is no identity of interest between the buyer and seller.  HOME pre-contract agreement is included in site control documentation.</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3177" t="s">
        <v>1868</v>
      </c>
      <c r="P1332" s="1317"/>
      <c r="Q1332" s="1317"/>
    </row>
    <row r="1333" spans="1:22" ht="12.75" customHeight="1">
      <c r="A1333" s="1627" t="s">
        <v>1984</v>
      </c>
      <c r="B1333" s="1583" t="s">
        <v>3740</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4758</v>
      </c>
      <c r="C1334" s="1583"/>
      <c r="D1334" s="1583"/>
      <c r="E1334" s="1583"/>
      <c r="F1334" s="1583"/>
      <c r="G1334" s="1583"/>
      <c r="H1334" s="1583"/>
      <c r="I1334" s="1583"/>
      <c r="J1334" s="1583"/>
      <c r="K1334" s="1583"/>
      <c r="L1334" s="1583"/>
      <c r="M1334" s="1583"/>
      <c r="N1334" s="1583"/>
      <c r="O1334" s="1627" t="s">
        <v>1986</v>
      </c>
      <c r="P1334" s="1631" t="str">
        <f>'Part VIII-Threshold Criteria'!P176</f>
        <v>N/Ap</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2116</v>
      </c>
      <c r="B1336" s="1583" t="s">
        <v>4903</v>
      </c>
      <c r="C1336" s="1583"/>
      <c r="D1336" s="1583"/>
      <c r="E1336" s="1583"/>
      <c r="F1336" s="1583"/>
      <c r="G1336" s="1583"/>
      <c r="H1336" s="1583"/>
      <c r="I1336" s="1583"/>
      <c r="J1336" s="1583"/>
      <c r="K1336" s="1583"/>
      <c r="L1336" s="1583"/>
      <c r="M1336" s="1583"/>
      <c r="N1336" s="1583"/>
      <c r="O1336" s="1627" t="s">
        <v>2116</v>
      </c>
      <c r="P1336" s="1631" t="str">
        <f>'Part VIII-Threshold Criteria'!P178</f>
        <v>N/Ap</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225">
      <c r="A1338" s="1583" t="str">
        <f>'Part VIII-Threshold Criteria'!A180</f>
        <v>The site is already accessible by paved public roads (Winding Road and Laurel Island Parkway).  No documentation is needed evidencing approval to pave any additional roads.</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3177"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4920</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ht="270">
      <c r="A1355" s="1583" t="str">
        <f>'Part VIII-Threshold Criteria'!A197</f>
        <v>The site is zoned appropriately for its intended use.  The site is zoned C-2 (Highway Commerical).  Multi-family residential is a permitted use within this district and the conditions do not impede the proposed development.</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3177" t="s">
        <v>1868</v>
      </c>
      <c r="P1359" s="1317"/>
      <c r="Q1359" s="1317"/>
    </row>
    <row r="1360" spans="1:22" ht="12.75" customHeight="1">
      <c r="A1360" s="1550" t="s">
        <v>5074</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3750</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247.5">
      <c r="A1363" s="1583" t="str">
        <f>'Part VIII-Threshold Criteria'!A205</f>
        <v xml:space="preserve">No Gas will be utilitzed on the subject development as the property will be all electric.  A letter from Georgia Power (signed and on letterhead) is included in the application to verify electricity service and capacity.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3177"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 xml:space="preserve">City of Kingsland  </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3899</v>
      </c>
      <c r="C1370" s="1794"/>
      <c r="D1370" s="457"/>
      <c r="E1370" s="457"/>
      <c r="F1370" s="457"/>
      <c r="G1370" s="457"/>
      <c r="H1370" s="457"/>
      <c r="I1370" s="457"/>
      <c r="J1370" s="457"/>
      <c r="K1370" s="1314"/>
      <c r="L1370" s="457"/>
      <c r="M1370" s="457"/>
      <c r="N1370" s="1794"/>
      <c r="O1370" s="1620" t="s">
        <v>1986</v>
      </c>
      <c r="P1370" s="1578" t="str">
        <f>'Part VIII-Threshold Criteria'!P212</f>
        <v>No</v>
      </c>
      <c r="Q1370" s="1578"/>
    </row>
    <row r="1371" spans="1:22">
      <c r="A1371" s="1620" t="s">
        <v>749</v>
      </c>
      <c r="B1371" s="457" t="s">
        <v>3900</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ht="409.5">
      <c r="A1373" s="1583" t="str">
        <f>'Part VIII-Threshold Criteria'!A215</f>
        <v>City of Kingsland will provide public water and sewer to the development.  Existing water and sewer lines are located in the public right away along Laurel Island Parkway which is adjacent to the site.  The cost of connecting to this existing water and sewer is included in the developmnt budget as an offsite expense.  The City has verified that sufficient capacity exists to support the development.</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3177" t="s">
        <v>1868</v>
      </c>
      <c r="P1377" s="1317"/>
      <c r="Q1377" s="1317"/>
    </row>
    <row r="1378" spans="1:22">
      <c r="B1378" s="1051" t="s">
        <v>1192</v>
      </c>
      <c r="N1378" s="1320"/>
      <c r="P1378" s="457" t="str">
        <f>'Part VIII-Threshold Criteria'!P220</f>
        <v>No</v>
      </c>
      <c r="Q1378" s="457"/>
    </row>
    <row r="1379" spans="1:22">
      <c r="A1379" s="1620" t="s">
        <v>1984</v>
      </c>
      <c r="B1379" s="457" t="s">
        <v>4539</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Building</v>
      </c>
      <c r="L1380" s="457">
        <f>'Part VIII-Threshold Criteria'!L222</f>
        <v>0</v>
      </c>
      <c r="Q1380" s="1578"/>
    </row>
    <row r="1381" spans="1:22" ht="13.5">
      <c r="A1381" s="1620"/>
      <c r="B1381" s="1524" t="s">
        <v>1738</v>
      </c>
      <c r="C1381" s="1524" t="s">
        <v>4743</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4745</v>
      </c>
      <c r="E1383" s="1524"/>
      <c r="F1383" s="1524"/>
      <c r="G1383" s="1524"/>
      <c r="H1383" s="1524"/>
      <c r="I1383" s="1314"/>
      <c r="J1383" s="1620" t="s">
        <v>4744</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5107</v>
      </c>
      <c r="D1385" s="457"/>
      <c r="E1385" s="457"/>
      <c r="F1385" s="457"/>
      <c r="G1385" s="457"/>
      <c r="H1385" s="457"/>
      <c r="I1385" s="457"/>
      <c r="J1385" s="457"/>
      <c r="K1385" s="1314"/>
      <c r="L1385" s="1314"/>
      <c r="M1385" s="1314"/>
      <c r="N1385" s="1620" t="s">
        <v>3603</v>
      </c>
      <c r="O1385" s="3194">
        <f>'Part VI-Revenues &amp; Expenses'!$O$67</f>
        <v>84</v>
      </c>
      <c r="P1385" s="1638" t="s">
        <v>4974</v>
      </c>
      <c r="Q1385" s="1638"/>
    </row>
    <row r="1386" spans="1:22">
      <c r="A1386" s="1620"/>
      <c r="B1386" s="1524" t="s">
        <v>1737</v>
      </c>
      <c r="C1386" s="457" t="s">
        <v>4975</v>
      </c>
      <c r="D1386" s="457"/>
      <c r="E1386" s="457"/>
      <c r="F1386" s="457"/>
      <c r="H1386" s="1620" t="s">
        <v>4976</v>
      </c>
      <c r="I1386" s="457" t="s">
        <v>5352</v>
      </c>
      <c r="M1386" s="1314"/>
      <c r="N1386" s="1314"/>
      <c r="O1386" s="1639"/>
      <c r="P1386" s="1781" t="s">
        <v>773</v>
      </c>
      <c r="Q1386" s="1781" t="s">
        <v>4973</v>
      </c>
    </row>
    <row r="1387" spans="1:22" ht="15" customHeight="1">
      <c r="A1387" s="1578"/>
      <c r="B1387" s="1620" t="s">
        <v>2117</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4984</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4984</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t="str">
        <f>'Part VIII-Threshold Criteria'!P240</f>
        <v>No</v>
      </c>
      <c r="Q1398" s="1578"/>
    </row>
    <row r="1399" spans="1:22">
      <c r="A1399" s="1620" t="s">
        <v>2116</v>
      </c>
      <c r="B1399" s="457" t="s">
        <v>3660</v>
      </c>
      <c r="C1399" s="457"/>
      <c r="E1399" s="457"/>
      <c r="F1399" s="457"/>
      <c r="G1399" s="457"/>
      <c r="H1399" s="457"/>
      <c r="I1399" s="457"/>
      <c r="J1399" s="457"/>
      <c r="K1399" s="1314"/>
      <c r="M1399" s="1620" t="s">
        <v>4829</v>
      </c>
      <c r="N1399" s="1524" t="str">
        <f>'Part I-Project Information'!$H$82</f>
        <v>Family</v>
      </c>
      <c r="O1399" s="1620" t="s">
        <v>2116</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4759</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146.25">
      <c r="A1403" s="1583" t="str">
        <f>'Part VIII-Threshold Criteria'!A245</f>
        <v>The amenities are appropriatly geared towards a family tenancy.  Property will include a fenced community garden.</v>
      </c>
      <c r="B1403" s="1583"/>
      <c r="C1403" s="1583"/>
      <c r="D1403" s="1583"/>
      <c r="E1403" s="1583"/>
      <c r="F1403" s="1583"/>
      <c r="G1403" s="1583"/>
      <c r="H1403" s="1583"/>
      <c r="I1403" s="1583"/>
      <c r="J1403" s="1583"/>
      <c r="K1403" s="1583"/>
      <c r="L1403" s="1583"/>
      <c r="M1403" s="1583"/>
      <c r="N1403" s="1583"/>
      <c r="O1403" s="1583"/>
      <c r="P1403" s="1583"/>
      <c r="Q1403" s="1583"/>
      <c r="R1403" s="3179" t="s">
        <v>1254</v>
      </c>
      <c r="S1403" s="3179"/>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3195"/>
      <c r="O1407" s="3177"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3196">
        <f>'Part VIII-Threshold Criteria'!K251</f>
        <v>0</v>
      </c>
      <c r="L1409" s="3196">
        <f>'Part VIII-Threshold Criteria'!L251</f>
        <v>0</v>
      </c>
      <c r="M1409" s="3196">
        <f>'Part VIII-Threshold Criteria'!M251</f>
        <v>0</v>
      </c>
      <c r="N1409" s="3196">
        <f>'Part VIII-Threshold Criteria'!N251</f>
        <v>0</v>
      </c>
      <c r="O1409" s="3196">
        <f>'Part VIII-Threshold Criteria'!O251</f>
        <v>0</v>
      </c>
      <c r="P1409" s="3196"/>
      <c r="Q1409" s="3196"/>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3197"/>
      <c r="O1411" s="457"/>
      <c r="P1411" s="457">
        <f>'Part VIII-Threshold Criteria'!P253</f>
        <v>0</v>
      </c>
      <c r="Q1411" s="457"/>
    </row>
    <row r="1412" spans="1:17">
      <c r="A1412" s="1620" t="s">
        <v>749</v>
      </c>
      <c r="B1412" s="457" t="s">
        <v>4904</v>
      </c>
      <c r="D1412" s="457"/>
      <c r="E1412" s="457"/>
      <c r="F1412" s="457"/>
      <c r="J1412" s="1620" t="s">
        <v>749</v>
      </c>
      <c r="K1412" s="3196">
        <f>'Part VIII-Threshold Criteria'!K254</f>
        <v>0</v>
      </c>
      <c r="L1412" s="3196">
        <f>'Part VIII-Threshold Criteria'!L254</f>
        <v>0</v>
      </c>
      <c r="M1412" s="3196">
        <f>'Part VIII-Threshold Criteria'!M254</f>
        <v>0</v>
      </c>
      <c r="N1412" s="3196">
        <f>'Part VIII-Threshold Criteria'!N254</f>
        <v>0</v>
      </c>
      <c r="O1412" s="3196">
        <f>'Part VIII-Threshold Criteria'!O254</f>
        <v>0</v>
      </c>
      <c r="P1412" s="3196"/>
      <c r="Q1412" s="3196"/>
    </row>
    <row r="1413" spans="1:17">
      <c r="A1413" s="1620"/>
      <c r="B1413" s="457" t="s">
        <v>4765</v>
      </c>
      <c r="D1413" s="457"/>
      <c r="E1413" s="457"/>
      <c r="F1413" s="457"/>
    </row>
    <row r="1414" spans="1:17">
      <c r="A1414" s="1620"/>
      <c r="C1414" s="457" t="s">
        <v>4762</v>
      </c>
      <c r="D1414" s="457"/>
      <c r="E1414" s="457"/>
      <c r="F1414" s="457"/>
      <c r="K1414" s="457" t="s">
        <v>4761</v>
      </c>
      <c r="L1414" s="3190">
        <f>'Part VIII-Threshold Criteria'!L256</f>
        <v>0</v>
      </c>
      <c r="M1414" s="457"/>
      <c r="N1414" s="3197"/>
      <c r="O1414" s="3197"/>
      <c r="P1414" s="457">
        <f>'Part VIII-Threshold Criteria'!P256</f>
        <v>0</v>
      </c>
      <c r="Q1414" s="457"/>
    </row>
    <row r="1415" spans="1:17">
      <c r="A1415" s="1620"/>
      <c r="B1415" s="457"/>
      <c r="C1415" s="1051" t="s">
        <v>4763</v>
      </c>
      <c r="D1415" s="457"/>
      <c r="E1415" s="457"/>
      <c r="F1415" s="457"/>
      <c r="K1415" s="1620" t="s">
        <v>4764</v>
      </c>
      <c r="L1415" s="3198">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3902</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3758</v>
      </c>
      <c r="C1418" s="1583"/>
      <c r="D1418" s="1583"/>
      <c r="E1418" s="1583"/>
      <c r="F1418" s="1583"/>
      <c r="G1418" s="1583"/>
      <c r="H1418" s="1051" t="s">
        <v>4111</v>
      </c>
      <c r="K1418" s="1314"/>
      <c r="L1418" s="1794"/>
      <c r="M1418" s="457"/>
      <c r="N1418" s="3197"/>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2366</v>
      </c>
      <c r="P1421" s="1578">
        <f>'Part VIII-Threshold Criteria'!P263</f>
        <v>0</v>
      </c>
      <c r="Q1421" s="1578"/>
    </row>
    <row r="1422" spans="1:17" ht="12.75" customHeight="1">
      <c r="B1422" s="1583" t="s">
        <v>5353</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5354</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5108</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5075</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3860</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5076</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112.5">
      <c r="A1430" s="1583" t="str">
        <f>'Part VIII-Threshold Criteria'!A272</f>
        <v>Site is new construction and therefore will not involve rehabilitation of existing structures.</v>
      </c>
      <c r="B1430" s="1583"/>
      <c r="C1430" s="1583"/>
      <c r="D1430" s="1583"/>
      <c r="E1430" s="1583"/>
      <c r="F1430" s="1583"/>
      <c r="G1430" s="1583"/>
      <c r="H1430" s="1583"/>
      <c r="I1430" s="1583"/>
      <c r="J1430" s="1583"/>
      <c r="K1430" s="1583"/>
      <c r="L1430" s="1583"/>
      <c r="M1430" s="1583"/>
      <c r="N1430" s="1583"/>
      <c r="O1430" s="1583"/>
      <c r="P1430" s="1583"/>
      <c r="Q1430" s="1583"/>
      <c r="R1430" s="3179" t="s">
        <v>1254</v>
      </c>
      <c r="S1430" s="3179"/>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4958</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3754</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4961</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180">
      <c r="A1442" s="1583" t="str">
        <f>'Part VIII-Threshold Criteria'!A284</f>
        <v>Site plan shows all relevant information required by QAP and are produced by Martin Riley Associates.  This is a perfect use for this particular property.</v>
      </c>
      <c r="B1442" s="1583"/>
      <c r="C1442" s="1583"/>
      <c r="D1442" s="1583"/>
      <c r="E1442" s="1583"/>
      <c r="F1442" s="1583"/>
      <c r="G1442" s="1583"/>
      <c r="H1442" s="1583"/>
      <c r="I1442" s="1583"/>
      <c r="J1442" s="1583"/>
      <c r="K1442" s="1583"/>
      <c r="L1442" s="1583"/>
      <c r="M1442" s="1583"/>
      <c r="N1442" s="1583"/>
      <c r="O1442" s="1583"/>
      <c r="P1442" s="1583"/>
      <c r="Q1442" s="1583"/>
      <c r="R1442" s="3179" t="s">
        <v>1254</v>
      </c>
      <c r="S1442" s="3179"/>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2665</v>
      </c>
      <c r="C1446" s="1630"/>
      <c r="D1446" s="1582"/>
      <c r="E1446" s="1582"/>
      <c r="F1446" s="1582"/>
      <c r="G1446" s="1582"/>
      <c r="H1446" s="1582"/>
      <c r="I1446" s="1582"/>
      <c r="J1446" s="1582"/>
      <c r="K1446" s="1582"/>
      <c r="L1446" s="1582"/>
      <c r="M1446" s="1582"/>
      <c r="O1446" s="3177" t="s">
        <v>1868</v>
      </c>
      <c r="P1446" s="1317"/>
      <c r="Q1446" s="1317"/>
    </row>
    <row r="1447" spans="1:22" ht="12.75" customHeight="1">
      <c r="A1447" s="1604" t="s">
        <v>1984</v>
      </c>
      <c r="B1447" s="1583" t="s">
        <v>4960</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1986</v>
      </c>
      <c r="B1449" s="1317" t="s">
        <v>310</v>
      </c>
      <c r="D1449" s="1314"/>
      <c r="E1449" s="1314"/>
      <c r="J1449" s="1636" t="s">
        <v>4780</v>
      </c>
      <c r="K1449" s="1393" t="str">
        <f>'Part VIII-Threshold Criteria'!K291</f>
        <v>Earth Craft House Multifamily</v>
      </c>
      <c r="L1449" s="1393">
        <f>'Part VIII-Threshold Criteria'!L291</f>
        <v>0</v>
      </c>
      <c r="M1449" s="1393">
        <f>'Part VIII-Threshold Criteria'!M291</f>
        <v>0</v>
      </c>
      <c r="N1449" s="1393">
        <f>'Part VIII-Threshold Criteria'!N291</f>
        <v>0</v>
      </c>
      <c r="O1449" s="1620" t="s">
        <v>1986</v>
      </c>
      <c r="P1449" s="3199" t="str">
        <f>'Part VIII-Threshold Criteria'!P291</f>
        <v>Agree</v>
      </c>
      <c r="Q1449" s="3199"/>
      <c r="R1449" s="3200"/>
      <c r="S1449" s="1528"/>
    </row>
    <row r="1450" spans="1:22" ht="13.5">
      <c r="A1450" s="1511"/>
      <c r="B1450" s="1317"/>
      <c r="C1450" s="1794"/>
      <c r="D1450" s="1314"/>
      <c r="E1450" s="1314"/>
      <c r="F1450" s="1794"/>
      <c r="G1450" s="1794"/>
      <c r="H1450" s="1794"/>
      <c r="I1450" s="1794"/>
      <c r="J1450" s="1638" t="s">
        <v>4962</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91.25">
      <c r="A1452" s="1583" t="str">
        <f>'Part VIII-Threshold Criteria'!A294</f>
        <v>The applicant will prioritize the sustainability of the affordable housing development.  Applicant plans to pursue Earth Craft Multifamily certification.</v>
      </c>
      <c r="B1452" s="1583"/>
      <c r="C1452" s="1583"/>
      <c r="D1452" s="1583"/>
      <c r="E1452" s="1583"/>
      <c r="F1452" s="1583"/>
      <c r="G1452" s="1583"/>
      <c r="H1452" s="1583"/>
      <c r="I1452" s="1583"/>
      <c r="J1452" s="1583"/>
      <c r="K1452" s="1583"/>
      <c r="L1452" s="1583"/>
      <c r="M1452" s="1583"/>
      <c r="N1452" s="1583"/>
      <c r="O1452" s="1583"/>
      <c r="P1452" s="1583"/>
      <c r="Q1452" s="1583"/>
      <c r="R1452" s="3179" t="s">
        <v>1254</v>
      </c>
      <c r="S1452" s="1659"/>
      <c r="T1452" s="1659"/>
      <c r="U1452" s="1659"/>
      <c r="V1452" s="1659"/>
    </row>
    <row r="1453" spans="1:22" ht="15">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2666</v>
      </c>
      <c r="C1456" s="1637"/>
      <c r="D1456" s="1582"/>
      <c r="E1456" s="1582"/>
      <c r="F1456" s="1582"/>
      <c r="G1456" s="1582"/>
      <c r="H1456" s="1582"/>
      <c r="I1456" s="1582"/>
      <c r="J1456" s="1582"/>
      <c r="K1456" s="1582"/>
      <c r="L1456" s="1582"/>
      <c r="M1456" s="1582"/>
      <c r="O1456" s="3177" t="s">
        <v>1868</v>
      </c>
      <c r="P1456" s="1317"/>
      <c r="Q1456" s="1317"/>
    </row>
    <row r="1457" spans="1:22">
      <c r="A1457" s="1314" t="s">
        <v>1984</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1986</v>
      </c>
      <c r="B1461" s="1630" t="s">
        <v>3872</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5109</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4118</v>
      </c>
      <c r="J1464" s="1330"/>
      <c r="K1464" s="1846">
        <f>'Part VIII-Threshold Criteria'!K306</f>
        <v>5</v>
      </c>
      <c r="L1464" s="1337" t="str">
        <f>IF(K1464&lt;M1464,"Check!!!","")</f>
        <v/>
      </c>
      <c r="M1464" s="1692">
        <f>ROUNDUP('Part VI-Revenues &amp; Expenses'!$O$67*'Part VIII-Threshold Criteria'!N1464,0)</f>
        <v>0</v>
      </c>
      <c r="N1464" s="3201">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5110</v>
      </c>
      <c r="D1465" s="1583"/>
      <c r="E1465" s="1583"/>
      <c r="F1465" s="1583"/>
      <c r="G1465" s="1583"/>
      <c r="H1465" s="1583"/>
      <c r="I1465" s="1647" t="s">
        <v>4119</v>
      </c>
      <c r="J1465" s="1330"/>
      <c r="K1465" s="3202">
        <f>'Part VIII-Threshold Criteria'!K307</f>
        <v>2</v>
      </c>
      <c r="L1465" s="1330" t="str">
        <f>IF(K1465&lt;M1465,"Check!!!","")</f>
        <v/>
      </c>
      <c r="M1465" s="3203">
        <f>ROUNDUP(K1464*'Part VIII-Threshold Criteria'!N1465,0)</f>
        <v>0</v>
      </c>
      <c r="N1465" s="3204">
        <f>'DCA Underwriting Assumptions'!$Q$140</f>
        <v>0.4</v>
      </c>
      <c r="O1465" s="1620" t="s">
        <v>2118</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5111</v>
      </c>
      <c r="D1467" s="1583"/>
      <c r="E1467" s="1583"/>
      <c r="F1467" s="1583"/>
      <c r="G1467" s="1583"/>
      <c r="H1467" s="1583"/>
      <c r="I1467" s="457" t="s">
        <v>4120</v>
      </c>
      <c r="J1467" s="1330"/>
      <c r="K1467" s="1846">
        <f>'Part VIII-Threshold Criteria'!K309</f>
        <v>2</v>
      </c>
      <c r="L1467" s="1337" t="str">
        <f>IF(K1467&lt;M1467,"Check!!!","")</f>
        <v/>
      </c>
      <c r="M1467" s="1692">
        <f>ROUNDUP('Part VI-Revenues &amp; Expenses'!$O$67*'Part VIII-Threshold Criteria'!N1467,0)</f>
        <v>0</v>
      </c>
      <c r="N1467" s="3201">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3873</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3759</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4905</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2366</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236.25">
      <c r="A1478" s="1583" t="str">
        <f>'Part VIII-Threshold Criteria'!A320</f>
        <v>Accessibility and Fair Housing for disabled tenants continues to be an important role and focus of our development team.  The development will be in full compliance with ADA requirements and standards.</v>
      </c>
      <c r="B1478" s="1583"/>
      <c r="C1478" s="1583"/>
      <c r="D1478" s="1583"/>
      <c r="E1478" s="1583"/>
      <c r="F1478" s="1583"/>
      <c r="G1478" s="1583"/>
      <c r="H1478" s="1583"/>
      <c r="I1478" s="1583"/>
      <c r="J1478" s="1583"/>
      <c r="K1478" s="1583"/>
      <c r="L1478" s="1583"/>
      <c r="M1478" s="1583"/>
      <c r="N1478" s="1583"/>
      <c r="O1478" s="1583"/>
      <c r="P1478" s="1583"/>
      <c r="Q1478" s="1583"/>
      <c r="R1478" s="3179" t="s">
        <v>1254</v>
      </c>
      <c r="S1478" s="3179"/>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5112</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1984</v>
      </c>
      <c r="P1485" s="1631" t="str">
        <f>'Part VIII-Threshold Criteria'!P327</f>
        <v>No</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5113</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409.5">
      <c r="A1495" s="1583" t="str">
        <f>'Part VIII-Threshold Criteria'!A337</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4992</v>
      </c>
      <c r="O1499" s="1627" t="s">
        <v>1984</v>
      </c>
      <c r="P1499" s="1578" t="str">
        <f>'Part VIII-Threshold Criteria'!P341</f>
        <v>Yes</v>
      </c>
      <c r="Q1499" s="1578"/>
    </row>
    <row r="1500" spans="1:22">
      <c r="A1500" s="1604" t="s">
        <v>1986</v>
      </c>
      <c r="B1500" s="1638" t="s">
        <v>4085</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3838</v>
      </c>
      <c r="O1502" s="1620" t="s">
        <v>2116</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2352</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409.5">
      <c r="A1506" s="1583" t="str">
        <f>'Part VIII-Threshold Criteria'!A348</f>
        <v>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required Qualification Determination documentation is included in Tab 19 for Information.  William J. Rea, Jr. will serve as the Certifying entity for both the General Partner and Developer entities.</v>
      </c>
      <c r="B1506" s="1583"/>
      <c r="C1506" s="1583"/>
      <c r="D1506" s="1583"/>
      <c r="E1506" s="1583"/>
      <c r="F1506" s="1583"/>
      <c r="G1506" s="1583"/>
      <c r="H1506" s="1583"/>
      <c r="I1506" s="1583"/>
      <c r="J1506" s="1583"/>
      <c r="K1506" s="1583"/>
      <c r="L1506" s="1583"/>
      <c r="M1506" s="1583"/>
      <c r="N1506" s="1583"/>
      <c r="O1506" s="1583"/>
      <c r="P1506" s="1583"/>
      <c r="Q1506" s="1583"/>
      <c r="R1506" s="3179" t="s">
        <v>1254</v>
      </c>
      <c r="S1506" s="3179"/>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3654</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3847</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360">
      <c r="A1514" s="1583" t="str">
        <f>'Part VIII-Threshold Criteria'!A356</f>
        <v>Applicant provided current compliance history summary, along with good standing letters for all out of state projects and role/interest letters on all projects claimed for experience, in its 2019 pre-application submittal to DCA.  DCA determined Rea Ventures and Paladin project teams to be "Qualified" for 2019.</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3177" t="s">
        <v>1868</v>
      </c>
      <c r="P1518" s="1317"/>
      <c r="Q1518" s="1317"/>
    </row>
    <row r="1519" spans="1:22">
      <c r="A1519" s="457" t="s">
        <v>1984</v>
      </c>
      <c r="B1519" s="457" t="s">
        <v>4077</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4078</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4069</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4072</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90">
      <c r="A1530" s="1583" t="str">
        <f>'Part VIII-Threshold Criteria'!A372</f>
        <v xml:space="preserve">Applicant is not requesting consideration under the non-profit set aside.         </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3177" t="s">
        <v>1868</v>
      </c>
      <c r="P1534" s="1317"/>
      <c r="Q1534" s="1317"/>
    </row>
    <row r="1535" spans="1:22">
      <c r="A1535" s="457" t="s">
        <v>1984</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4917</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4910</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3205">
        <f>'Part VIII-Threshold Criteria'!J380</f>
        <v>0</v>
      </c>
      <c r="K1538" s="3205">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4906</v>
      </c>
      <c r="D1540" s="1314"/>
      <c r="E1540" s="1550"/>
      <c r="F1540" s="1550"/>
      <c r="G1540" s="1550"/>
      <c r="H1540" s="457" t="s">
        <v>4907</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4908</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4909</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4963</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3929</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ht="101.25">
      <c r="A1552" s="1583" t="str">
        <f>'Part VIII-Threshold Criteria'!A394</f>
        <v xml:space="preserve">Applicant is not requesting consideration under the rural HOME preservation set aside.       </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2685</v>
      </c>
      <c r="C1557" s="1314"/>
      <c r="D1557" s="1314"/>
      <c r="E1557" s="1314"/>
      <c r="F1557" s="1314"/>
      <c r="G1557" s="1314"/>
      <c r="H1557" s="1582"/>
      <c r="I1557" s="1582"/>
      <c r="J1557" s="1582"/>
      <c r="O1557" s="3177"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3464</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3695</v>
      </c>
      <c r="G1561" s="1517"/>
      <c r="H1561" s="1517"/>
      <c r="I1561" s="1517"/>
      <c r="J1561" s="1524" t="s">
        <v>3696</v>
      </c>
      <c r="L1561" s="1517"/>
      <c r="M1561" s="3206">
        <f>'Part III-Sources of Funds'!H1163</f>
        <v>0</v>
      </c>
      <c r="N1561" s="3206"/>
      <c r="O1561" s="1620" t="s">
        <v>2116</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78.75">
      <c r="A1563" s="1583" t="str">
        <f>'Part VIII-Threshold Criteria'!A405</f>
        <v xml:space="preserve">Applicant is not requesting consideration under the CHDO set aside. </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t="str">
        <f>'Part VIII-Threshold Criteria'!P410</f>
        <v>No</v>
      </c>
      <c r="Q1568" s="1578"/>
    </row>
    <row r="1569" spans="1:22">
      <c r="A1569" s="457" t="s">
        <v>1986</v>
      </c>
      <c r="B1569" s="457" t="s">
        <v>3582</v>
      </c>
      <c r="C1569" s="1794"/>
      <c r="D1569" s="1583"/>
      <c r="E1569" s="1583"/>
      <c r="F1569" s="1794"/>
      <c r="G1569" s="1794"/>
      <c r="H1569" s="1794"/>
      <c r="I1569" s="1794"/>
      <c r="J1569" s="1794"/>
      <c r="K1569" s="1794"/>
      <c r="L1569" s="1794"/>
      <c r="M1569" s="1794"/>
      <c r="N1569" s="1794"/>
      <c r="O1569" s="457" t="s">
        <v>1986</v>
      </c>
      <c r="P1569" s="457" t="str">
        <f>'Part VIII-Threshold Criteria'!P411</f>
        <v>No</v>
      </c>
      <c r="Q1569" s="457"/>
    </row>
    <row r="1570" spans="1:22">
      <c r="A1570" s="1620" t="s">
        <v>749</v>
      </c>
      <c r="B1570" s="457" t="s">
        <v>4075</v>
      </c>
      <c r="D1570" s="1583"/>
      <c r="E1570" s="1583"/>
      <c r="O1570" s="1620" t="s">
        <v>749</v>
      </c>
      <c r="P1570" s="1578" t="str">
        <f>'Part VIII-Threshold Criteria'!P412</f>
        <v>No</v>
      </c>
      <c r="Q1570" s="1578"/>
    </row>
    <row r="1571" spans="1:22">
      <c r="A1571" s="1620" t="s">
        <v>2116</v>
      </c>
      <c r="B1571" s="457" t="s">
        <v>3583</v>
      </c>
      <c r="E1571" s="1604"/>
      <c r="O1571" s="1620" t="s">
        <v>2116</v>
      </c>
      <c r="P1571" s="457" t="str">
        <f>'Part VIII-Threshold Criteria'!P413</f>
        <v>No</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ht="78.75">
      <c r="A1574" s="1583" t="str">
        <f>'Part VIII-Threshold Criteria'!A416</f>
        <v>There are no required legal opinions for this development.</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3476</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4924</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f>'Part VIII-Threshold Criteria'!J431</f>
        <v>0</v>
      </c>
      <c r="K1589" s="1578"/>
      <c r="L1589" s="1524"/>
      <c r="M1589" s="1051" t="s">
        <v>4772</v>
      </c>
    </row>
    <row r="1590" spans="1:22">
      <c r="A1590" s="1314"/>
      <c r="B1590" s="1794"/>
      <c r="C1590" s="1794"/>
      <c r="D1590" s="1794"/>
      <c r="E1590" s="1794"/>
      <c r="G1590" s="1051" t="s">
        <v>4770</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&lt;&lt;Select&gt;&gt;</v>
      </c>
      <c r="Q1592" s="1578" t="s">
        <v>1771</v>
      </c>
    </row>
    <row r="1593" spans="1:22">
      <c r="A1593" s="1314"/>
      <c r="C1593" s="1051" t="s">
        <v>2436</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4986</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3179" t="s">
        <v>4775</v>
      </c>
      <c r="U1596" s="1317"/>
      <c r="V1596" s="1317"/>
    </row>
    <row r="1597" spans="1:22">
      <c r="B1597" s="1525" t="s">
        <v>3750</v>
      </c>
      <c r="D1597" s="1525"/>
      <c r="E1597" s="1525"/>
      <c r="F1597" s="1525"/>
      <c r="G1597" s="1549"/>
      <c r="H1597" s="457"/>
      <c r="I1597" s="457"/>
      <c r="J1597" s="457"/>
      <c r="K1597" s="457"/>
    </row>
    <row r="1598" spans="1:22" ht="157.5">
      <c r="A1598" s="1583" t="str">
        <f>'Part VIII-Threshold Criteria'!A440</f>
        <v xml:space="preserve">There are no structures on this development site and no displacements would occur as a result of this development.    </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5043</v>
      </c>
      <c r="C1603" s="1314"/>
      <c r="D1603" s="457"/>
      <c r="E1603" s="1582"/>
      <c r="F1603" s="1582"/>
      <c r="G1603" s="1582"/>
      <c r="H1603" s="1582"/>
    </row>
    <row r="1604" spans="1:22" ht="12.75" customHeight="1">
      <c r="A1604" s="1604" t="s">
        <v>1984</v>
      </c>
      <c r="B1604" s="1583" t="s">
        <v>3933</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3931</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4987</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4988</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4989</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4990</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3938</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202.5">
      <c r="A1615" s="1583" t="str">
        <f>'Part VIII-Threshold Criteria'!A457</f>
        <v>Our team has and will continue to facilitie AFFH.  We have evidence of our commitment to AFFH throughout the many states we work in and our consistent track record.</v>
      </c>
      <c r="B1615" s="1583"/>
      <c r="C1615" s="1583"/>
      <c r="D1615" s="1583"/>
      <c r="E1615" s="1583"/>
      <c r="F1615" s="1583"/>
      <c r="G1615" s="1583"/>
      <c r="H1615" s="1583"/>
      <c r="I1615" s="1583"/>
      <c r="J1615" s="1583"/>
      <c r="K1615" s="1583"/>
      <c r="L1615" s="1583"/>
      <c r="M1615" s="1583"/>
      <c r="N1615" s="1583"/>
      <c r="O1615" s="1583"/>
      <c r="P1615" s="1583"/>
      <c r="Q1615" s="1583"/>
      <c r="R1615" s="3179" t="s">
        <v>1254</v>
      </c>
      <c r="S1615" s="3179"/>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4784</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5">
      <c r="A1622" s="1620" t="s">
        <v>1984</v>
      </c>
      <c r="B1622" s="457" t="s">
        <v>4785</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4911</v>
      </c>
      <c r="D1623" s="1583"/>
      <c r="E1623" s="1583"/>
      <c r="F1623" s="1583"/>
      <c r="G1623" s="1583"/>
      <c r="H1623" s="1583"/>
      <c r="I1623" s="1583"/>
      <c r="J1623" s="1583"/>
      <c r="K1623" s="1550" t="s">
        <v>5038</v>
      </c>
      <c r="L1623" s="1524" t="s">
        <v>4787</v>
      </c>
      <c r="M1623" s="1676"/>
      <c r="N1623" s="1506">
        <f>ROUNDUP('Part VI-Revenues &amp; Expenses'!$O$63*0.1,0)</f>
        <v>9</v>
      </c>
      <c r="O1623" s="1684" t="s">
        <v>1987</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5039</v>
      </c>
      <c r="M1624" s="1676"/>
      <c r="N1624" s="1506">
        <f>'Part VI-Revenues &amp; Expenses'!$O$63</f>
        <v>84</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3207">
        <f>'Part VI-Revenues &amp; Expenses'!$O$88</f>
        <v>0</v>
      </c>
      <c r="L1625" s="1524" t="s">
        <v>4789</v>
      </c>
      <c r="M1625" s="1676"/>
      <c r="N1625" s="1506">
        <f>'Part VI-Revenues &amp; Expenses'!$O$67</f>
        <v>84</v>
      </c>
      <c r="O1625" s="1711"/>
      <c r="P1625" s="1604">
        <f>'Part VIII-Threshold Criteria'!P467</f>
        <v>0</v>
      </c>
      <c r="Q1625" s="1604"/>
      <c r="R1625" s="1711"/>
      <c r="S1625" s="1711"/>
      <c r="T1625" s="1711"/>
      <c r="U1625" s="1711"/>
      <c r="V1625" s="1711"/>
    </row>
    <row r="1626" spans="1:22" ht="12.75" customHeight="1">
      <c r="A1626" s="1638"/>
      <c r="B1626" s="1704" t="s">
        <v>1989</v>
      </c>
      <c r="C1626" s="1583" t="s">
        <v>4912</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4913</v>
      </c>
      <c r="D1627" s="1583"/>
      <c r="E1627" s="1583"/>
      <c r="F1627" s="1583"/>
      <c r="G1627" s="1583"/>
      <c r="H1627" s="1583"/>
      <c r="I1627" s="1583"/>
      <c r="J1627" s="1550" t="s">
        <v>4790</v>
      </c>
      <c r="K1627" s="3208">
        <f>'Part VI-Revenues &amp; Expenses'!$O$103</f>
        <v>84</v>
      </c>
      <c r="L1627" s="1524" t="s">
        <v>4788</v>
      </c>
      <c r="M1627" s="1676"/>
      <c r="N1627" s="1506">
        <f>ROUNDUP(N1625*0.1,0)</f>
        <v>9</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3209">
        <f>IF(N1625=0,"",K1627/N1625)</f>
        <v>1</v>
      </c>
      <c r="L1628" s="1524" t="s">
        <v>5037</v>
      </c>
      <c r="M1628" s="457"/>
      <c r="N1628" s="1507">
        <f>'Part VI-Revenues &amp; Expenses'!$K$67/'Part VI-Revenues &amp; Expenses'!$O$67</f>
        <v>0.14285714285714285</v>
      </c>
      <c r="O1628" s="1684" t="str">
        <f>IF(AND(N1628&lt;0.1,P1627="Yes"), "Check!","")</f>
        <v/>
      </c>
      <c r="P1628" s="1604">
        <f>'Part VIII-Threshold Criteria'!P470</f>
        <v>0</v>
      </c>
      <c r="Q1628" s="1604"/>
      <c r="R1628" s="1468"/>
      <c r="S1628" s="1468"/>
      <c r="T1628" s="1604"/>
      <c r="U1628" s="1604"/>
      <c r="V1628" s="1604"/>
    </row>
    <row r="1629" spans="1:22" ht="15">
      <c r="A1629" s="1620" t="s">
        <v>1986</v>
      </c>
      <c r="B1629" s="457" t="s">
        <v>4914</v>
      </c>
      <c r="C1629" s="1689"/>
      <c r="D1629" s="457"/>
      <c r="E1629" s="1689"/>
      <c r="F1629" s="1689"/>
      <c r="G1629" s="457"/>
      <c r="H1629" s="1689"/>
      <c r="I1629" s="1689"/>
      <c r="J1629" s="1689"/>
      <c r="K1629" s="1659"/>
      <c r="L1629" s="1659"/>
      <c r="M1629" s="1313"/>
      <c r="N1629" s="1659"/>
      <c r="O1629" s="1659"/>
      <c r="P1629" s="1689"/>
      <c r="Q1629" s="1689"/>
      <c r="R1629" s="3210"/>
      <c r="S1629" s="1659"/>
      <c r="T1629" s="1659"/>
      <c r="U1629" s="1659"/>
      <c r="V1629" s="1659"/>
    </row>
    <row r="1630" spans="1:22" ht="15" customHeight="1">
      <c r="A1630" s="1627"/>
      <c r="B1630" s="1583" t="s">
        <v>4915</v>
      </c>
      <c r="C1630" s="1583"/>
      <c r="D1630" s="1583"/>
      <c r="E1630" s="1583"/>
      <c r="F1630" s="1583"/>
      <c r="G1630" s="1583"/>
      <c r="H1630" s="1583"/>
      <c r="I1630" s="1583"/>
      <c r="J1630" s="1583"/>
      <c r="K1630" s="1583"/>
      <c r="L1630" s="1583"/>
      <c r="M1630" s="1583"/>
      <c r="N1630" s="1583"/>
      <c r="O1630" s="1627" t="s">
        <v>1986</v>
      </c>
      <c r="P1630" s="1631" t="str">
        <f>'Part VIII-Threshold Criteria'!P472</f>
        <v>Disagree</v>
      </c>
      <c r="Q1630" s="1631"/>
      <c r="R1630" s="3211"/>
      <c r="S1630" s="1711"/>
      <c r="T1630" s="1711"/>
      <c r="U1630" s="1711"/>
      <c r="V1630" s="1711"/>
    </row>
    <row r="1631" spans="1:22" ht="15">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337.5">
      <c r="A1632" s="1583" t="str">
        <f>'Part VIII-Threshold Criteria'!A474</f>
        <v>Development will accept Section 811 PBRA on 10% of the total units.  Applicant and management company have experience with the requirements of HUD's Section 811 renal assistance program on previous affordable developments.  The property would not have rental assistance on all the units.</v>
      </c>
      <c r="B1632" s="1583"/>
      <c r="C1632" s="1583"/>
      <c r="D1632" s="1583"/>
      <c r="E1632" s="1583"/>
      <c r="F1632" s="1583"/>
      <c r="G1632" s="1583"/>
      <c r="H1632" s="1583"/>
      <c r="I1632" s="1583"/>
      <c r="J1632" s="1583"/>
      <c r="K1632" s="1583"/>
      <c r="L1632" s="1583"/>
      <c r="M1632" s="1583"/>
      <c r="N1632" s="1583"/>
      <c r="O1632" s="1583"/>
      <c r="P1632" s="1583"/>
      <c r="Q1632" s="1583"/>
      <c r="R1632" s="3179" t="s">
        <v>1254</v>
      </c>
      <c r="S1632" s="1659"/>
      <c r="T1632" s="1659"/>
      <c r="U1632" s="1659"/>
      <c r="V1632" s="1659"/>
    </row>
    <row r="1633" spans="1:22" ht="15">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2671</v>
      </c>
      <c r="D1636" s="457"/>
      <c r="E1636" s="1582"/>
      <c r="F1636" s="1582"/>
      <c r="G1636" s="1582"/>
      <c r="H1636" s="1582"/>
      <c r="I1636" s="1582"/>
      <c r="J1636" s="1582"/>
      <c r="K1636" s="1582"/>
      <c r="L1636" s="1582"/>
      <c r="M1636" s="1582"/>
      <c r="O1636" s="3177" t="s">
        <v>1868</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393.75">
      <c r="A1638" s="1583" t="str">
        <f>'Part VIII-Threshold Criteria'!A480</f>
        <v>The development would provide 100% of its units at affordable rates of 60% AMI or less.  The use of DCA resources was minimized through incorporation of CDBG-DR debt.  The development would be an excellent opportunity to leverage resources to meet the housing needs of Kingsland, Georgia in a disaster recovery zone (Zip Code 31548).</v>
      </c>
      <c r="B1638" s="1583"/>
      <c r="C1638" s="1583"/>
      <c r="D1638" s="1583"/>
      <c r="E1638" s="1583"/>
      <c r="F1638" s="1583"/>
      <c r="G1638" s="1583"/>
      <c r="H1638" s="1583"/>
      <c r="I1638" s="1583"/>
      <c r="J1638" s="1583"/>
      <c r="K1638" s="1583"/>
      <c r="L1638" s="1583"/>
      <c r="M1638" s="1583"/>
      <c r="N1638" s="1583"/>
      <c r="O1638" s="1583"/>
      <c r="P1638" s="1583"/>
      <c r="Q1638" s="1583"/>
      <c r="R1638" s="3179" t="s">
        <v>1254</v>
      </c>
      <c r="S1638" s="3179"/>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4964</v>
      </c>
      <c r="D1643" s="457"/>
      <c r="E1643" s="1583"/>
      <c r="F1643" s="1583"/>
      <c r="G1643" s="1583"/>
      <c r="H1643" s="1583"/>
      <c r="I1643" s="1583"/>
      <c r="J1643" s="1583"/>
      <c r="K1643" s="1583"/>
      <c r="L1643" s="1583"/>
      <c r="M1643" s="1583"/>
      <c r="N1643" s="1794"/>
      <c r="O1643" s="1583" t="s">
        <v>1868</v>
      </c>
      <c r="P1643" s="1317"/>
      <c r="Q1643" s="1317"/>
    </row>
    <row r="1644" spans="1:22" ht="18.75">
      <c r="A1644" s="1676"/>
      <c r="B1644" s="1723" t="s">
        <v>4795</v>
      </c>
      <c r="C1644" s="1676"/>
      <c r="D1644" s="1525"/>
      <c r="E1644" s="1525"/>
      <c r="F1644" s="1655"/>
      <c r="H1644" s="1676"/>
      <c r="I1644" s="1676"/>
      <c r="J1644" s="1676"/>
      <c r="K1644" s="1676"/>
      <c r="L1644" s="3210"/>
      <c r="M1644" s="3210"/>
      <c r="N1644" s="3210"/>
      <c r="O1644" s="3210"/>
      <c r="P1644" s="3210"/>
      <c r="Q1644" s="3210"/>
      <c r="R1644" s="3210"/>
      <c r="S1644" s="1676"/>
      <c r="T1644" s="3212"/>
      <c r="U1644" s="3212"/>
      <c r="V1644" s="1676"/>
    </row>
    <row r="1645" spans="1:22" ht="18.75">
      <c r="A1645" s="1317"/>
      <c r="B1645" s="457" t="s">
        <v>4916</v>
      </c>
      <c r="C1645" s="1676"/>
      <c r="D1645" s="1549"/>
      <c r="E1645" s="1549"/>
      <c r="F1645" s="1655"/>
      <c r="G1645" s="1794"/>
      <c r="H1645" s="1676"/>
      <c r="I1645" s="1676"/>
      <c r="J1645" s="1676"/>
      <c r="K1645" s="457"/>
      <c r="L1645" s="1676"/>
      <c r="M1645" s="1314"/>
      <c r="N1645" s="457"/>
      <c r="O1645" s="1676"/>
      <c r="P1645" s="457" t="str">
        <f>'Part VIII-Threshold Criteria'!P487</f>
        <v>Yes</v>
      </c>
      <c r="Q1645" s="457"/>
      <c r="R1645" s="1528"/>
      <c r="S1645" s="1676"/>
      <c r="T1645" s="3212"/>
      <c r="U1645" s="3212"/>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2019-078 Abbington Sound, ,  County</v>
      </c>
      <c r="B1649" s="1314"/>
      <c r="C1649" s="1314"/>
      <c r="D1649" s="1314"/>
      <c r="E1649" s="1314"/>
      <c r="F1649" s="1314"/>
      <c r="G1649" s="1314"/>
      <c r="H1649" s="1314"/>
      <c r="I1649" s="1314"/>
      <c r="J1649" s="1314"/>
      <c r="K1649" s="1314"/>
      <c r="L1649" s="1314"/>
      <c r="M1649" s="1314"/>
      <c r="N1649" s="1314"/>
      <c r="O1649" s="1314"/>
      <c r="P1649" s="1314"/>
      <c r="Q1649" s="3213"/>
      <c r="R1649" s="3213"/>
      <c r="S1649" s="3213"/>
    </row>
    <row r="1650" spans="1:24" ht="15">
      <c r="A1650" s="457"/>
      <c r="B1650" s="457"/>
      <c r="C1650" s="1654"/>
      <c r="D1650" s="457"/>
      <c r="E1650" s="457"/>
      <c r="F1650" s="457"/>
      <c r="G1650" s="457"/>
      <c r="H1650" s="457"/>
      <c r="I1650" s="457"/>
      <c r="J1650" s="457"/>
      <c r="K1650" s="457"/>
      <c r="L1650" s="457"/>
      <c r="M1650" s="1578"/>
      <c r="N1650" s="1313"/>
      <c r="O1650" s="1313"/>
      <c r="P1650" s="1313"/>
      <c r="Q1650" s="3213"/>
      <c r="R1650" s="3213"/>
      <c r="S1650" s="3213"/>
    </row>
    <row r="1651" spans="1:24" ht="15" customHeight="1">
      <c r="A1651" s="1468" t="s">
        <v>5355</v>
      </c>
      <c r="B1651" s="1468"/>
      <c r="C1651" s="1468"/>
      <c r="D1651" s="1468"/>
      <c r="E1651" s="1468"/>
      <c r="F1651" s="1468"/>
      <c r="G1651" s="1468"/>
      <c r="H1651" s="1468"/>
      <c r="I1651" s="1468"/>
      <c r="J1651" s="1468"/>
      <c r="K1651" s="1468"/>
      <c r="L1651" s="1468"/>
      <c r="M1651" s="1606" t="s">
        <v>2220</v>
      </c>
      <c r="N1651" s="1313"/>
      <c r="O1651" s="1313" t="s">
        <v>2219</v>
      </c>
      <c r="P1651" s="1313" t="s">
        <v>256</v>
      </c>
      <c r="Q1651" s="3213"/>
      <c r="R1651" s="3213"/>
      <c r="S1651" s="3213"/>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3213"/>
      <c r="R1652" s="3213"/>
      <c r="S1652" s="3213"/>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3214"/>
      <c r="N1653" s="1314"/>
      <c r="O1653" s="1313"/>
      <c r="P1653" s="1320"/>
      <c r="Q1653" s="3213"/>
      <c r="R1653" s="3213"/>
      <c r="S1653" s="3213"/>
      <c r="T1653" s="1655"/>
      <c r="U1653" s="1655"/>
      <c r="V1653" s="1655"/>
      <c r="W1653" s="1655"/>
      <c r="X1653" s="1655"/>
    </row>
    <row r="1654" spans="1:24" ht="16.5">
      <c r="A1654" s="1314"/>
      <c r="B1654" s="3121" t="str">
        <f>'Part I-Project Information'!$B$6</f>
        <v>April 2019 Final</v>
      </c>
      <c r="C1654" s="3121"/>
      <c r="D1654" s="3121"/>
      <c r="E1654" s="3121"/>
      <c r="F1654" s="3121"/>
      <c r="G1654" s="1314"/>
      <c r="H1654" s="1314"/>
      <c r="I1654" s="1314"/>
      <c r="J1654" s="1314"/>
      <c r="K1654" s="1655"/>
      <c r="L1654" s="3215" t="s">
        <v>1226</v>
      </c>
      <c r="M1654" s="1546">
        <f>M2096</f>
        <v>92</v>
      </c>
      <c r="N1654" s="1546"/>
      <c r="O1654" s="1546">
        <f>O2096</f>
        <v>53</v>
      </c>
      <c r="P1654" s="1546">
        <f>P2096</f>
        <v>20</v>
      </c>
      <c r="Q1654" s="3213"/>
      <c r="R1654" s="3213"/>
      <c r="S1654" s="3213"/>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4804</v>
      </c>
      <c r="B1656" s="1314"/>
      <c r="C1656" s="1314"/>
      <c r="D1656" s="457"/>
      <c r="E1656" s="457"/>
      <c r="F1656" s="457"/>
      <c r="G1656" s="1549"/>
      <c r="H1656" s="1335" t="s">
        <v>5356</v>
      </c>
      <c r="I1656" s="1549"/>
      <c r="J1656" s="1549"/>
      <c r="K1656" s="1549"/>
      <c r="L1656" s="1549"/>
      <c r="M1656" s="3216" t="s">
        <v>5357</v>
      </c>
      <c r="N1656" s="1549"/>
      <c r="O1656" s="1607">
        <f>'Part IX Scoring Criteria'!O8</f>
        <v>0</v>
      </c>
      <c r="P1656" s="1313">
        <f>IF(P1658&lt;2,0,IF(AND(P1658&gt;1,P1658&lt;5),1,IF(P1658&gt;4,P1658-3)))</f>
        <v>0</v>
      </c>
      <c r="Q1656" s="457" t="s">
        <v>5358</v>
      </c>
      <c r="R1656" s="3217"/>
      <c r="S1656" s="3178"/>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3218" t="s">
        <v>4802</v>
      </c>
      <c r="P1658" s="1578">
        <f>SUM(P1659:P1668)</f>
        <v>0</v>
      </c>
      <c r="Q1658" s="1550" t="s">
        <v>5359</v>
      </c>
      <c r="R1658" s="1550"/>
      <c r="S1658" s="1550"/>
      <c r="T1658" s="1550"/>
      <c r="U1658" s="1550"/>
      <c r="V1658" s="1550"/>
      <c r="W1658" s="1314"/>
      <c r="X1658" s="1314"/>
    </row>
    <row r="1659" spans="1:24">
      <c r="A1659" s="1673" t="s">
        <v>742</v>
      </c>
      <c r="B1659" s="1053" t="s">
        <v>4144</v>
      </c>
      <c r="C1659" s="1573"/>
      <c r="D1659" s="1573"/>
      <c r="E1659" s="3219" t="str">
        <f>$O$61</f>
        <v>13039010401</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3219">
        <f>$O$153</f>
        <v>0</v>
      </c>
      <c r="F1660" s="1585">
        <f>$A$185</f>
        <v>0</v>
      </c>
      <c r="G1660" s="1585"/>
      <c r="H1660" s="1585"/>
      <c r="I1660" s="1585"/>
      <c r="J1660" s="1585"/>
      <c r="K1660" s="1585"/>
      <c r="L1660" s="1585"/>
      <c r="M1660" s="1585"/>
      <c r="N1660" s="1585"/>
      <c r="O1660" s="1585"/>
      <c r="P1660" s="1694"/>
      <c r="Q1660" s="3122" t="str">
        <f>IF(OR($A$67="",$A$302="",$A$185="",$A$224="",$A$273="",$A$325="",$A$365="",$A$380="",$A$416="",$A$436=""),"Some Applicant Scoring Justification boxes are empty! Check to see if points claimed.","")</f>
        <v>Some Applicant Scoring Justification boxes are empty! Check to see if points claimed.</v>
      </c>
      <c r="R1660" s="3122"/>
      <c r="S1660" s="3122"/>
      <c r="T1660" s="1314"/>
      <c r="U1660" s="1314"/>
      <c r="V1660" s="1314"/>
      <c r="W1660" s="1314"/>
      <c r="X1660" s="1314"/>
    </row>
    <row r="1661" spans="1:24" ht="12.75" customHeight="1">
      <c r="A1661" s="1673" t="s">
        <v>772</v>
      </c>
      <c r="B1661" s="1053" t="s">
        <v>4147</v>
      </c>
      <c r="C1661" s="1573"/>
      <c r="D1661" s="1573"/>
      <c r="E1661" s="3219">
        <f>$O$189</f>
        <v>0</v>
      </c>
      <c r="F1661" s="1585">
        <f>$A$224</f>
        <v>0</v>
      </c>
      <c r="G1661" s="1585"/>
      <c r="H1661" s="1585"/>
      <c r="I1661" s="1585"/>
      <c r="J1661" s="1585"/>
      <c r="K1661" s="1585"/>
      <c r="L1661" s="1585"/>
      <c r="M1661" s="1585"/>
      <c r="N1661" s="1585"/>
      <c r="O1661" s="1585"/>
      <c r="P1661" s="1694"/>
      <c r="Q1661" s="3122"/>
      <c r="R1661" s="3122"/>
      <c r="S1661" s="3122"/>
      <c r="T1661" s="1314"/>
      <c r="U1661" s="1314"/>
      <c r="V1661" s="1314"/>
      <c r="W1661" s="1314"/>
      <c r="X1661" s="1314"/>
    </row>
    <row r="1662" spans="1:24" ht="12.75" customHeight="1">
      <c r="A1662" s="1673" t="s">
        <v>292</v>
      </c>
      <c r="B1662" s="1053" t="s">
        <v>4148</v>
      </c>
      <c r="C1662" s="1573"/>
      <c r="D1662" s="1573"/>
      <c r="E1662" s="3220" t="s">
        <v>1733</v>
      </c>
      <c r="F1662" s="1585">
        <f>$A$273</f>
        <v>0</v>
      </c>
      <c r="G1662" s="1585"/>
      <c r="H1662" s="1585"/>
      <c r="I1662" s="1585"/>
      <c r="J1662" s="1585"/>
      <c r="K1662" s="1585"/>
      <c r="L1662" s="1585"/>
      <c r="M1662" s="1585"/>
      <c r="N1662" s="1585"/>
      <c r="O1662" s="1585"/>
      <c r="P1662" s="1694"/>
      <c r="Q1662" s="3122"/>
      <c r="R1662" s="3122"/>
      <c r="S1662" s="3122"/>
      <c r="T1662" s="1314"/>
      <c r="U1662" s="1314"/>
      <c r="V1662" s="1314"/>
      <c r="W1662" s="1314"/>
      <c r="X1662" s="1314"/>
    </row>
    <row r="1663" spans="1:24" ht="12.75" customHeight="1">
      <c r="A1663" s="1673" t="s">
        <v>362</v>
      </c>
      <c r="B1663" s="1053" t="s">
        <v>3786</v>
      </c>
      <c r="C1663" s="1573"/>
      <c r="D1663" s="1573"/>
      <c r="E1663" s="3219" t="str">
        <f>$O$298</f>
        <v>Name of Principal</v>
      </c>
      <c r="F1663" s="1585">
        <f>$A$302</f>
        <v>0</v>
      </c>
      <c r="G1663" s="1585"/>
      <c r="H1663" s="1585"/>
      <c r="I1663" s="1585"/>
      <c r="J1663" s="1585"/>
      <c r="K1663" s="1585"/>
      <c r="L1663" s="1585"/>
      <c r="M1663" s="1585"/>
      <c r="N1663" s="1585"/>
      <c r="O1663" s="1585"/>
      <c r="P1663" s="1694"/>
      <c r="Q1663" s="3122"/>
      <c r="R1663" s="3122"/>
      <c r="S1663" s="3122"/>
      <c r="T1663" s="1314"/>
      <c r="U1663" s="1314"/>
      <c r="V1663" s="1314"/>
      <c r="W1663" s="1314"/>
      <c r="X1663" s="1314"/>
    </row>
    <row r="1664" spans="1:24" ht="12.75" customHeight="1">
      <c r="A1664" s="1673" t="s">
        <v>4894</v>
      </c>
      <c r="B1664" s="1053" t="s">
        <v>4454</v>
      </c>
      <c r="C1664" s="1573"/>
      <c r="D1664" s="1573"/>
      <c r="E1664" s="3220" t="str">
        <f>$O$306</f>
        <v>Direct Line</v>
      </c>
      <c r="F1664" s="1585">
        <f>$A$325</f>
        <v>0</v>
      </c>
      <c r="G1664" s="1585"/>
      <c r="H1664" s="1585"/>
      <c r="I1664" s="1585"/>
      <c r="J1664" s="1585"/>
      <c r="K1664" s="1585"/>
      <c r="L1664" s="1585"/>
      <c r="M1664" s="1585"/>
      <c r="N1664" s="1585"/>
      <c r="O1664" s="1585"/>
      <c r="P1664" s="1694"/>
      <c r="Q1664" s="3122"/>
      <c r="R1664" s="3122"/>
      <c r="S1664" s="3122"/>
      <c r="T1664" s="1314"/>
      <c r="U1664" s="1314"/>
      <c r="V1664" s="1314"/>
      <c r="W1664" s="1314"/>
      <c r="X1664" s="1314"/>
    </row>
    <row r="1665" spans="1:24" ht="12.75" customHeight="1">
      <c r="A1665" s="1673" t="s">
        <v>2783</v>
      </c>
      <c r="B1665" s="1053" t="s">
        <v>4149</v>
      </c>
      <c r="C1665" s="1573"/>
      <c r="D1665" s="1573"/>
      <c r="E1665" s="3220">
        <f>$O$359</f>
        <v>0</v>
      </c>
      <c r="F1665" s="1585" t="str">
        <f>$A$365</f>
        <v>Co-Developer 2</v>
      </c>
      <c r="G1665" s="1585"/>
      <c r="H1665" s="1585"/>
      <c r="I1665" s="1585"/>
      <c r="J1665" s="1585"/>
      <c r="K1665" s="1585"/>
      <c r="L1665" s="1585"/>
      <c r="M1665" s="1585"/>
      <c r="N1665" s="1585"/>
      <c r="O1665" s="1585"/>
      <c r="P1665" s="1694"/>
      <c r="Q1665" s="3122"/>
      <c r="R1665" s="3122"/>
      <c r="S1665" s="3122"/>
      <c r="T1665" s="1314"/>
      <c r="U1665" s="1314"/>
      <c r="V1665" s="1314"/>
      <c r="W1665" s="1314"/>
      <c r="X1665" s="1314"/>
    </row>
    <row r="1666" spans="1:24" ht="12.75" customHeight="1">
      <c r="A1666" s="1673" t="s">
        <v>2252</v>
      </c>
      <c r="B1666" s="1053" t="s">
        <v>4150</v>
      </c>
      <c r="C1666" s="1573"/>
      <c r="D1666" s="1573"/>
      <c r="E1666" s="3219">
        <f>O2017</f>
        <v>0</v>
      </c>
      <c r="F1666" s="1585" t="str">
        <f>$A$380</f>
        <v>I.</v>
      </c>
      <c r="G1666" s="1585"/>
      <c r="H1666" s="1585"/>
      <c r="I1666" s="1585"/>
      <c r="J1666" s="1585"/>
      <c r="K1666" s="1585"/>
      <c r="L1666" s="1585"/>
      <c r="M1666" s="1585"/>
      <c r="N1666" s="1585"/>
      <c r="O1666" s="1585"/>
      <c r="P1666" s="1694"/>
      <c r="Q1666" s="3122"/>
      <c r="R1666" s="3122"/>
      <c r="S1666" s="3122"/>
      <c r="T1666" s="1314"/>
      <c r="U1666" s="1314"/>
      <c r="V1666" s="1314"/>
      <c r="W1666" s="1314"/>
      <c r="X1666" s="1314"/>
    </row>
    <row r="1667" spans="1:24" ht="12.75" customHeight="1">
      <c r="A1667" s="1673" t="s">
        <v>4097</v>
      </c>
      <c r="B1667" s="1053" t="s">
        <v>4151</v>
      </c>
      <c r="C1667" s="1573"/>
      <c r="D1667" s="1573"/>
      <c r="E1667" s="3219">
        <f>$O$384</f>
        <v>0</v>
      </c>
      <c r="F1667" s="1585">
        <f>$A$416</f>
        <v>0</v>
      </c>
      <c r="G1667" s="1585"/>
      <c r="H1667" s="1585"/>
      <c r="I1667" s="1585"/>
      <c r="J1667" s="1585"/>
      <c r="K1667" s="1585"/>
      <c r="L1667" s="1585"/>
      <c r="M1667" s="1585"/>
      <c r="N1667" s="1585"/>
      <c r="O1667" s="1585"/>
      <c r="P1667" s="1694"/>
      <c r="Q1667" s="3122"/>
      <c r="R1667" s="3122"/>
      <c r="S1667" s="3122"/>
      <c r="T1667" s="1314"/>
      <c r="U1667" s="1314"/>
      <c r="V1667" s="1314"/>
      <c r="W1667" s="1314"/>
      <c r="X1667" s="1314"/>
    </row>
    <row r="1668" spans="1:24" ht="12.75" customHeight="1">
      <c r="A1668" s="1673" t="s">
        <v>4098</v>
      </c>
      <c r="B1668" s="1053" t="s">
        <v>4153</v>
      </c>
      <c r="C1668" s="1573"/>
      <c r="D1668" s="1573"/>
      <c r="E1668" s="3220">
        <f>$O$420</f>
        <v>0</v>
      </c>
      <c r="F1668" s="1585">
        <f>$A$436</f>
        <v>0</v>
      </c>
      <c r="G1668" s="1585"/>
      <c r="H1668" s="1585"/>
      <c r="I1668" s="1585"/>
      <c r="J1668" s="1585"/>
      <c r="K1668" s="1585"/>
      <c r="L1668" s="1585"/>
      <c r="M1668" s="1585"/>
      <c r="N1668" s="1585"/>
      <c r="O1668" s="1585"/>
      <c r="P1668" s="1694"/>
      <c r="Q1668" s="3122"/>
      <c r="R1668" s="3122"/>
      <c r="S1668" s="3122"/>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3221" t="s">
        <v>616</v>
      </c>
      <c r="B1670" s="3159" t="s">
        <v>2785</v>
      </c>
      <c r="C1670" s="1314"/>
      <c r="D1670" s="1314"/>
      <c r="E1670" s="1314"/>
      <c r="F1670" s="1578"/>
      <c r="G1670" s="1314"/>
      <c r="H1670" s="1335" t="s">
        <v>5360</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4797</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5">
      <c r="A1673" s="1511"/>
      <c r="B1673" s="3222" t="s">
        <v>1987</v>
      </c>
      <c r="C1673" s="1317" t="s">
        <v>4800</v>
      </c>
      <c r="D1673" s="1317"/>
      <c r="E1673" s="1317"/>
      <c r="F1673" s="1578"/>
      <c r="G1673" s="1659"/>
      <c r="H1673" s="1335" t="s">
        <v>3646</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5">
      <c r="A1674" s="1511"/>
      <c r="B1674" s="3222" t="s">
        <v>1989</v>
      </c>
      <c r="C1674" s="1317" t="s">
        <v>5361</v>
      </c>
      <c r="D1674" s="1317"/>
      <c r="E1674" s="1317"/>
      <c r="F1674" s="1578"/>
      <c r="G1674" s="1659"/>
      <c r="H1674" s="1335" t="s">
        <v>4798</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5">
      <c r="A1675" s="1511"/>
      <c r="B1675" s="3222" t="s">
        <v>2535</v>
      </c>
      <c r="C1675" s="1317" t="s">
        <v>4799</v>
      </c>
      <c r="D1675" s="1317"/>
      <c r="E1675" s="1317"/>
      <c r="F1675" s="1578"/>
      <c r="G1675" s="1659"/>
      <c r="H1675" s="1335" t="s">
        <v>4803</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5114</v>
      </c>
      <c r="D1676" s="1573"/>
      <c r="E1676" s="1573"/>
      <c r="F1676" s="1573"/>
      <c r="G1676" s="1573"/>
      <c r="H1676" s="1573"/>
      <c r="I1676" s="1573"/>
      <c r="J1676" s="1573"/>
      <c r="K1676" s="1573"/>
      <c r="L1676" s="1573"/>
      <c r="M1676" s="1573"/>
      <c r="N1676" s="1573"/>
      <c r="O1676" s="1573"/>
      <c r="P1676" s="1573"/>
      <c r="Q1676" s="3179"/>
      <c r="R1676" s="3179"/>
      <c r="S1676" s="1659"/>
      <c r="T1676" s="1659"/>
      <c r="U1676" s="1659"/>
      <c r="V1676" s="1659"/>
      <c r="W1676" s="1659"/>
      <c r="X1676" s="1659"/>
    </row>
    <row r="1677" spans="1:24" ht="15">
      <c r="A1677" s="1578"/>
      <c r="B1677" s="1696"/>
      <c r="C1677" s="3223"/>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4551</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5">
      <c r="A1679" s="1578"/>
      <c r="B1679" s="1696"/>
      <c r="C1679" s="3223"/>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5010</v>
      </c>
      <c r="B1680" s="1342"/>
      <c r="C1680" s="1342"/>
      <c r="D1680" s="1342"/>
      <c r="E1680" s="1342"/>
      <c r="F1680" s="1639" t="s">
        <v>4141</v>
      </c>
      <c r="G1680" s="1550" t="s">
        <v>5011</v>
      </c>
      <c r="H1680" s="1550"/>
      <c r="I1680" s="1550"/>
      <c r="J1680" s="1639" t="s">
        <v>4141</v>
      </c>
      <c r="K1680" s="1638" t="s">
        <v>4796</v>
      </c>
      <c r="L1680" s="1638"/>
      <c r="M1680" s="1638"/>
      <c r="N1680" s="1638"/>
      <c r="O1680" s="1335" t="s">
        <v>4141</v>
      </c>
      <c r="P1680" s="1335"/>
      <c r="Q1680" s="1314"/>
      <c r="R1680" s="3217"/>
      <c r="S1680" s="3178"/>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3217"/>
      <c r="R1681" s="3178"/>
      <c r="S1681" s="1314"/>
      <c r="T1681" s="1314"/>
      <c r="U1681" s="1314"/>
      <c r="V1681" s="1314"/>
      <c r="W1681" s="1314"/>
      <c r="X1681" s="1314"/>
    </row>
    <row r="1682" spans="1:24" ht="20.25">
      <c r="A1682" s="1573">
        <v>1</v>
      </c>
      <c r="B1682" s="1573"/>
      <c r="C1682" s="1573"/>
      <c r="D1682" s="1573"/>
      <c r="E1682" s="1573"/>
      <c r="F1682" s="1694"/>
      <c r="G1682" s="1573">
        <v>1</v>
      </c>
      <c r="H1682" s="1573"/>
      <c r="I1682" s="1573"/>
      <c r="J1682" s="3220" t="s">
        <v>1733</v>
      </c>
      <c r="K1682" s="1573">
        <v>1</v>
      </c>
      <c r="L1682" s="1573"/>
      <c r="M1682" s="1573"/>
      <c r="N1682" s="1573"/>
      <c r="O1682" s="1583" t="s">
        <v>1733</v>
      </c>
      <c r="P1682" s="1583"/>
      <c r="Q1682" s="3179" t="s">
        <v>1254</v>
      </c>
      <c r="R1682" s="3178"/>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3179"/>
      <c r="R1683" s="3178"/>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3224" t="s">
        <v>2905</v>
      </c>
      <c r="K1684" s="1573">
        <v>3</v>
      </c>
      <c r="L1684" s="1573"/>
      <c r="M1684" s="1573"/>
      <c r="N1684" s="1573"/>
      <c r="O1684" s="1583" t="s">
        <v>2905</v>
      </c>
      <c r="P1684" s="1583"/>
      <c r="Q1684" s="1319" t="s">
        <v>5362</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3224"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3224" t="s">
        <v>3586</v>
      </c>
      <c r="K1688" s="1573">
        <v>7</v>
      </c>
      <c r="L1688" s="1573"/>
      <c r="M1688" s="1573"/>
      <c r="N1688" s="1573"/>
      <c r="O1688" s="1521"/>
      <c r="P1688" s="1521"/>
      <c r="Q1688" s="3178"/>
      <c r="R1688" s="3178"/>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3178"/>
      <c r="R1689" s="3178"/>
      <c r="S1689" s="1314"/>
      <c r="T1689" s="1314"/>
      <c r="U1689" s="1314"/>
      <c r="V1689" s="1314"/>
      <c r="W1689" s="1314"/>
      <c r="X1689" s="1314"/>
    </row>
    <row r="1690" spans="1:24" ht="20.25">
      <c r="A1690" s="1573">
        <v>9</v>
      </c>
      <c r="B1690" s="1573"/>
      <c r="C1690" s="1573"/>
      <c r="D1690" s="1573"/>
      <c r="E1690" s="1573"/>
      <c r="F1690" s="1694"/>
      <c r="G1690" s="1573">
        <v>9</v>
      </c>
      <c r="H1690" s="1573"/>
      <c r="I1690" s="1573"/>
      <c r="J1690" s="3224" t="s">
        <v>3587</v>
      </c>
      <c r="K1690" s="1573">
        <v>9</v>
      </c>
      <c r="L1690" s="1573"/>
      <c r="M1690" s="1573"/>
      <c r="N1690" s="1573"/>
      <c r="O1690" s="1521"/>
      <c r="P1690" s="1521"/>
      <c r="Q1690" s="3178"/>
      <c r="R1690" s="3178"/>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3178"/>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3224" t="s">
        <v>3588</v>
      </c>
      <c r="K1692" s="1573">
        <v>11</v>
      </c>
      <c r="L1692" s="1573"/>
      <c r="M1692" s="1573"/>
      <c r="N1692" s="1573"/>
      <c r="O1692" s="1521"/>
      <c r="P1692" s="1521"/>
      <c r="Q1692" s="3178"/>
      <c r="R1692" s="3178"/>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3221" t="s">
        <v>740</v>
      </c>
      <c r="B1695" s="3159"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3210" t="str">
        <f>IF(OR($O1695=$M1695,$O1695=0,$O1695=""),"","* * Check Score! * *")</f>
        <v>* * Check Score! * *</v>
      </c>
      <c r="S1695" s="1676"/>
      <c r="T1695" s="1676"/>
      <c r="U1695" s="1676"/>
      <c r="V1695" s="1676"/>
      <c r="W1695" s="1676"/>
      <c r="X1695" s="1676"/>
    </row>
    <row r="1696" spans="1:24" ht="15">
      <c r="A1696" s="3225"/>
      <c r="B1696" s="3226"/>
      <c r="C1696" s="1659"/>
      <c r="D1696" s="1659"/>
      <c r="E1696" s="457"/>
      <c r="F1696" s="1659" t="s">
        <v>4811</v>
      </c>
      <c r="G1696" s="1638"/>
      <c r="H1696" s="457"/>
      <c r="I1696" s="1549"/>
      <c r="J1696" s="1659"/>
      <c r="K1696" s="1436"/>
      <c r="L1696" s="3227"/>
      <c r="M1696" s="1313"/>
      <c r="N1696" s="1313"/>
      <c r="O1696" s="1546"/>
      <c r="P1696" s="1546"/>
      <c r="Q1696" s="1313"/>
      <c r="R1696" s="3210"/>
      <c r="S1696" s="1659"/>
      <c r="T1696" s="1659"/>
      <c r="U1696" s="1659"/>
      <c r="V1696" s="1659"/>
      <c r="W1696" s="1659"/>
      <c r="X1696" s="1659"/>
    </row>
    <row r="1697" spans="1:24" ht="15">
      <c r="A1697" s="1511" t="s">
        <v>1984</v>
      </c>
      <c r="B1697" s="1723" t="s">
        <v>2626</v>
      </c>
      <c r="C1697" s="1659"/>
      <c r="D1697" s="1659"/>
      <c r="E1697" s="457"/>
      <c r="F1697" s="1659"/>
      <c r="G1697" s="1638"/>
      <c r="H1697" s="1051" t="s">
        <v>5012</v>
      </c>
      <c r="I1697" s="1659"/>
      <c r="J1697" s="3228"/>
      <c r="K1697" s="3228" t="str">
        <f>'Part I-Project Information'!$K$94</f>
        <v>40% of Units at 60% of AMI</v>
      </c>
      <c r="L1697" s="1659"/>
      <c r="M1697" s="1313"/>
      <c r="N1697" s="1313"/>
      <c r="O1697" s="1659"/>
      <c r="P1697" s="1659"/>
      <c r="Q1697" s="1313"/>
      <c r="R1697" s="3210"/>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3210"/>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1984</v>
      </c>
      <c r="O1699" s="1685">
        <f>'Part IX Scoring Criteria'!O51</f>
        <v>2</v>
      </c>
      <c r="P1699" s="1685">
        <f>MIN($M1699, P1700+P1701)</f>
        <v>0</v>
      </c>
      <c r="Q1699" s="1676"/>
      <c r="R1699" s="1676"/>
      <c r="S1699" s="1676"/>
      <c r="T1699" s="1676"/>
      <c r="U1699" s="1676"/>
      <c r="V1699" s="1676"/>
      <c r="W1699" s="1676"/>
      <c r="X1699" s="1676"/>
    </row>
    <row r="1700" spans="1:24" ht="15">
      <c r="A1700" s="1511"/>
      <c r="B1700" s="3229" t="s">
        <v>1987</v>
      </c>
      <c r="C1700" s="3230" t="s">
        <v>4806</v>
      </c>
      <c r="D1700" s="457"/>
      <c r="E1700" s="1676"/>
      <c r="F1700" s="1676"/>
      <c r="G1700" s="1676"/>
      <c r="H1700" s="457" t="s">
        <v>4807</v>
      </c>
      <c r="I1700" s="1335"/>
      <c r="J1700" s="1676"/>
      <c r="K1700" s="3231">
        <f>'Part VI-Revenues &amp; Expenses'!B1697</f>
        <v>0</v>
      </c>
      <c r="L1700" s="1342" t="str">
        <f>IF(AND(O1700&gt;0,O1701&gt;0), "CHOOSE EITHER A OR B, NOT BOTH!", "")</f>
        <v/>
      </c>
      <c r="M1700" s="1316">
        <v>2</v>
      </c>
      <c r="N1700" s="1696" t="s">
        <v>1987</v>
      </c>
      <c r="O1700" s="1546">
        <f>'Part IX Scoring Criteria'!O52</f>
        <v>2</v>
      </c>
      <c r="P1700" s="1546"/>
      <c r="Q1700" s="3232" t="str">
        <f>IF(OR($O1700=$M1700,$O1700=0,$O1700=""),"","*CHECK!*")</f>
        <v/>
      </c>
      <c r="R1700" s="1335" t="s">
        <v>2707</v>
      </c>
      <c r="S1700" s="1676"/>
      <c r="T1700" s="1676"/>
      <c r="U1700" s="1676"/>
      <c r="V1700" s="1676"/>
      <c r="W1700" s="1676"/>
      <c r="X1700" s="1676"/>
    </row>
    <row r="1701" spans="1:24" ht="15">
      <c r="A1701" s="1620" t="s">
        <v>3344</v>
      </c>
      <c r="B1701" s="3229" t="s">
        <v>1989</v>
      </c>
      <c r="C1701" s="3230" t="s">
        <v>4808</v>
      </c>
      <c r="D1701" s="457"/>
      <c r="E1701" s="1676"/>
      <c r="F1701" s="1676"/>
      <c r="G1701" s="1676"/>
      <c r="H1701" s="1676"/>
      <c r="I1701" s="1335"/>
      <c r="J1701" s="1676"/>
      <c r="K1701" s="457"/>
      <c r="L1701" s="1342"/>
      <c r="M1701" s="1316">
        <v>2</v>
      </c>
      <c r="N1701" s="1696" t="s">
        <v>1989</v>
      </c>
      <c r="O1701" s="1546">
        <f>'Part IX Scoring Criteria'!O53</f>
        <v>0</v>
      </c>
      <c r="P1701" s="1546"/>
      <c r="Q1701" s="3232" t="str">
        <f>IF(OR($O1701=$M1701,$O1701=0,$O1701=""),"","*CHECK!*")</f>
        <v/>
      </c>
      <c r="R1701" s="1335" t="s">
        <v>2707</v>
      </c>
      <c r="S1701" s="1676"/>
      <c r="T1701" s="1676"/>
      <c r="U1701" s="1676"/>
      <c r="V1701" s="1676"/>
      <c r="W1701" s="1676"/>
      <c r="X1701" s="1676"/>
    </row>
    <row r="1702" spans="1:24" ht="15">
      <c r="A1702" s="1578"/>
      <c r="B1702" s="1696"/>
      <c r="C1702" s="3223"/>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1986</v>
      </c>
      <c r="B1703" s="1723" t="s">
        <v>5363</v>
      </c>
      <c r="C1703" s="1689"/>
      <c r="D1703" s="1689"/>
      <c r="E1703" s="1638"/>
      <c r="F1703" s="1689"/>
      <c r="G1703" s="1689"/>
      <c r="H1703" s="1335" t="s">
        <v>4809</v>
      </c>
      <c r="I1703" s="1335"/>
      <c r="J1703" s="3233" t="s">
        <v>4810</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5">
      <c r="A1704" s="3234"/>
      <c r="B1704" s="3229" t="s">
        <v>1987</v>
      </c>
      <c r="C1704" s="3235">
        <v>0.3</v>
      </c>
      <c r="D1704" s="1053" t="s">
        <v>3649</v>
      </c>
      <c r="E1704" s="1638"/>
      <c r="F1704" s="1647"/>
      <c r="G1704" s="1689"/>
      <c r="H1704" s="3236">
        <f>'Part IX Scoring Criteria'!H56</f>
        <v>0</v>
      </c>
      <c r="I1704" s="3236"/>
      <c r="J1704" s="3237">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3229" t="s">
        <v>1989</v>
      </c>
      <c r="C1705" s="1532" t="s">
        <v>3952</v>
      </c>
      <c r="D1705" s="1689"/>
      <c r="E1705" s="3238"/>
      <c r="F1705" s="1647"/>
      <c r="G1705" s="1689"/>
      <c r="H1705" s="1689"/>
      <c r="I1705" s="1654"/>
      <c r="J1705" s="1654"/>
      <c r="K1705" s="1654"/>
      <c r="L1705" s="1654"/>
      <c r="M1705" s="1654"/>
      <c r="N1705" s="1684" t="s">
        <v>1989</v>
      </c>
      <c r="O1705" s="1578" t="str">
        <f>'Part IX Scoring Criteria'!O57</f>
        <v>No</v>
      </c>
      <c r="P1705" s="1578"/>
      <c r="Q1705" s="1689"/>
      <c r="R1705" s="1689"/>
      <c r="S1705" s="1689"/>
      <c r="T1705" s="1689"/>
      <c r="U1705" s="1689"/>
      <c r="V1705" s="1689"/>
      <c r="W1705" s="1689"/>
      <c r="X1705" s="1689"/>
    </row>
    <row r="1706" spans="1:24" ht="15">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3179"/>
      <c r="R1707" s="1659"/>
      <c r="S1707" s="1659"/>
      <c r="T1707" s="1659"/>
      <c r="U1707" s="1659"/>
      <c r="V1707" s="1659"/>
      <c r="W1707" s="1659"/>
      <c r="X1707" s="1659"/>
    </row>
    <row r="1708" spans="1:24">
      <c r="N1708" s="1320"/>
      <c r="O1708" s="1320"/>
      <c r="P1708" s="1320"/>
    </row>
    <row r="1709" spans="1:24" ht="15.75" customHeight="1">
      <c r="A1709" s="3221" t="s">
        <v>742</v>
      </c>
      <c r="B1709" s="3159" t="s">
        <v>4092</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3851</v>
      </c>
      <c r="C1711" s="1676"/>
      <c r="D1711" s="1314"/>
      <c r="E1711" s="1676"/>
      <c r="F1711" s="1676"/>
      <c r="G1711" s="1676"/>
      <c r="H1711" s="1676"/>
      <c r="I1711" s="1676"/>
      <c r="J1711" s="1676"/>
      <c r="K1711" s="1676"/>
      <c r="L1711" s="1676"/>
      <c r="M1711" s="1676"/>
      <c r="N1711" s="1620"/>
      <c r="O1711" s="1578">
        <f>'Part IX Scoring Criteria'!O63</f>
        <v>0</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5364</v>
      </c>
      <c r="J1712" s="1468"/>
      <c r="K1712" s="1468"/>
      <c r="L1712" s="1468"/>
      <c r="M1712" s="1313">
        <v>10</v>
      </c>
      <c r="N1712" s="1696" t="s">
        <v>1984</v>
      </c>
      <c r="O1712" s="1546">
        <f>'Part IX Scoring Criteria'!O64</f>
        <v>10</v>
      </c>
      <c r="P1712" s="1546"/>
      <c r="Q1712" s="3232" t="str">
        <f>IF(OR($O1712=$M1712,$O1712=0,$O1712=""),"","*CHECK!*")</f>
        <v/>
      </c>
      <c r="R1712" s="1676"/>
      <c r="S1712" s="1676"/>
      <c r="T1712" s="1676"/>
      <c r="U1712" s="1676"/>
      <c r="V1712" s="1676"/>
      <c r="W1712" s="1676"/>
      <c r="X1712" s="1676"/>
    </row>
    <row r="1713" spans="1:24" ht="16.5">
      <c r="A1713" s="1511" t="s">
        <v>1986</v>
      </c>
      <c r="B1713" s="1317" t="s">
        <v>3840</v>
      </c>
      <c r="C1713" s="1676"/>
      <c r="D1713" s="1724"/>
      <c r="E1713" s="1676"/>
      <c r="F1713" s="3126"/>
      <c r="G1713" s="1676"/>
      <c r="H1713" s="1377" t="s">
        <v>3981</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5">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5">
      <c r="A1715" s="1583" t="str">
        <f>'Part IX Scoring Criteria'!A67</f>
        <v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v>
      </c>
      <c r="B1715" s="1583"/>
      <c r="C1715" s="1583"/>
      <c r="D1715" s="1583"/>
      <c r="E1715" s="1583"/>
      <c r="F1715" s="1583"/>
      <c r="G1715" s="1583"/>
      <c r="H1715" s="1583"/>
      <c r="I1715" s="1583"/>
      <c r="J1715" s="1583"/>
      <c r="K1715" s="1583"/>
      <c r="L1715" s="1583"/>
      <c r="M1715" s="1583"/>
      <c r="N1715" s="1583"/>
      <c r="O1715" s="1583"/>
      <c r="P1715" s="1583"/>
      <c r="Q1715" s="3179" t="s">
        <v>1254</v>
      </c>
      <c r="R1715" s="3179"/>
      <c r="S1715" s="1659"/>
      <c r="T1715" s="1659"/>
      <c r="U1715" s="1659"/>
      <c r="V1715" s="1659"/>
      <c r="W1715" s="1659"/>
      <c r="X1715" s="1659"/>
    </row>
    <row r="1716" spans="1:24" ht="15">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3179"/>
      <c r="R1717" s="3179"/>
      <c r="S1717" s="1659"/>
      <c r="T1717" s="1659"/>
      <c r="U1717" s="1659"/>
      <c r="V1717" s="1659"/>
      <c r="W1717" s="1659"/>
      <c r="X1717" s="1659"/>
    </row>
    <row r="1718" spans="1:24">
      <c r="M1718" s="1314"/>
      <c r="N1718" s="1313"/>
      <c r="O1718" s="1313"/>
      <c r="P1718" s="1313"/>
    </row>
    <row r="1719" spans="1:24" ht="15.75" customHeight="1">
      <c r="A1719" s="3221" t="s">
        <v>1792</v>
      </c>
      <c r="B1719" s="3159" t="s">
        <v>2632</v>
      </c>
      <c r="C1719" s="1659"/>
      <c r="D1719" s="1695"/>
      <c r="E1719" s="1659"/>
      <c r="F1719" s="1659"/>
      <c r="G1719" s="1659"/>
      <c r="H1719" s="1659"/>
      <c r="I1719" s="1659"/>
      <c r="J1719" s="1659"/>
      <c r="K1719" s="1701" t="s">
        <v>1880</v>
      </c>
      <c r="L1719" s="1659"/>
      <c r="M1719" s="1313">
        <v>6</v>
      </c>
      <c r="N1719" s="1620"/>
      <c r="O1719" s="1546">
        <f>'Part IX Scoring Criteria'!O71</f>
        <v>2</v>
      </c>
      <c r="P1719" s="1546">
        <f>IF($J$72="Flexible",MIN($M1719,MAX(P1734,P1740)),IF(AND($J$72="Rural",P1748&gt;0),MIN($M1748,P1748),0))</f>
        <v>0</v>
      </c>
      <c r="Q1719" s="1313" t="s">
        <v>441</v>
      </c>
      <c r="R1719" s="1702" t="s">
        <v>5365</v>
      </c>
      <c r="S1719" s="1702"/>
      <c r="T1719" s="1702"/>
      <c r="U1719" s="1702"/>
      <c r="V1719" s="1659"/>
      <c r="W1719" s="1659"/>
      <c r="X1719" s="1659"/>
    </row>
    <row r="1720" spans="1:24" ht="15">
      <c r="A1720" s="3221"/>
      <c r="B1720" s="1317" t="s">
        <v>3955</v>
      </c>
      <c r="C1720" s="1659"/>
      <c r="D1720" s="1695"/>
      <c r="E1720" s="1659"/>
      <c r="F1720" s="1659"/>
      <c r="G1720" s="1659"/>
      <c r="H1720" s="1317" t="s">
        <v>2795</v>
      </c>
      <c r="I1720" s="1204"/>
      <c r="J1720" s="1317" t="str">
        <f>'Part I-Project Information'!$H$105</f>
        <v>Rural</v>
      </c>
      <c r="K1720" s="1317"/>
      <c r="L1720" s="1659"/>
      <c r="M1720" s="1313"/>
      <c r="N1720" s="1620"/>
      <c r="O1720" s="1703" t="s">
        <v>3595</v>
      </c>
      <c r="P1720" s="1703" t="s">
        <v>3596</v>
      </c>
      <c r="Q1720" s="1313"/>
      <c r="R1720" s="1702"/>
      <c r="S1720" s="1702"/>
      <c r="T1720" s="1702"/>
      <c r="U1720" s="1702"/>
      <c r="V1720" s="1659"/>
      <c r="W1720" s="1659"/>
      <c r="X1720" s="1659"/>
    </row>
    <row r="1721" spans="1:24" ht="15">
      <c r="A1721" s="3221"/>
      <c r="B1721" s="1776" t="s">
        <v>1987</v>
      </c>
      <c r="C1721" s="457" t="s">
        <v>4817</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5">
      <c r="A1722" s="3221"/>
      <c r="B1722" s="1776" t="s">
        <v>1989</v>
      </c>
      <c r="C1722" s="457" t="s">
        <v>4818</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5">
      <c r="A1723" s="3221"/>
      <c r="B1723" s="1776" t="s">
        <v>2535</v>
      </c>
      <c r="C1723" s="457" t="s">
        <v>5366</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5">
      <c r="A1724" s="3221"/>
      <c r="B1724" s="1776" t="s">
        <v>1224</v>
      </c>
      <c r="C1724" s="457" t="s">
        <v>4812</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5">
      <c r="A1725" s="3221"/>
      <c r="B1725" s="3159"/>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3221"/>
      <c r="B1726" s="1317" t="s">
        <v>3961</v>
      </c>
      <c r="C1726" s="1659"/>
      <c r="D1726" s="1695"/>
      <c r="E1726" s="1659"/>
      <c r="F1726" s="1317" t="s">
        <v>3714</v>
      </c>
      <c r="G1726" s="1317"/>
      <c r="H1726" s="1317"/>
      <c r="I1726" s="1317"/>
      <c r="J1726" s="1317" t="s">
        <v>3715</v>
      </c>
      <c r="K1726" s="1317"/>
      <c r="L1726" s="1317"/>
      <c r="M1726" s="1317"/>
      <c r="N1726" s="1620"/>
      <c r="O1726" s="3239" t="s">
        <v>5367</v>
      </c>
      <c r="P1726" s="3239"/>
      <c r="Q1726" s="1313"/>
      <c r="R1726" s="1702"/>
      <c r="S1726" s="1702"/>
      <c r="T1726" s="1702"/>
      <c r="U1726" s="1702"/>
      <c r="V1726" s="1659"/>
      <c r="W1726" s="1659"/>
      <c r="X1726" s="1659"/>
    </row>
    <row r="1727" spans="1:24" ht="15">
      <c r="A1727" s="3221"/>
      <c r="B1727" s="1659"/>
      <c r="C1727" s="1317" t="s">
        <v>3960</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3240" t="s">
        <v>4138</v>
      </c>
      <c r="B1728" s="3240"/>
      <c r="C1728" s="1659"/>
      <c r="D1728" s="457" t="s">
        <v>3962</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3240"/>
      <c r="B1729" s="3240"/>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3240"/>
      <c r="B1730" s="3240"/>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3221"/>
      <c r="B1731" s="3159"/>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3241" t="s">
        <v>2786</v>
      </c>
      <c r="B1732" s="3159"/>
      <c r="C1732" s="1659"/>
      <c r="D1732" s="1695"/>
      <c r="E1732" s="1659"/>
      <c r="F1732" s="1525" t="s">
        <v>5368</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3241"/>
      <c r="B1733" s="3159"/>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1984</v>
      </c>
      <c r="B1734" s="1317" t="s">
        <v>3744</v>
      </c>
      <c r="C1734" s="1659"/>
      <c r="D1734" s="1695"/>
      <c r="E1734" s="1659"/>
      <c r="F1734" s="1549" t="s">
        <v>5369</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5370</v>
      </c>
      <c r="D1735" s="1583"/>
      <c r="E1735" s="1583"/>
      <c r="F1735" s="1583"/>
      <c r="G1735" s="1583"/>
      <c r="H1735" s="1583"/>
      <c r="I1735" s="1710" t="s">
        <v>5371</v>
      </c>
      <c r="J1735" s="1710"/>
      <c r="K1735" s="1710"/>
      <c r="L1735" s="1710"/>
      <c r="M1735" s="1713">
        <v>5</v>
      </c>
      <c r="N1735" s="1704" t="s">
        <v>1987</v>
      </c>
      <c r="O1735" s="3199">
        <f>'Part IX Scoring Criteria'!O87</f>
        <v>0</v>
      </c>
      <c r="P1735" s="3199"/>
      <c r="Q1735" s="3232" t="str">
        <f>IF(OR($O1735=$M1735,$O1735=0,$O1735=""),"","*CHECK!*")</f>
        <v/>
      </c>
      <c r="R1735" s="1335" t="s">
        <v>2707</v>
      </c>
      <c r="S1735" s="1711"/>
      <c r="T1735" s="1711"/>
      <c r="U1735" s="1711"/>
      <c r="V1735" s="1711"/>
      <c r="W1735" s="1711"/>
      <c r="X1735" s="1711"/>
    </row>
    <row r="1736" spans="1:24" ht="15" customHeight="1">
      <c r="A1736" s="1578" t="s">
        <v>1353</v>
      </c>
      <c r="B1736" s="1704" t="s">
        <v>1989</v>
      </c>
      <c r="C1736" s="1604" t="s">
        <v>5372</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3232" t="str">
        <f>IF(OR($O1736=$M1736,$O1736=0,$O1736=""),"","*CHECK!*")</f>
        <v/>
      </c>
      <c r="R1736" s="1335" t="s">
        <v>2707</v>
      </c>
      <c r="S1736" s="1711"/>
      <c r="T1736" s="1711"/>
      <c r="U1736" s="1711"/>
      <c r="V1736" s="1711"/>
      <c r="W1736" s="1711"/>
      <c r="X1736" s="1711"/>
    </row>
    <row r="1737" spans="1:24" ht="15" customHeight="1">
      <c r="A1737" s="1711"/>
      <c r="B1737" s="1704" t="s">
        <v>2535</v>
      </c>
      <c r="C1737" s="1604" t="s">
        <v>3745</v>
      </c>
      <c r="D1737" s="1604"/>
      <c r="E1737" s="1604"/>
      <c r="F1737" s="1604"/>
      <c r="G1737" s="1711"/>
      <c r="H1737" s="1711"/>
      <c r="I1737" s="1710"/>
      <c r="J1737" s="1710"/>
      <c r="K1737" s="1710"/>
      <c r="L1737" s="1710"/>
      <c r="M1737" s="1313">
        <v>1</v>
      </c>
      <c r="N1737" s="1776" t="s">
        <v>2535</v>
      </c>
      <c r="O1737" s="1546">
        <f>'Part IX Scoring Criteria'!O89</f>
        <v>0</v>
      </c>
      <c r="P1737" s="1546"/>
      <c r="Q1737" s="3232" t="str">
        <f>IF(OR($O1737=$M1737,$O1737=0,$O1737=""),"","*CHECK!*")</f>
        <v/>
      </c>
      <c r="R1737" s="1335" t="s">
        <v>2707</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3200"/>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3200"/>
      <c r="R1739" s="1528"/>
      <c r="S1739" s="1711"/>
      <c r="T1739" s="1711"/>
      <c r="U1739" s="1711"/>
      <c r="V1739" s="1711"/>
      <c r="W1739" s="1711"/>
      <c r="X1739" s="1711"/>
    </row>
    <row r="1740" spans="1:24" ht="15" customHeight="1">
      <c r="A1740" s="1762" t="s">
        <v>1986</v>
      </c>
      <c r="B1740" s="1202" t="s">
        <v>3746</v>
      </c>
      <c r="C1740" s="1202"/>
      <c r="D1740" s="1202"/>
      <c r="E1740" s="1202"/>
      <c r="F1740" s="1580" t="s">
        <v>5373</v>
      </c>
      <c r="G1740" s="1711"/>
      <c r="H1740" s="1711"/>
      <c r="I1740" s="1573" t="str">
        <f>'Part IX Scoring Criteria'!I92</f>
        <v>Coastal Regional Coaches</v>
      </c>
      <c r="J1740" s="1573"/>
      <c r="K1740" s="1573"/>
      <c r="L1740" s="1848" t="str">
        <f>'Part IX Scoring Criteria'!L92</f>
        <v>&lt;Enter phone here&gt;</v>
      </c>
      <c r="M1740" s="1313">
        <v>3</v>
      </c>
      <c r="N1740" s="1620" t="s">
        <v>1986</v>
      </c>
      <c r="O1740" s="1546">
        <f>'Part IX Scoring Criteria'!O92</f>
        <v>0</v>
      </c>
      <c r="P1740" s="1546">
        <f>IF($J$72="Flexible",MIN($M1740,P1743+P1744+P1745),0)</f>
        <v>0</v>
      </c>
      <c r="Q1740" s="3211"/>
      <c r="R1740" s="1528"/>
      <c r="S1740" s="1711"/>
      <c r="T1740" s="1711"/>
      <c r="U1740" s="1711"/>
      <c r="V1740" s="1711"/>
      <c r="W1740" s="1711"/>
      <c r="X1740" s="1711"/>
    </row>
    <row r="1741" spans="1:24" ht="15">
      <c r="A1741" s="3221"/>
      <c r="B1741" s="1620" t="s">
        <v>3777</v>
      </c>
      <c r="C1741" s="1335" t="s">
        <v>4815</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3221"/>
      <c r="B1742" s="1620" t="s">
        <v>3778</v>
      </c>
      <c r="C1742" s="1335" t="s">
        <v>4814</v>
      </c>
      <c r="D1742" s="1724"/>
      <c r="E1742" s="1676"/>
      <c r="F1742" s="1676"/>
      <c r="G1742" s="1676"/>
      <c r="H1742" s="1549"/>
      <c r="I1742" s="1573" t="str">
        <f>'Part IX Scoring Criteria'!I94</f>
        <v>&lt;&lt; Enter email address of the transit service here &gt;&gt;</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3242" t="s">
        <v>1987</v>
      </c>
      <c r="C1743" s="1550" t="s">
        <v>5374</v>
      </c>
      <c r="D1743" s="1550"/>
      <c r="E1743" s="1550"/>
      <c r="F1743" s="1550"/>
      <c r="G1743" s="1550"/>
      <c r="H1743" s="1550"/>
      <c r="I1743" s="1573"/>
      <c r="J1743" s="1573"/>
      <c r="K1743" s="1573"/>
      <c r="L1743" s="1573"/>
      <c r="M1743" s="1313">
        <v>3</v>
      </c>
      <c r="N1743" s="1776" t="s">
        <v>1987</v>
      </c>
      <c r="O1743" s="1546">
        <f>'Part IX Scoring Criteria'!O95</f>
        <v>0</v>
      </c>
      <c r="P1743" s="1546"/>
      <c r="Q1743" s="3200" t="str">
        <f>IF(OR($O1743=$M1743,$O1743=0,$O1743=""),"","*CHECK!*")</f>
        <v/>
      </c>
      <c r="R1743" s="1528" t="s">
        <v>2707</v>
      </c>
      <c r="S1743" s="1711"/>
      <c r="T1743" s="1711"/>
      <c r="U1743" s="1711"/>
      <c r="V1743" s="1711"/>
      <c r="W1743" s="1711"/>
      <c r="X1743" s="1711"/>
    </row>
    <row r="1744" spans="1:24" ht="15" customHeight="1">
      <c r="A1744" s="1578" t="s">
        <v>1353</v>
      </c>
      <c r="B1744" s="3242" t="s">
        <v>1989</v>
      </c>
      <c r="C1744" s="1550" t="s">
        <v>5375</v>
      </c>
      <c r="D1744" s="1550"/>
      <c r="E1744" s="1550"/>
      <c r="F1744" s="1550"/>
      <c r="G1744" s="1550"/>
      <c r="H1744" s="1550"/>
      <c r="I1744" s="1573" t="str">
        <f>'Part IX Scoring Criteria'!I96</f>
        <v>https://www.co.camden.ga.us/845/Transportation</v>
      </c>
      <c r="J1744" s="1573"/>
      <c r="K1744" s="1573"/>
      <c r="L1744" s="1573"/>
      <c r="M1744" s="1313">
        <v>2</v>
      </c>
      <c r="N1744" s="1776" t="s">
        <v>1989</v>
      </c>
      <c r="O1744" s="1546">
        <f>'Part IX Scoring Criteria'!O96</f>
        <v>0</v>
      </c>
      <c r="P1744" s="1546"/>
      <c r="Q1744" s="3200" t="str">
        <f>IF(OR($O1744=$M1744,$O1744=0,$O1744=""),"","*CHECK!*")</f>
        <v/>
      </c>
      <c r="R1744" s="1528" t="s">
        <v>2707</v>
      </c>
      <c r="S1744" s="1659"/>
      <c r="T1744" s="1659"/>
      <c r="U1744" s="1659"/>
      <c r="V1744" s="1659"/>
      <c r="W1744" s="1659"/>
      <c r="X1744" s="1659"/>
    </row>
    <row r="1745" spans="1:24" ht="15" customHeight="1">
      <c r="A1745" s="1578" t="s">
        <v>1353</v>
      </c>
      <c r="B1745" s="3242" t="s">
        <v>2535</v>
      </c>
      <c r="C1745" s="1550" t="s">
        <v>5376</v>
      </c>
      <c r="D1745" s="1550"/>
      <c r="E1745" s="1550"/>
      <c r="F1745" s="1550"/>
      <c r="G1745" s="1550"/>
      <c r="H1745" s="1550"/>
      <c r="I1745" s="1573"/>
      <c r="J1745" s="1573"/>
      <c r="K1745" s="1573"/>
      <c r="L1745" s="1573"/>
      <c r="M1745" s="1313">
        <v>1</v>
      </c>
      <c r="N1745" s="1776" t="s">
        <v>2535</v>
      </c>
      <c r="O1745" s="1546">
        <f>'Part IX Scoring Criteria'!O97</f>
        <v>0</v>
      </c>
      <c r="P1745" s="1546"/>
      <c r="Q1745" s="3200" t="str">
        <f>IF(OR($O1745=$M1745,$O1745=0,$O1745=""),"","*CHECK!*")</f>
        <v/>
      </c>
      <c r="R1745" s="1528" t="s">
        <v>2707</v>
      </c>
      <c r="S1745" s="1659"/>
      <c r="T1745" s="1659"/>
      <c r="U1745" s="1659"/>
      <c r="V1745" s="1659"/>
      <c r="W1745" s="1659"/>
      <c r="X1745" s="1659"/>
    </row>
    <row r="1746" spans="1:24" ht="15" customHeight="1">
      <c r="A1746" s="1631"/>
      <c r="B1746" s="3243"/>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https://www.co.camden.ga.us/845/Transportation</v>
      </c>
      <c r="J1746" s="1573"/>
      <c r="K1746" s="1573"/>
      <c r="L1746" s="1573"/>
      <c r="M1746" s="1676"/>
      <c r="N1746" s="1676"/>
      <c r="O1746" s="1676"/>
      <c r="P1746" s="1676"/>
      <c r="Q1746" s="3200"/>
      <c r="R1746" s="1528"/>
      <c r="S1746" s="1659"/>
      <c r="T1746" s="1659"/>
      <c r="U1746" s="1659"/>
      <c r="V1746" s="1659"/>
      <c r="W1746" s="1659"/>
      <c r="X1746" s="1659"/>
    </row>
    <row r="1747" spans="1:24" ht="15">
      <c r="A1747" s="3241" t="s">
        <v>2788</v>
      </c>
      <c r="B1747" s="1317"/>
      <c r="C1747" s="1659"/>
      <c r="D1747" s="1659"/>
      <c r="E1747" s="1695"/>
      <c r="F1747" s="1659"/>
      <c r="G1747" s="1659"/>
      <c r="H1747" s="1659"/>
      <c r="I1747" s="1573"/>
      <c r="J1747" s="1573"/>
      <c r="K1747" s="1573"/>
      <c r="L1747" s="1573"/>
      <c r="M1747" s="1313"/>
      <c r="N1747" s="1313"/>
      <c r="O1747" s="1313"/>
      <c r="P1747" s="1313"/>
      <c r="Q1747" s="3210"/>
      <c r="R1747" s="3210"/>
      <c r="S1747" s="1659"/>
      <c r="T1747" s="1659"/>
      <c r="U1747" s="1659"/>
      <c r="V1747" s="1659"/>
      <c r="W1747" s="1659"/>
      <c r="X1747" s="1659"/>
    </row>
    <row r="1748" spans="1:24" ht="15" customHeight="1">
      <c r="A1748" s="1511"/>
      <c r="B1748" s="1704" t="s">
        <v>1224</v>
      </c>
      <c r="C1748" s="1721" t="s">
        <v>5377</v>
      </c>
      <c r="D1748" s="1721"/>
      <c r="E1748" s="1721"/>
      <c r="F1748" s="1721"/>
      <c r="G1748" s="1721"/>
      <c r="H1748" s="1721"/>
      <c r="I1748" s="1317"/>
      <c r="J1748" s="1317"/>
      <c r="K1748" s="1317"/>
      <c r="L1748" s="1317"/>
      <c r="M1748" s="1313">
        <v>2</v>
      </c>
      <c r="N1748" s="1776" t="s">
        <v>1224</v>
      </c>
      <c r="O1748" s="1546">
        <f>'Part IX Scoring Criteria'!O100</f>
        <v>2</v>
      </c>
      <c r="P1748" s="1546"/>
      <c r="Q1748" s="3200" t="str">
        <f>IF(OR($O1748=$M1748,$O1748=0,$O1748=""),"","*CHECK!*")</f>
        <v/>
      </c>
      <c r="R1748" s="1528" t="s">
        <v>2707</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3200"/>
      <c r="R1749" s="1528"/>
      <c r="S1749" s="1676"/>
      <c r="T1749" s="1676"/>
      <c r="U1749" s="1676"/>
      <c r="V1749" s="1676"/>
      <c r="W1749" s="1676"/>
      <c r="X1749" s="1676"/>
    </row>
    <row r="1750" spans="1:24" ht="15">
      <c r="A1750" s="457" t="s">
        <v>5378</v>
      </c>
      <c r="B1750" s="1317"/>
      <c r="C1750" s="1659"/>
      <c r="D1750" s="1659"/>
      <c r="E1750" s="1695"/>
      <c r="F1750" s="1659"/>
      <c r="G1750" s="1659"/>
      <c r="H1750" s="1659"/>
      <c r="I1750" s="1659"/>
      <c r="J1750" s="1659"/>
      <c r="K1750" s="1317"/>
      <c r="L1750" s="1659"/>
      <c r="M1750" s="1313"/>
      <c r="N1750" s="1313"/>
      <c r="O1750" s="1313"/>
      <c r="P1750" s="1313"/>
      <c r="Q1750" s="3210"/>
      <c r="R1750" s="3210"/>
      <c r="S1750" s="1659"/>
      <c r="T1750" s="1659"/>
      <c r="U1750" s="1659"/>
      <c r="V1750" s="1659"/>
      <c r="W1750" s="1659"/>
      <c r="X1750" s="1659"/>
    </row>
    <row r="1751" spans="1:24" ht="15">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3179"/>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3221" t="s">
        <v>1794</v>
      </c>
      <c r="B1755" s="3159" t="s">
        <v>3979</v>
      </c>
      <c r="C1755" s="1659"/>
      <c r="D1755" s="457"/>
      <c r="E1755" s="457"/>
      <c r="F1755" s="1313"/>
      <c r="G1755" s="1313"/>
      <c r="H1755" s="1313"/>
      <c r="I1755" s="1525" t="s">
        <v>5368</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1984</v>
      </c>
      <c r="B1757" s="1317" t="s">
        <v>3980</v>
      </c>
      <c r="C1757" s="1676"/>
      <c r="D1757" s="1724"/>
      <c r="E1757" s="457" t="s">
        <v>4094</v>
      </c>
      <c r="F1757" s="1676"/>
      <c r="G1757" s="1524"/>
      <c r="H1757" s="1676"/>
      <c r="I1757" s="1620" t="s">
        <v>4088</v>
      </c>
      <c r="J1757" s="1524" t="str">
        <f>'Part I-Project Information'!$H$82</f>
        <v>Family</v>
      </c>
      <c r="K1757" s="1724"/>
      <c r="L1757" s="3210" t="str">
        <f>IF(OR($O1757=$M1757,$O1757=0,$O1757=""),"","* * Check Score! * *")</f>
        <v/>
      </c>
      <c r="M1757" s="1313">
        <v>3</v>
      </c>
      <c r="N1757" s="1620" t="s">
        <v>1984</v>
      </c>
      <c r="O1757" s="1546">
        <f>'Part IX Scoring Criteria'!O109</f>
        <v>0</v>
      </c>
      <c r="P1757" s="1546"/>
      <c r="Q1757" s="3232" t="str">
        <f>IF(OR($O1757=$M1757,$O1757=0,$O1757=""),"","*CHECK!*")</f>
        <v/>
      </c>
      <c r="R1757" s="1335" t="s">
        <v>2707</v>
      </c>
      <c r="S1757" s="1676"/>
      <c r="T1757" s="1676"/>
      <c r="U1757" s="1676"/>
      <c r="V1757" s="1676"/>
      <c r="W1757" s="1676"/>
      <c r="X1757" s="1676"/>
    </row>
    <row r="1758" spans="1:24" ht="15">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3244" t="s">
        <v>1987</v>
      </c>
      <c r="C1759" s="457" t="s">
        <v>5115</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5">
      <c r="A1760" s="1314"/>
      <c r="B1760" s="3244" t="s">
        <v>1989</v>
      </c>
      <c r="C1760" s="457" t="s">
        <v>5116</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75">
      <c r="A1761" s="1620"/>
      <c r="B1761" s="3244" t="s">
        <v>2535</v>
      </c>
      <c r="C1761" s="457" t="s">
        <v>4820</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3212"/>
      <c r="R1761" s="3212"/>
      <c r="S1761" s="3212"/>
      <c r="T1761" s="3212"/>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1986</v>
      </c>
      <c r="B1763" s="1317" t="s">
        <v>3983</v>
      </c>
      <c r="C1763" s="1676"/>
      <c r="D1763" s="1676"/>
      <c r="E1763" s="1676"/>
      <c r="F1763" s="457"/>
      <c r="G1763" s="457"/>
      <c r="H1763" s="1676"/>
      <c r="I1763" s="1676"/>
      <c r="J1763" s="1676"/>
      <c r="K1763" s="1676"/>
      <c r="L1763" s="3210" t="str">
        <f>IF(OR($O1763=$M1763,$O1763=0,$O1763=""),"","* * Check Score! * *")</f>
        <v/>
      </c>
      <c r="M1763" s="1316">
        <v>3</v>
      </c>
      <c r="N1763" s="1620" t="s">
        <v>1986</v>
      </c>
      <c r="O1763" s="1546">
        <f>'Part IX Scoring Criteria'!O115</f>
        <v>3</v>
      </c>
      <c r="P1763" s="1546"/>
      <c r="Q1763" s="3232" t="str">
        <f>IF(OR($O1763=$M1763,$O1763=0,$O1763=""),"","*CHECK!*")</f>
        <v/>
      </c>
      <c r="R1763" s="1335" t="s">
        <v>2707</v>
      </c>
      <c r="S1763" s="3212"/>
      <c r="T1763" s="3212"/>
      <c r="U1763" s="1676"/>
      <c r="V1763" s="1676"/>
      <c r="W1763" s="1676"/>
      <c r="X1763" s="1676"/>
    </row>
    <row r="1764" spans="1:24" ht="18.75">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3212"/>
      <c r="R1764" s="3212"/>
      <c r="S1764" s="3212"/>
      <c r="T1764" s="3212"/>
      <c r="U1764" s="1676"/>
      <c r="V1764" s="1676"/>
      <c r="W1764" s="1676"/>
      <c r="X1764" s="1676"/>
    </row>
    <row r="1765" spans="1:24" ht="51">
      <c r="A1765" s="1511"/>
      <c r="B1765" s="1727"/>
      <c r="C1765" s="457" t="s">
        <v>4571</v>
      </c>
      <c r="D1765" s="1335" t="s">
        <v>4822</v>
      </c>
      <c r="E1765" s="1676"/>
      <c r="F1765" s="457"/>
      <c r="G1765" s="457"/>
      <c r="H1765" s="1468" t="str">
        <f>'Part IX Scoring Criteria'!H117</f>
        <v>Urgent Care of Coastal Georgia (www.uccgeorgia.com)</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3212"/>
      <c r="R1765" s="3212"/>
      <c r="S1765" s="3212"/>
      <c r="T1765" s="3212"/>
      <c r="U1765" s="1676"/>
      <c r="V1765" s="1676"/>
      <c r="W1765" s="1676"/>
      <c r="X1765" s="1676"/>
    </row>
    <row r="1766" spans="1:24" ht="18.75">
      <c r="A1766" s="1511"/>
      <c r="B1766" s="457"/>
      <c r="C1766" s="457" t="s">
        <v>3987</v>
      </c>
      <c r="D1766" s="1676"/>
      <c r="E1766" s="457"/>
      <c r="F1766" s="457"/>
      <c r="G1766" s="457"/>
      <c r="H1766" s="1676"/>
      <c r="I1766" s="1676"/>
      <c r="J1766" s="1676"/>
      <c r="K1766" s="1676"/>
      <c r="L1766" s="1676"/>
      <c r="M1766" s="1313"/>
      <c r="N1766" s="1627" t="s">
        <v>3777</v>
      </c>
      <c r="O1766" s="1578" t="str">
        <f>'Part IX Scoring Criteria'!O118</f>
        <v>Yes</v>
      </c>
      <c r="P1766" s="1578"/>
      <c r="Q1766" s="3212"/>
      <c r="R1766" s="3212"/>
      <c r="S1766" s="3212"/>
      <c r="T1766" s="3212"/>
      <c r="U1766" s="1676"/>
      <c r="V1766" s="1676"/>
      <c r="W1766" s="1676"/>
      <c r="X1766" s="1676"/>
    </row>
    <row r="1767" spans="1:24" ht="18.75">
      <c r="A1767" s="1620"/>
      <c r="B1767" s="1776"/>
      <c r="C1767" s="457" t="s">
        <v>3988</v>
      </c>
      <c r="D1767" s="457"/>
      <c r="E1767" s="457"/>
      <c r="F1767" s="457"/>
      <c r="G1767" s="457"/>
      <c r="H1767" s="457"/>
      <c r="I1767" s="457"/>
      <c r="J1767" s="457"/>
      <c r="K1767" s="457"/>
      <c r="L1767" s="457"/>
      <c r="M1767" s="1578"/>
      <c r="N1767" s="1620" t="s">
        <v>3778</v>
      </c>
      <c r="O1767" s="1578" t="str">
        <f>'Part IX Scoring Criteria'!O119</f>
        <v>Yes</v>
      </c>
      <c r="P1767" s="1578"/>
      <c r="Q1767" s="3212"/>
      <c r="R1767" s="3212"/>
      <c r="S1767" s="3212"/>
      <c r="T1767" s="3212"/>
      <c r="U1767" s="457"/>
      <c r="V1767" s="457"/>
      <c r="W1767" s="457"/>
      <c r="X1767" s="457"/>
    </row>
    <row r="1768" spans="1:24">
      <c r="A1768" s="1620"/>
      <c r="B1768" s="1051"/>
      <c r="C1768" s="1051" t="s">
        <v>4122</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180">
      <c r="A1769" s="1620"/>
      <c r="B1769" s="1620"/>
      <c r="C1769" s="1583" t="str">
        <f>'Part IX Scoring Criteria'!C121</f>
        <v>Health Screenings (flu shots, diabetes, blood pressure), Healthy Weigth and Body Assessments, General Risk Assessments, Depression/Abuse</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14</v>
      </c>
      <c r="P1769" s="1849">
        <f>'Part IX Scoring Criteria'!P121</f>
        <v>0</v>
      </c>
      <c r="Q1769" s="457" t="str">
        <f>IF(O1769&gt;15, "Too much!","")</f>
        <v/>
      </c>
      <c r="R1769" s="1051"/>
      <c r="S1769" s="1051"/>
      <c r="T1769" s="1051"/>
      <c r="U1769" s="1051"/>
      <c r="V1769" s="1051"/>
      <c r="W1769" s="1051"/>
      <c r="X1769" s="1051"/>
    </row>
    <row r="1770" spans="1:24" ht="56.25">
      <c r="A1770" s="1620"/>
      <c r="B1770" s="1627"/>
      <c r="C1770" s="1583" t="str">
        <f>'Part IX Scoring Criteria'!C122</f>
        <v>Healthy Living and Healthy Eating Seminars</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45">
      <c r="A1771" s="1620"/>
      <c r="B1771" s="1620"/>
      <c r="C1771" s="1583" t="str">
        <f>'Part IX Scoring Criteria'!C123</f>
        <v>Fitness Center and Fitness Classes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weekly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22.5">
      <c r="A1772" s="1620"/>
      <c r="B1772" s="1620"/>
      <c r="C1772" s="1583" t="str">
        <f>'Part IX Scoring Criteria'!C124</f>
        <v>Community Garden</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Daily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4572</v>
      </c>
      <c r="D1773" s="457" t="s">
        <v>3989</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5">
      <c r="A1774" s="1511"/>
      <c r="B1774" s="457"/>
      <c r="C1774" s="1676"/>
      <c r="D1774" s="457" t="s">
        <v>3990</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4821</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5">
      <c r="A1783" s="1511"/>
      <c r="B1783" s="457"/>
      <c r="C1783" s="1676"/>
      <c r="D1783" s="457" t="s">
        <v>4823</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3815</v>
      </c>
      <c r="C1785" s="1676"/>
      <c r="D1785" s="457"/>
      <c r="E1785" s="1676"/>
      <c r="F1785" s="457"/>
      <c r="G1785" s="457"/>
      <c r="H1785" s="457"/>
      <c r="I1785" s="457"/>
      <c r="J1785" s="457"/>
      <c r="K1785" s="457"/>
      <c r="L1785" s="3210" t="str">
        <f>IF(OR($O1785=$M1785,$O1785=0,$O1785=""),"","* * Check Score! * *")</f>
        <v/>
      </c>
      <c r="M1785" s="1316">
        <v>1</v>
      </c>
      <c r="N1785" s="1696" t="s">
        <v>1989</v>
      </c>
      <c r="O1785" s="1546">
        <f>'Part IX Scoring Criteria'!O137</f>
        <v>1</v>
      </c>
      <c r="P1785" s="1546"/>
      <c r="Q1785" s="3232" t="str">
        <f>IF(OR($O1785=$M1785,$O1785=0,$O1785=""),"","*CHECK!*")</f>
        <v/>
      </c>
      <c r="R1785" s="1335" t="s">
        <v>2707</v>
      </c>
      <c r="S1785" s="3212"/>
      <c r="T1785" s="3212"/>
      <c r="U1785" s="3212"/>
      <c r="V1785" s="1676"/>
      <c r="W1785" s="1676"/>
      <c r="X1785" s="1676"/>
    </row>
    <row r="1786" spans="1:24" ht="18.75">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3212"/>
      <c r="S1786" s="3212"/>
      <c r="T1786" s="3212"/>
      <c r="U1786" s="3212"/>
      <c r="V1786" s="457"/>
      <c r="W1786" s="457"/>
      <c r="X1786" s="457"/>
    </row>
    <row r="1787" spans="1:24" ht="18.75" customHeight="1">
      <c r="A1787" s="1620"/>
      <c r="B1787" s="1727"/>
      <c r="C1787" s="1583" t="s">
        <v>5379</v>
      </c>
      <c r="D1787" s="1583"/>
      <c r="E1787" s="1583"/>
      <c r="F1787" s="1643"/>
      <c r="G1787" s="1524" t="s">
        <v>3992</v>
      </c>
      <c r="H1787" s="457"/>
      <c r="I1787" s="1643"/>
      <c r="J1787" s="1643"/>
      <c r="K1787" s="1643"/>
      <c r="L1787" s="1643"/>
      <c r="M1787" s="1620" t="s">
        <v>2436</v>
      </c>
      <c r="N1787" s="1620" t="s">
        <v>3777</v>
      </c>
      <c r="O1787" s="1578" t="str">
        <f>'Part IX Scoring Criteria'!O139</f>
        <v>Yes</v>
      </c>
      <c r="P1787" s="1578"/>
      <c r="Q1787" s="457"/>
      <c r="R1787" s="3212"/>
      <c r="S1787" s="3212"/>
      <c r="T1787" s="3212"/>
      <c r="U1787" s="3212"/>
      <c r="V1787" s="457"/>
      <c r="W1787" s="457"/>
      <c r="X1787" s="457"/>
    </row>
    <row r="1788" spans="1:24" ht="18.75">
      <c r="A1788" s="1620"/>
      <c r="B1788" s="1776"/>
      <c r="C1788" s="1583"/>
      <c r="D1788" s="1583"/>
      <c r="E1788" s="1583"/>
      <c r="F1788" s="1643"/>
      <c r="G1788" s="1524" t="s">
        <v>3993</v>
      </c>
      <c r="H1788" s="457"/>
      <c r="I1788" s="1643"/>
      <c r="J1788" s="1643"/>
      <c r="K1788" s="1643"/>
      <c r="L1788" s="1643"/>
      <c r="M1788" s="1578"/>
      <c r="N1788" s="1627" t="s">
        <v>3778</v>
      </c>
      <c r="O1788" s="1578" t="str">
        <f>'Part IX Scoring Criteria'!O140</f>
        <v>Yes</v>
      </c>
      <c r="P1788" s="1578"/>
      <c r="Q1788" s="457"/>
      <c r="R1788" s="3212"/>
      <c r="S1788" s="3212"/>
      <c r="T1788" s="3212"/>
      <c r="U1788" s="3212"/>
      <c r="V1788" s="457"/>
      <c r="W1788" s="457"/>
      <c r="X1788" s="457"/>
    </row>
    <row r="1789" spans="1:24" ht="18.75">
      <c r="A1789" s="1620"/>
      <c r="B1789" s="1776"/>
      <c r="C1789" s="1583"/>
      <c r="D1789" s="1583"/>
      <c r="E1789" s="1583"/>
      <c r="F1789" s="1643"/>
      <c r="G1789" s="1524" t="s">
        <v>3994</v>
      </c>
      <c r="H1789" s="457"/>
      <c r="I1789" s="1643"/>
      <c r="J1789" s="1643"/>
      <c r="K1789" s="1643"/>
      <c r="L1789" s="1643"/>
      <c r="M1789" s="1578"/>
      <c r="N1789" s="1620" t="s">
        <v>3779</v>
      </c>
      <c r="O1789" s="1578" t="str">
        <f>'Part IX Scoring Criteria'!O141</f>
        <v>Yes</v>
      </c>
      <c r="P1789" s="1578"/>
      <c r="Q1789" s="457"/>
      <c r="R1789" s="3212"/>
      <c r="S1789" s="3212"/>
      <c r="T1789" s="3212"/>
      <c r="U1789" s="3212"/>
      <c r="V1789" s="457"/>
      <c r="W1789" s="457"/>
      <c r="X1789" s="457"/>
    </row>
    <row r="1790" spans="1:24" ht="18.75">
      <c r="A1790" s="1620"/>
      <c r="B1790" s="1776"/>
      <c r="C1790" s="457"/>
      <c r="D1790" s="1643"/>
      <c r="E1790" s="1643"/>
      <c r="F1790" s="1643"/>
      <c r="G1790" s="1524" t="s">
        <v>3995</v>
      </c>
      <c r="H1790" s="457"/>
      <c r="I1790" s="1643"/>
      <c r="J1790" s="1643"/>
      <c r="K1790" s="1643"/>
      <c r="L1790" s="1643"/>
      <c r="M1790" s="1578"/>
      <c r="N1790" s="1620" t="s">
        <v>3781</v>
      </c>
      <c r="O1790" s="1578" t="str">
        <f>'Part IX Scoring Criteria'!O142</f>
        <v>Yes</v>
      </c>
      <c r="P1790" s="1578"/>
      <c r="Q1790" s="457"/>
      <c r="R1790" s="3212"/>
      <c r="S1790" s="3212"/>
      <c r="T1790" s="3212"/>
      <c r="U1790" s="3212"/>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5380</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78.75">
      <c r="A1794" s="1051"/>
      <c r="B1794" s="1620"/>
      <c r="C1794" s="1583" t="str">
        <f>'Part IX Scoring Criteria'!C146</f>
        <v>Determining Proper Nutritional Needs for Your Family</v>
      </c>
      <c r="D1794" s="1583">
        <f>'Part IX Scoring Criteria'!D146</f>
        <v>0</v>
      </c>
      <c r="E1794" s="1583">
        <f>'Part IX Scoring Criteria'!E146</f>
        <v>0</v>
      </c>
      <c r="F1794" s="1583">
        <f>'Part IX Scoring Criteria'!F146</f>
        <v>0</v>
      </c>
      <c r="G1794" s="1583" t="str">
        <f>'Part IX Scoring Criteria'!G146</f>
        <v>Monthly seminar discussion provided by Urgent Care of Coastal Georgia</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78.75">
      <c r="A1795" s="1620"/>
      <c r="B1795" s="1627"/>
      <c r="C1795" s="1583" t="str">
        <f>'Part IX Scoring Criteria'!C147</f>
        <v>How to Source Affordable Healthy Food Options</v>
      </c>
      <c r="D1795" s="1583">
        <f>'Part IX Scoring Criteria'!D147</f>
        <v>0</v>
      </c>
      <c r="E1795" s="1583">
        <f>'Part IX Scoring Criteria'!E147</f>
        <v>0</v>
      </c>
      <c r="F1795" s="1583">
        <f>'Part IX Scoring Criteria'!F147</f>
        <v>0</v>
      </c>
      <c r="G1795" s="1583" t="str">
        <f>'Part IX Scoring Criteria'!G147</f>
        <v>Monthly seminar discussion provided by Urgent Care of Coastal Georgia</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Proper Food Storage, Cooking, and Food Cleaning</v>
      </c>
      <c r="D1796" s="1583">
        <f>'Part IX Scoring Criteria'!D148</f>
        <v>0</v>
      </c>
      <c r="E1796" s="1583">
        <f>'Part IX Scoring Criteria'!E148</f>
        <v>0</v>
      </c>
      <c r="F1796" s="1583">
        <f>'Part IX Scoring Criteria'!F148</f>
        <v>0</v>
      </c>
      <c r="G1796" s="1583" t="str">
        <f>'Part IX Scoring Criteria'!G148</f>
        <v>Monthly seminar discussion provided by Urgent Care of Coastal Georgia</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90">
      <c r="A1797" s="1468"/>
      <c r="B1797" s="1468"/>
      <c r="C1797" s="1583" t="str">
        <f>'Part IX Scoring Criteria'!C149</f>
        <v>Community Garden Cultivation Encouragement</v>
      </c>
      <c r="D1797" s="1583">
        <f>'Part IX Scoring Criteria'!D149</f>
        <v>0</v>
      </c>
      <c r="E1797" s="1583">
        <f>'Part IX Scoring Criteria'!E149</f>
        <v>0</v>
      </c>
      <c r="F1797" s="1583">
        <f>'Part IX Scoring Criteria'!F149</f>
        <v>0</v>
      </c>
      <c r="G1797" s="1583" t="str">
        <f>'Part IX Scoring Criteria'!G149</f>
        <v>Health Services Coordinator referrals to agricultural extension office for growing tips.</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3179"/>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3221" t="s">
        <v>530</v>
      </c>
      <c r="B1801" s="3159" t="s">
        <v>3963</v>
      </c>
      <c r="C1801" s="1582"/>
      <c r="D1801" s="1582"/>
      <c r="E1801" s="1582"/>
      <c r="F1801" s="1582"/>
      <c r="G1801" s="1582"/>
      <c r="H1801" s="1582"/>
      <c r="I1801" s="1582"/>
      <c r="J1801" s="1582"/>
      <c r="K1801" s="1582"/>
      <c r="L1801" s="1582"/>
      <c r="M1801" s="1313">
        <v>5</v>
      </c>
      <c r="N1801" s="1694"/>
      <c r="O1801" s="1546">
        <f>'Part IX Scoring Criteria'!O153</f>
        <v>5</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1984</v>
      </c>
      <c r="B1803" s="1314" t="s">
        <v>4000</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5">
      <c r="A1804" s="1659"/>
      <c r="B1804" s="1524" t="s">
        <v>3824</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3210"/>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3210"/>
      <c r="S1805" s="1659"/>
      <c r="T1805" s="1659"/>
      <c r="U1805" s="1659"/>
      <c r="V1805" s="1659"/>
      <c r="W1805" s="1659"/>
      <c r="X1805" s="1659"/>
    </row>
    <row r="1806" spans="1:24" ht="15" customHeight="1">
      <c r="A1806" s="1511"/>
      <c r="B1806" s="1583" t="s">
        <v>5381</v>
      </c>
      <c r="C1806" s="1583"/>
      <c r="D1806" s="1583"/>
      <c r="E1806" s="457" t="s">
        <v>3821</v>
      </c>
      <c r="F1806" s="1676"/>
      <c r="G1806" s="457"/>
      <c r="H1806" s="1676"/>
      <c r="I1806" s="1550" t="str">
        <f>'Part IX Scoring Criteria'!I158</f>
        <v>Camden County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4828</v>
      </c>
      <c r="F1807" s="3210"/>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4829</v>
      </c>
      <c r="F1808" s="1578" t="str">
        <f>'Part I-Project Information'!$H$82</f>
        <v>Family</v>
      </c>
      <c r="G1808" s="1659"/>
      <c r="H1808" s="457"/>
      <c r="I1808" s="1582"/>
      <c r="J1808" s="1582"/>
      <c r="K1808" s="1659"/>
      <c r="L1808" s="1659"/>
      <c r="M1808" s="1582"/>
      <c r="N1808" s="1694"/>
      <c r="O1808" s="1550" t="s">
        <v>5382</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4827</v>
      </c>
      <c r="C1810" s="1582"/>
      <c r="D1810" s="1582"/>
      <c r="E1810" s="457"/>
      <c r="F1810" s="1524"/>
      <c r="G1810" s="1524"/>
      <c r="H1810" s="1659"/>
      <c r="I1810" s="1582"/>
      <c r="J1810" s="1582"/>
      <c r="K1810" s="1582"/>
      <c r="L1810" s="1582"/>
      <c r="M1810" s="1389" t="s">
        <v>4826</v>
      </c>
      <c r="N1810" s="1694"/>
      <c r="O1810" s="1550"/>
      <c r="P1810" s="1550"/>
      <c r="Q1810" s="1659"/>
      <c r="R1810" s="1659"/>
      <c r="S1810" s="1659"/>
      <c r="T1810" s="1587" t="s">
        <v>5055</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3864</v>
      </c>
      <c r="J1812" s="1550"/>
      <c r="K1812" s="1550"/>
      <c r="L1812" s="1389" t="s">
        <v>3818</v>
      </c>
      <c r="M1812" s="1389"/>
      <c r="N1812" s="1389"/>
      <c r="O1812" s="1550"/>
      <c r="P1812" s="1550"/>
      <c r="Q1812" s="1659"/>
      <c r="R1812" s="1721" t="s">
        <v>5023</v>
      </c>
      <c r="S1812" s="1659"/>
      <c r="T1812" s="1587"/>
      <c r="U1812" s="1587" t="s">
        <v>5054</v>
      </c>
      <c r="V1812" s="1659"/>
      <c r="W1812" s="1659"/>
      <c r="X1812" s="1659"/>
    </row>
    <row r="1813" spans="1:24" ht="23.25">
      <c r="A1813" s="1511"/>
      <c r="B1813" s="1735" t="s">
        <v>3816</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33.75">
      <c r="A1814" s="1659"/>
      <c r="B1814" s="1738" t="s">
        <v>3999</v>
      </c>
      <c r="C1814" s="1659"/>
      <c r="D1814" s="1550" t="str">
        <f>'Part IX Scoring Criteria'!D166</f>
        <v>Sugarmill Elementary School</v>
      </c>
      <c r="E1814" s="1550">
        <f>'Part IX Scoring Criteria'!E166</f>
        <v>0</v>
      </c>
      <c r="F1814" s="1550">
        <f>'Part IX Scoring Criteria'!F166</f>
        <v>0</v>
      </c>
      <c r="G1814" s="1850" t="str">
        <f>'Part IX Scoring Criteria'!G166</f>
        <v>PK - 5</v>
      </c>
      <c r="H1814" s="1611">
        <f>'Part IX Scoring Criteria'!H166</f>
        <v>0</v>
      </c>
      <c r="I1814" s="1739">
        <f>'Part IX Scoring Criteria'!I166</f>
        <v>88.6</v>
      </c>
      <c r="J1814" s="1739">
        <f>'Part IX Scoring Criteria'!J166</f>
        <v>88.7</v>
      </c>
      <c r="K1814" s="1739">
        <f>'Part IX Scoring Criteria'!K166</f>
        <v>92.2</v>
      </c>
      <c r="L1814" s="1739">
        <f>IF(I1814+J1814+K1814=0,"",AVERAGE(I1814,J1814,K1814))</f>
        <v>89.833333333333329</v>
      </c>
      <c r="M1814" s="1316" t="str">
        <f>IF(L1814="","",IF(L1814&gt;R1814,"Yes",IF(L1814&lt;R1814,"No","")))</f>
        <v>Yes</v>
      </c>
      <c r="N1814" s="1659"/>
      <c r="O1814" s="1578" t="str">
        <f>'Part IX Scoring Criteria'!O166</f>
        <v>No</v>
      </c>
      <c r="P1814" s="1578"/>
      <c r="Q1814" s="1659"/>
      <c r="R1814" s="1315">
        <v>73.400000000000006</v>
      </c>
      <c r="S1814" s="1659"/>
      <c r="T1814" s="1316">
        <f>IF(OR(M1814="Yes",O1814="Yes"),1,0)</f>
        <v>1</v>
      </c>
      <c r="U1814" s="3179">
        <f>SUM(T1814:T1818)</f>
        <v>3</v>
      </c>
      <c r="V1814" s="1659"/>
      <c r="W1814" s="1659"/>
      <c r="X1814" s="1659"/>
    </row>
    <row r="1815" spans="1:24" ht="22.5">
      <c r="A1815" s="1659"/>
      <c r="B1815" s="1738" t="s">
        <v>4162</v>
      </c>
      <c r="C1815" s="1659"/>
      <c r="D1815" s="1550" t="str">
        <f>'Part IX Scoring Criteria'!D167</f>
        <v>Saint Marys Middle School</v>
      </c>
      <c r="E1815" s="1550">
        <f>'Part IX Scoring Criteria'!E167</f>
        <v>0</v>
      </c>
      <c r="F1815" s="1550">
        <f>'Part IX Scoring Criteria'!F167</f>
        <v>0</v>
      </c>
      <c r="G1815" s="1850" t="str">
        <f>'Part IX Scoring Criteria'!G167</f>
        <v>6 - 8</v>
      </c>
      <c r="H1815" s="1611">
        <f>'Part IX Scoring Criteria'!H167</f>
        <v>0</v>
      </c>
      <c r="I1815" s="1739">
        <f>'Part IX Scoring Criteria'!I167</f>
        <v>72.5</v>
      </c>
      <c r="J1815" s="1739">
        <f>'Part IX Scoring Criteria'!J167</f>
        <v>72.900000000000006</v>
      </c>
      <c r="K1815" s="1739">
        <f>'Part IX Scoring Criteria'!K167</f>
        <v>83.7</v>
      </c>
      <c r="L1815" s="1739">
        <f>IF(I1815+J1815+K1815=0,"",AVERAGE(I1815,J1815,K1815))</f>
        <v>76.366666666666674</v>
      </c>
      <c r="M1815" s="1316" t="str">
        <f>IF(L1815="","",IF(L1815&gt;R1815,"Yes",IF(L1815&lt;R1815,"No","")))</f>
        <v>Yes</v>
      </c>
      <c r="N1815" s="1659"/>
      <c r="O1815" s="1578" t="str">
        <f>'Part IX Scoring Criteria'!O167</f>
        <v>Yes</v>
      </c>
      <c r="P1815" s="1578"/>
      <c r="Q1815" s="1659"/>
      <c r="R1815" s="1315">
        <v>72.099999999999994</v>
      </c>
      <c r="S1815" s="1659"/>
      <c r="T1815" s="1316">
        <f t="shared" ref="T1815:T1816" si="379">IF(OR(M1815="Yes",O1815="Yes"),1,0)</f>
        <v>1</v>
      </c>
      <c r="U1815" s="3179"/>
      <c r="V1815" s="1659"/>
      <c r="W1815" s="1659"/>
      <c r="X1815" s="1659"/>
    </row>
    <row r="1816" spans="1:24" ht="33.75">
      <c r="A1816" s="1620"/>
      <c r="B1816" s="1738" t="s">
        <v>3997</v>
      </c>
      <c r="C1816" s="1659"/>
      <c r="D1816" s="1550" t="str">
        <f>'Part IX Scoring Criteria'!D168</f>
        <v>Camden County High School</v>
      </c>
      <c r="E1816" s="1550">
        <f>'Part IX Scoring Criteria'!E168</f>
        <v>0</v>
      </c>
      <c r="F1816" s="1550">
        <f>'Part IX Scoring Criteria'!F168</f>
        <v>0</v>
      </c>
      <c r="G1816" s="1850" t="str">
        <f>'Part IX Scoring Criteria'!G168</f>
        <v>9-12</v>
      </c>
      <c r="H1816" s="1611">
        <f>'Part IX Scoring Criteria'!H168</f>
        <v>0</v>
      </c>
      <c r="I1816" s="1739">
        <f>'Part IX Scoring Criteria'!I168</f>
        <v>91.1</v>
      </c>
      <c r="J1816" s="1739">
        <f>'Part IX Scoring Criteria'!J168</f>
        <v>91.9</v>
      </c>
      <c r="K1816" s="1739">
        <f>'Part IX Scoring Criteria'!K168</f>
        <v>97.6</v>
      </c>
      <c r="L1816" s="1739">
        <f>IF(I1816+J1816+K1816=0,"",AVERAGE(I1816,J1816,K1816))</f>
        <v>93.533333333333346</v>
      </c>
      <c r="M1816" s="1316" t="str">
        <f>IF(L1816="","",IF(L1816&gt;R1816,"Yes",IF(L1816&lt;R1816,"No","")))</f>
        <v>Yes</v>
      </c>
      <c r="N1816" s="1659"/>
      <c r="O1816" s="1578" t="str">
        <f>'Part IX Scoring Criteria'!O168</f>
        <v>Yes</v>
      </c>
      <c r="P1816" s="1578"/>
      <c r="Q1816" s="1659"/>
      <c r="R1816" s="1315">
        <v>73.3</v>
      </c>
      <c r="S1816" s="1659"/>
      <c r="T1816" s="1316">
        <f t="shared" si="379"/>
        <v>1</v>
      </c>
      <c r="U1816" s="3179"/>
      <c r="V1816" s="1659"/>
      <c r="W1816" s="1659"/>
      <c r="X1816" s="1659"/>
    </row>
    <row r="1817" spans="1:24" ht="15">
      <c r="A1817" s="1620"/>
      <c r="B1817" s="1738"/>
      <c r="C1817" s="1659"/>
      <c r="D1817" s="1659"/>
      <c r="E1817" s="1659"/>
      <c r="F1817" s="1659"/>
      <c r="G1817" s="1659"/>
      <c r="H1817" s="1659"/>
      <c r="I1817" s="1659"/>
      <c r="J1817" s="1659"/>
      <c r="K1817" s="1659"/>
      <c r="L1817" s="3245"/>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1986</v>
      </c>
      <c r="B1819" s="1314" t="s">
        <v>4001</v>
      </c>
      <c r="C1819" s="1676"/>
      <c r="D1819" s="1724"/>
      <c r="E1819" s="1724"/>
      <c r="F1819" s="1525" t="s">
        <v>3391</v>
      </c>
      <c r="G1819" s="1676"/>
      <c r="H1819" s="1524" t="s">
        <v>3865</v>
      </c>
      <c r="I1819" s="1676"/>
      <c r="J1819" s="1676"/>
      <c r="K1819" s="1676"/>
      <c r="L1819" s="1676"/>
      <c r="M1819" s="1313">
        <v>2</v>
      </c>
      <c r="N1819" s="1696"/>
      <c r="O1819" s="1546" t="str">
        <f>'Part IX Scoring Criteria'!O171</f>
        <v>2.</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Kingsland</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3659</v>
      </c>
      <c r="P1821" s="1587"/>
      <c r="Q1821" s="1051"/>
      <c r="R1821" s="457" t="s">
        <v>2834</v>
      </c>
      <c r="S1821" s="457"/>
      <c r="T1821" s="457" t="str">
        <f>'Part I-Project Information'!$J$39</f>
        <v>Camden</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Camden Co.</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3858</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3859</v>
      </c>
      <c r="C1825" s="1051"/>
      <c r="D1825" s="1051"/>
      <c r="E1825" s="1745"/>
      <c r="F1825" s="1745"/>
      <c r="G1825" s="1745"/>
      <c r="H1825" s="1051"/>
      <c r="I1825" s="1745">
        <f>'Part IX Scoring Criteria'!I177</f>
        <v>4500</v>
      </c>
      <c r="J1825" s="1745"/>
      <c r="K1825" s="1051"/>
      <c r="L1825" s="1051"/>
      <c r="M1825" s="1051"/>
      <c r="N1825" s="1051"/>
      <c r="O1825" s="1051"/>
      <c r="P1825" s="1051"/>
      <c r="Q1825" s="1051"/>
      <c r="R1825" s="457" t="s">
        <v>3624</v>
      </c>
      <c r="S1825" s="457"/>
      <c r="T1825" s="457" t="str">
        <f>'Part I-Project Information'!$K$40</f>
        <v>Rural</v>
      </c>
      <c r="U1825" s="457"/>
      <c r="V1825" s="457"/>
      <c r="W1825" s="457"/>
      <c r="X1825" s="457"/>
    </row>
    <row r="1826" spans="1:24" ht="13.5">
      <c r="A1826" s="1738"/>
      <c r="B1826" s="1647" t="s">
        <v>3623</v>
      </c>
      <c r="C1826" s="1051"/>
      <c r="D1826" s="1051"/>
      <c r="E1826" s="1051"/>
      <c r="F1826" s="1051"/>
      <c r="G1826" s="1051"/>
      <c r="H1826" s="1636" t="str">
        <f>IF(I1826&lt;I1825,"Threshold not met!","")</f>
        <v/>
      </c>
      <c r="I1826" s="1745">
        <f>'Part IX Scoring Criteria'!I178</f>
        <v>5654</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4163</v>
      </c>
      <c r="D1828" s="1638"/>
      <c r="E1828" s="1638"/>
      <c r="F1828" s="1638"/>
      <c r="G1828" s="1638"/>
      <c r="H1828" s="1747" t="s">
        <v>1987</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4005</v>
      </c>
      <c r="D1829" s="1734"/>
      <c r="E1829" s="1734"/>
      <c r="F1829" s="1734"/>
      <c r="G1829" s="1051"/>
      <c r="H1829" s="1747" t="s">
        <v>1989</v>
      </c>
      <c r="I1829" s="1626" t="str">
        <f>'Part IX Scoring Criteria'!I181</f>
        <v>Yes</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3192">
        <f>'Part IX Scoring Criteria'!I182</f>
        <v>0.25644444444444447</v>
      </c>
      <c r="J1830" s="3192">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5">
      <c r="A1833" s="1583" t="str">
        <f>'Part IX Scoring Criteria'!A185</f>
        <v>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v>
      </c>
      <c r="B1833" s="1583"/>
      <c r="C1833" s="1583"/>
      <c r="D1833" s="1583"/>
      <c r="E1833" s="1583"/>
      <c r="F1833" s="1583"/>
      <c r="G1833" s="1583"/>
      <c r="H1833" s="1583"/>
      <c r="I1833" s="1583"/>
      <c r="J1833" s="1583"/>
      <c r="K1833" s="1583"/>
      <c r="L1833" s="1583"/>
      <c r="M1833" s="1583"/>
      <c r="N1833" s="1583"/>
      <c r="O1833" s="1583"/>
      <c r="P1833" s="1583"/>
      <c r="Q1833" s="3179" t="s">
        <v>1254</v>
      </c>
      <c r="R1833" s="1659"/>
      <c r="S1833" s="1659"/>
      <c r="T1833" s="1659"/>
      <c r="U1833" s="1659"/>
      <c r="V1833" s="1659"/>
      <c r="W1833" s="1659"/>
      <c r="X1833" s="1659"/>
    </row>
    <row r="1834" spans="1:24" ht="15">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3179"/>
      <c r="R1835" s="1659"/>
      <c r="S1835" s="1659"/>
      <c r="T1835" s="1659"/>
      <c r="U1835" s="3246"/>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3221" t="s">
        <v>772</v>
      </c>
      <c r="B1837" s="3159"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4836</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4836</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5117</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4941</v>
      </c>
      <c r="D1841" s="1583"/>
      <c r="E1841" s="1583"/>
      <c r="F1841" s="1583"/>
      <c r="G1841" s="1583"/>
      <c r="H1841" s="1583"/>
      <c r="I1841" s="1583"/>
      <c r="J1841" s="1627" t="s">
        <v>2436</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5383</v>
      </c>
      <c r="D1843" s="1550"/>
      <c r="E1843" s="1550"/>
      <c r="F1843" s="1550"/>
      <c r="G1843" s="1550"/>
      <c r="H1843" s="1676"/>
      <c r="I1843" s="1676"/>
      <c r="J1843" s="1620" t="s">
        <v>2437</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4831</v>
      </c>
      <c r="D1844" s="457"/>
      <c r="E1844" s="457"/>
      <c r="F1844" s="457"/>
      <c r="G1844" s="457"/>
      <c r="H1844" s="457"/>
      <c r="I1844" s="1314"/>
      <c r="J1844" s="1620" t="s">
        <v>2438</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4832</v>
      </c>
      <c r="D1845" s="457"/>
      <c r="E1845" s="457"/>
      <c r="F1845" s="457"/>
      <c r="G1845" s="457"/>
      <c r="H1845" s="457"/>
      <c r="I1845" s="1314"/>
      <c r="J1845" s="1620" t="s">
        <v>2440</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4834</v>
      </c>
      <c r="D1846" s="457"/>
      <c r="E1846" s="457"/>
      <c r="F1846" s="457"/>
      <c r="G1846" s="457"/>
      <c r="H1846" s="457"/>
      <c r="I1846" s="1314"/>
      <c r="J1846" s="1620" t="s">
        <v>2439</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4833</v>
      </c>
      <c r="D1847" s="457"/>
      <c r="E1847" s="457"/>
      <c r="F1847" s="457"/>
      <c r="G1847" s="457"/>
      <c r="H1847" s="1314"/>
      <c r="I1847" s="1314"/>
      <c r="J1847" s="1620" t="s">
        <v>2456</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4939</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4940</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4837</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4010</v>
      </c>
      <c r="I1853" s="1051" t="s">
        <v>4835</v>
      </c>
      <c r="M1853" s="1313">
        <v>5</v>
      </c>
      <c r="N1853" s="1620" t="s">
        <v>1984</v>
      </c>
      <c r="O1853" s="1685">
        <f>'Part IX Scoring Criteria'!O205</f>
        <v>0</v>
      </c>
      <c r="P1853" s="1685">
        <f>IF(SUM(P1854:P1855)=$M$207,0,MIN($M$205,SUM(P1854:P1855)))</f>
        <v>0</v>
      </c>
      <c r="Q1853" s="1372"/>
      <c r="X1853" s="1320"/>
    </row>
    <row r="1854" spans="1:24" ht="12.75" customHeight="1">
      <c r="A1854" s="1620"/>
      <c r="B1854" s="3247" t="s">
        <v>1987</v>
      </c>
      <c r="C1854" s="1583" t="s">
        <v>5118</v>
      </c>
      <c r="D1854" s="1583"/>
      <c r="E1854" s="1583"/>
      <c r="F1854" s="1583"/>
      <c r="G1854" s="1583"/>
      <c r="H1854" s="1583"/>
      <c r="I1854" s="1583"/>
      <c r="J1854" s="1583"/>
      <c r="K1854" s="1583"/>
      <c r="L1854" s="1583"/>
      <c r="M1854" s="1631">
        <v>3</v>
      </c>
      <c r="N1854" s="1704" t="s">
        <v>1987</v>
      </c>
      <c r="O1854" s="3199">
        <f>'Part IX Scoring Criteria'!O206</f>
        <v>0</v>
      </c>
      <c r="P1854" s="3199"/>
      <c r="Q1854" s="3232" t="str">
        <f>IF(OR($O1854=$M1854,$O1854=0,$O1854=""),"","*CHECK!*")</f>
        <v/>
      </c>
      <c r="R1854" s="1337" t="s">
        <v>2707</v>
      </c>
    </row>
    <row r="1855" spans="1:24">
      <c r="A1855" s="1620"/>
      <c r="B1855" s="3247" t="s">
        <v>1989</v>
      </c>
      <c r="C1855" s="1604" t="s">
        <v>5384</v>
      </c>
      <c r="D1855" s="1604"/>
      <c r="E1855" s="1604"/>
      <c r="F1855" s="1604"/>
      <c r="G1855" s="1604"/>
      <c r="H1855" s="1604"/>
      <c r="I1855" s="1604"/>
      <c r="J1855" s="1524" t="s">
        <v>3776</v>
      </c>
      <c r="K1855" s="1314"/>
      <c r="L1855" s="1524" t="str">
        <f>'Part I-Project Information'!$N$39</f>
        <v>No</v>
      </c>
      <c r="M1855" s="1578">
        <v>2</v>
      </c>
      <c r="N1855" s="1776" t="s">
        <v>1989</v>
      </c>
      <c r="O1855" s="1546">
        <f>'Part IX Scoring Criteria'!O207</f>
        <v>0</v>
      </c>
      <c r="P1855" s="1546"/>
      <c r="Q1855" s="3200" t="str">
        <f>IF(OR($O1855=$M1855,$O1855=0,$O1855=""),"","*CHECK!*")</f>
        <v/>
      </c>
      <c r="R1855" s="1337" t="s">
        <v>2707</v>
      </c>
    </row>
    <row r="1856" spans="1:24" ht="12.75" customHeight="1">
      <c r="A1856" s="1620"/>
      <c r="B1856" s="3247"/>
      <c r="C1856" s="1550" t="s">
        <v>4926</v>
      </c>
      <c r="D1856" s="1550"/>
      <c r="E1856" s="1550"/>
      <c r="F1856" s="1550"/>
      <c r="G1856" s="1550"/>
      <c r="H1856" s="1550"/>
      <c r="I1856" s="1582"/>
      <c r="J1856" s="1524" t="s">
        <v>3575</v>
      </c>
      <c r="K1856" s="1550"/>
      <c r="L1856" s="1761" t="str">
        <f>'Part I-Project Information'!$O$38</f>
        <v>13039010401</v>
      </c>
      <c r="M1856" s="1761"/>
      <c r="N1856" s="1631"/>
      <c r="O1856" s="1631"/>
      <c r="P1856" s="1631"/>
      <c r="Q1856" s="3200"/>
      <c r="R1856" s="1337"/>
    </row>
    <row r="1857" spans="1:24">
      <c r="A1857" s="1620"/>
      <c r="B1857" s="1647"/>
      <c r="C1857" s="1550"/>
      <c r="D1857" s="1550"/>
      <c r="E1857" s="1550"/>
      <c r="F1857" s="1550"/>
      <c r="G1857" s="1550"/>
      <c r="H1857" s="1550"/>
      <c r="J1857" s="1524" t="s">
        <v>3375</v>
      </c>
      <c r="K1857" s="1314"/>
      <c r="L1857" s="457" t="str">
        <f>'Part IV-A-Uses of Funds'!$H$152</f>
        <v>DDA/QCT</v>
      </c>
      <c r="M1857" s="457"/>
    </row>
    <row r="1858" spans="1:24">
      <c r="A1858" s="1511" t="s">
        <v>1986</v>
      </c>
      <c r="B1858" s="1317" t="s">
        <v>4838</v>
      </c>
      <c r="D1858" s="1314"/>
      <c r="F1858" s="3248"/>
      <c r="K1858" s="1624"/>
      <c r="L1858" s="3210" t="str">
        <f>IF(OR($O1858=$M1858,$O1858=0,$O1858=""),"","* * Check Score! * *")</f>
        <v/>
      </c>
      <c r="M1858" s="1313">
        <v>2</v>
      </c>
      <c r="N1858" s="1620" t="s">
        <v>1986</v>
      </c>
      <c r="O1858" s="1546">
        <f>'Part IX Scoring Criteria'!O210</f>
        <v>2</v>
      </c>
      <c r="P1858" s="1546"/>
      <c r="Q1858" s="3200" t="str">
        <f>IF(OR($O1858=$M1858,$O1858=0,$O1858=""),"","*CHECK!*")</f>
        <v/>
      </c>
      <c r="R1858" s="1337" t="s">
        <v>2707</v>
      </c>
    </row>
    <row r="1859" spans="1:24" ht="18.75">
      <c r="A1859" s="1511"/>
      <c r="B1859" s="1676"/>
      <c r="C1859" s="457" t="s">
        <v>2795</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3210" t="str">
        <f>IF(OR($O1858=$M1858,$O1858=0,$O1858=""),"","* * Check Score! * *")</f>
        <v/>
      </c>
      <c r="U1859" s="1659"/>
      <c r="V1859" s="3212"/>
      <c r="W1859" s="3212"/>
      <c r="X1859" s="1659"/>
    </row>
    <row r="1860" spans="1:24" ht="33.75">
      <c r="A1860" s="1624"/>
      <c r="B1860" s="1696" t="s">
        <v>3777</v>
      </c>
      <c r="C1860" s="457" t="s">
        <v>3855</v>
      </c>
      <c r="D1860" s="1676"/>
      <c r="E1860" s="1676"/>
      <c r="F1860" s="1676"/>
      <c r="G1860" s="1676"/>
      <c r="H1860" s="1676"/>
      <c r="I1860" s="1676"/>
      <c r="J1860" s="1550" t="str">
        <f>'Part IX Scoring Criteria'!J212</f>
        <v>Georgia Department of Transportation</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3212"/>
      <c r="W1860" s="3212"/>
      <c r="X1860" s="1659"/>
    </row>
    <row r="1861" spans="1:24" ht="18.75">
      <c r="A1861" s="1624"/>
      <c r="B1861" s="1620" t="s">
        <v>3778</v>
      </c>
      <c r="C1861" s="1524" t="s">
        <v>3856</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3212"/>
      <c r="W1861" s="3212"/>
      <c r="X1861" s="1659"/>
    </row>
    <row r="1862" spans="1:24" ht="18.75" customHeight="1">
      <c r="A1862" s="1562"/>
      <c r="B1862" s="1620" t="s">
        <v>3779</v>
      </c>
      <c r="C1862" s="1524" t="s">
        <v>4843</v>
      </c>
      <c r="D1862" s="1314"/>
      <c r="E1862" s="1314"/>
      <c r="F1862" s="1314"/>
      <c r="G1862" s="1314"/>
      <c r="H1862" s="1314"/>
      <c r="I1862" s="1314"/>
      <c r="J1862" s="1578" t="str">
        <f>'Part IX Scoring Criteria'!J214</f>
        <v>Yes</v>
      </c>
      <c r="K1862" s="1550" t="s">
        <v>4840</v>
      </c>
      <c r="L1862" s="1550"/>
      <c r="M1862" s="1550"/>
      <c r="N1862" s="1550"/>
      <c r="O1862" s="1676"/>
      <c r="P1862" s="1676"/>
      <c r="V1862" s="3212"/>
      <c r="W1862" s="3212"/>
    </row>
    <row r="1863" spans="1:24" ht="18.75">
      <c r="A1863" s="1562"/>
      <c r="B1863" s="1620" t="s">
        <v>3781</v>
      </c>
      <c r="C1863" s="1524" t="s">
        <v>4839</v>
      </c>
      <c r="D1863" s="1314"/>
      <c r="E1863" s="1314"/>
      <c r="F1863" s="1314"/>
      <c r="G1863" s="1314"/>
      <c r="H1863" s="1314"/>
      <c r="I1863" s="1314"/>
      <c r="J1863" s="1578" t="str">
        <f>'Part IX Scoring Criteria'!J215</f>
        <v>Yes</v>
      </c>
      <c r="K1863" s="1550"/>
      <c r="L1863" s="1550"/>
      <c r="M1863" s="1550"/>
      <c r="N1863" s="1550"/>
      <c r="O1863" s="3249">
        <f>'Part IX Scoring Criteria'!O215</f>
        <v>0.1</v>
      </c>
      <c r="P1863" s="3205" t="s">
        <v>3784</v>
      </c>
      <c r="V1863" s="3212"/>
      <c r="W1863" s="3212"/>
    </row>
    <row r="1864" spans="1:24" ht="18.75">
      <c r="A1864" s="1562"/>
      <c r="B1864" s="1620" t="s">
        <v>3782</v>
      </c>
      <c r="C1864" s="1524" t="s">
        <v>4842</v>
      </c>
      <c r="D1864" s="1314"/>
      <c r="E1864" s="1314"/>
      <c r="F1864" s="1314"/>
      <c r="G1864" s="1314"/>
      <c r="H1864" s="1314"/>
      <c r="I1864" s="1314"/>
      <c r="J1864" s="1578" t="str">
        <f>'Part IX Scoring Criteria'!J216</f>
        <v>No</v>
      </c>
      <c r="L1864" s="1620" t="s">
        <v>4841</v>
      </c>
      <c r="N1864" s="1620"/>
      <c r="O1864" s="3250" t="str">
        <f>'Part IX Scoring Criteria'!O216</f>
        <v>Fall 2020</v>
      </c>
      <c r="P1864" s="3250">
        <f>'Part IX Scoring Criteria'!P216</f>
        <v>0</v>
      </c>
      <c r="V1864" s="3212"/>
      <c r="W1864" s="3212"/>
    </row>
    <row r="1865" spans="1:24" ht="18.75">
      <c r="A1865" s="1562"/>
      <c r="G1865" s="1604"/>
      <c r="L1865" s="1596"/>
      <c r="N1865" s="1320"/>
      <c r="O1865" s="1320"/>
      <c r="P1865" s="1320"/>
      <c r="V1865" s="3212"/>
      <c r="W1865" s="3212"/>
    </row>
    <row r="1866" spans="1:24" ht="18.75" customHeight="1">
      <c r="A1866" s="1756" t="s">
        <v>4168</v>
      </c>
      <c r="B1866" s="1468" t="s">
        <v>4165</v>
      </c>
      <c r="C1866" s="1468"/>
      <c r="D1866" s="1573" t="str">
        <f>'Part IX Scoring Criteria'!D218</f>
        <v>Camden County Board of Commissioners / Georgia Department of Transportation</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3179"/>
      <c r="V1866" s="3212"/>
      <c r="W1866" s="3212"/>
    </row>
    <row r="1867" spans="1:24" ht="18.75" customHeight="1">
      <c r="A1867" s="1756"/>
      <c r="B1867" s="1468" t="s">
        <v>4166</v>
      </c>
      <c r="C1867" s="1468"/>
      <c r="D1867" s="1573" t="str">
        <f>'Part IX Scoring Criteria'!D219</f>
        <v>Project is under construction and would enhance the development site's ability to handle the increased traffic from Abbington Sound.  Project would also encourage other development along Colerain Road/Kingsland Bypass and bring other amenities closer to future Abbinton Sound residents.</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3179"/>
      <c r="V1867" s="3212"/>
      <c r="W1867" s="3212"/>
    </row>
    <row r="1868" spans="1:24" ht="18.75" customHeight="1">
      <c r="A1868" s="1756"/>
      <c r="B1868" s="1468" t="s">
        <v>4921</v>
      </c>
      <c r="C1868" s="1468"/>
      <c r="D1868" s="1573" t="str">
        <f>'Part IX Scoring Criteria'!D220</f>
        <v>Widening and reconstruction of existing 5-mile segment of Colerain Road from I-95 to Kings Bay Road to include sidewalks would allow better pedestrian and vehicle mobility and safety for residents at Abbington Sound.</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3179"/>
      <c r="V1868" s="3212"/>
      <c r="W1868" s="3212"/>
    </row>
    <row r="1869" spans="1:24" ht="18.75">
      <c r="B1869" s="457" t="s">
        <v>3454</v>
      </c>
      <c r="G1869" s="457" t="s">
        <v>2630</v>
      </c>
      <c r="H1869" s="457"/>
      <c r="J1869" s="1854">
        <f>'Part IX Scoring Criteria'!J221</f>
        <v>8024888.9000000004</v>
      </c>
      <c r="K1869" s="1854">
        <f>'Part IX Scoring Criteria'!K221</f>
        <v>0</v>
      </c>
      <c r="L1869" s="1757"/>
      <c r="M1869" s="1757"/>
      <c r="N1869" s="1320"/>
      <c r="O1869" s="1320"/>
      <c r="P1869" s="1320"/>
      <c r="V1869" s="3212"/>
      <c r="W1869" s="3212"/>
    </row>
    <row r="1870" spans="1:24" ht="18.75">
      <c r="A1870" s="1659"/>
      <c r="B1870" s="1659"/>
      <c r="C1870" s="457" t="s">
        <v>4582</v>
      </c>
      <c r="D1870" s="1582"/>
      <c r="E1870" s="1659"/>
      <c r="F1870" s="1659"/>
      <c r="G1870" s="1757">
        <f ca="1">'Part IV-A-Uses of Funds'!$G$132</f>
        <v>15903809.932432491</v>
      </c>
      <c r="H1870" s="1757"/>
      <c r="I1870" s="1659"/>
      <c r="J1870" s="1758">
        <f ca="1">'Part IX Scoring Criteria'!J222</f>
        <v>0.50458908488556065</v>
      </c>
      <c r="K1870" s="1758">
        <f>'Part IX Scoring Criteria'!K222</f>
        <v>0</v>
      </c>
      <c r="L1870" s="1758">
        <f>IF($L1869=0,0,$L1869/$G$222)</f>
        <v>0</v>
      </c>
      <c r="M1870" s="1758"/>
      <c r="N1870" s="1659"/>
      <c r="O1870" s="1659"/>
      <c r="P1870" s="1659"/>
      <c r="Q1870" s="1659"/>
      <c r="R1870" s="1659"/>
      <c r="S1870" s="1659"/>
      <c r="T1870" s="1659"/>
      <c r="U1870" s="1659"/>
      <c r="V1870" s="3212"/>
      <c r="W1870" s="3212"/>
      <c r="X1870" s="1659"/>
    </row>
    <row r="1871" spans="1:24" ht="15">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12.5">
      <c r="A1872" s="1583" t="str">
        <f>'Part IX Scoring Criteria'!A224</f>
        <v>This development is not pursuing points under Revitalization/Redevelopment Plans.</v>
      </c>
      <c r="B1872" s="1583"/>
      <c r="C1872" s="1583"/>
      <c r="D1872" s="1583"/>
      <c r="E1872" s="1583"/>
      <c r="F1872" s="1583"/>
      <c r="G1872" s="1583"/>
      <c r="H1872" s="1583"/>
      <c r="I1872" s="1583"/>
      <c r="J1872" s="1583"/>
      <c r="K1872" s="1583"/>
      <c r="L1872" s="1583"/>
      <c r="M1872" s="1583"/>
      <c r="N1872" s="1583"/>
      <c r="O1872" s="1583"/>
      <c r="P1872" s="1583"/>
      <c r="Q1872" s="3179" t="s">
        <v>1254</v>
      </c>
      <c r="R1872" s="1659"/>
      <c r="S1872" s="1659"/>
      <c r="T1872" s="1659"/>
      <c r="U1872" s="1659"/>
      <c r="V1872" s="1659"/>
      <c r="W1872" s="1659"/>
      <c r="X1872" s="1659"/>
    </row>
    <row r="1873" spans="1:24" ht="15">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3179"/>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3221" t="s">
        <v>292</v>
      </c>
      <c r="B1876" s="3159" t="s">
        <v>4014</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5">
      <c r="A1877" s="3221"/>
      <c r="B1877" s="1317" t="s">
        <v>4607</v>
      </c>
      <c r="C1877" s="1582"/>
      <c r="D1877" s="1582"/>
      <c r="E1877" s="1582"/>
      <c r="F1877" s="1582"/>
      <c r="G1877" s="1582"/>
      <c r="H1877" s="1582"/>
      <c r="I1877" s="1582"/>
      <c r="J1877" s="1582"/>
      <c r="K1877" s="1611"/>
      <c r="L1877" s="3251"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5">
      <c r="A1878" s="3221"/>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4850</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3210"/>
      <c r="S1879" s="1659"/>
      <c r="T1879" s="1659"/>
      <c r="U1879" s="1659"/>
      <c r="V1879" s="1659"/>
      <c r="W1879" s="1659"/>
      <c r="X1879" s="1659"/>
    </row>
    <row r="1880" spans="1:24" ht="18.75">
      <c r="A1880" s="1511"/>
      <c r="B1880" s="1659"/>
      <c r="C1880" s="1051" t="s">
        <v>4851</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3212"/>
      <c r="S1880" s="3212"/>
      <c r="T1880" s="1659"/>
      <c r="U1880" s="1659"/>
      <c r="V1880" s="1659"/>
      <c r="W1880" s="1659"/>
      <c r="X1880" s="1659"/>
    </row>
    <row r="1881" spans="1:24" ht="18.75">
      <c r="A1881" s="1659"/>
      <c r="B1881" s="1659"/>
      <c r="C1881" s="1051" t="s">
        <v>4852</v>
      </c>
      <c r="D1881" s="1659"/>
      <c r="E1881" s="1659"/>
      <c r="F1881" s="1659"/>
      <c r="G1881" s="1659"/>
      <c r="H1881" s="1659"/>
      <c r="I1881" s="1659"/>
      <c r="J1881" s="1659"/>
      <c r="K1881" s="1659"/>
      <c r="L1881" s="1659"/>
      <c r="M1881" s="1659"/>
      <c r="N1881" s="1620" t="s">
        <v>2438</v>
      </c>
      <c r="O1881" s="1578">
        <f>'Part IX Scoring Criteria'!O233</f>
        <v>0</v>
      </c>
      <c r="P1881" s="1578"/>
      <c r="Q1881" s="1659"/>
      <c r="R1881" s="3212"/>
      <c r="S1881" s="3212"/>
      <c r="T1881" s="1659"/>
      <c r="U1881" s="1659"/>
      <c r="V1881" s="1659"/>
      <c r="W1881" s="1659"/>
      <c r="X1881" s="1659"/>
    </row>
    <row r="1882" spans="1:24" ht="18.75">
      <c r="A1882" s="1511"/>
      <c r="B1882" s="1659"/>
      <c r="C1882" s="1051" t="s">
        <v>4020</v>
      </c>
      <c r="D1882" s="1659"/>
      <c r="E1882" s="1659"/>
      <c r="F1882" s="1659"/>
      <c r="G1882" s="1659"/>
      <c r="H1882" s="1659"/>
      <c r="I1882" s="1659"/>
      <c r="J1882" s="1659"/>
      <c r="K1882" s="3233">
        <f>'Part I-Project Information'!F1686</f>
        <v>0</v>
      </c>
      <c r="L1882" s="3245"/>
      <c r="M1882" s="1659"/>
      <c r="N1882" s="1620" t="s">
        <v>2439</v>
      </c>
      <c r="O1882" s="1620"/>
      <c r="P1882" s="1578"/>
      <c r="Q1882" s="1659"/>
      <c r="R1882" s="3212"/>
      <c r="S1882" s="3212"/>
      <c r="T1882" s="1659"/>
      <c r="U1882" s="1659"/>
      <c r="V1882" s="1659"/>
      <c r="W1882" s="1659"/>
      <c r="X1882" s="1659"/>
    </row>
    <row r="1883" spans="1:24" ht="18.75">
      <c r="A1883" s="1511"/>
      <c r="B1883" s="1659"/>
      <c r="C1883" s="1051" t="s">
        <v>4943</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3212"/>
      <c r="S1883" s="3212"/>
      <c r="T1883" s="1659"/>
      <c r="U1883" s="1659"/>
      <c r="V1883" s="1659"/>
      <c r="W1883" s="1659"/>
      <c r="X1883" s="1659"/>
    </row>
    <row r="1884" spans="1:24" ht="18.75">
      <c r="A1884" s="1511"/>
      <c r="B1884" s="1659"/>
      <c r="C1884" s="1051" t="s">
        <v>4942</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3212"/>
      <c r="S1884" s="3212"/>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5119</v>
      </c>
      <c r="D1886" s="1314"/>
      <c r="G1886" s="1647" t="s">
        <v>3780</v>
      </c>
      <c r="Q1886" s="1372"/>
    </row>
    <row r="1887" spans="1:24" ht="12.75" customHeight="1">
      <c r="A1887" s="1620"/>
      <c r="B1887" s="457" t="s">
        <v>3860</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5385</v>
      </c>
      <c r="S1887" s="1319"/>
      <c r="T1887" s="1314"/>
      <c r="U1887" s="1314"/>
      <c r="V1887" s="1314"/>
      <c r="W1887" s="1314"/>
      <c r="X1887" s="1314"/>
    </row>
    <row r="1888" spans="1:24" ht="18.75">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3212"/>
      <c r="W1888" s="3212"/>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3247" t="s">
        <v>1987</v>
      </c>
      <c r="C1890" s="1604" t="s">
        <v>4022</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3212"/>
      <c r="W1891" s="3212"/>
      <c r="X1891" s="1314"/>
    </row>
    <row r="1892" spans="1:24" ht="18.75" customHeight="1">
      <c r="A1892" s="1620"/>
      <c r="B1892" s="1620" t="s">
        <v>2436</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3212"/>
      <c r="W1892" s="3212"/>
      <c r="X1892" s="1314"/>
    </row>
    <row r="1893" spans="1:24" ht="18.75">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3212"/>
      <c r="W1893" s="3212"/>
      <c r="X1893" s="1314"/>
    </row>
    <row r="1894" spans="1:24" ht="18.75" customHeight="1">
      <c r="A1894" s="1620"/>
      <c r="B1894" s="1620" t="s">
        <v>2437</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3212"/>
      <c r="W1894" s="3212"/>
      <c r="X1894" s="1314"/>
    </row>
    <row r="1895" spans="1:24" ht="18.75">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3212"/>
      <c r="W1895" s="3212"/>
      <c r="X1895" s="1314"/>
    </row>
    <row r="1896" spans="1:24">
      <c r="A1896" s="1620"/>
      <c r="B1896" s="3247" t="s">
        <v>1989</v>
      </c>
      <c r="C1896" s="1604" t="s">
        <v>4027</v>
      </c>
      <c r="D1896" s="1604"/>
      <c r="E1896" s="1604"/>
      <c r="F1896" s="1604"/>
      <c r="G1896" s="1647" t="s">
        <v>3780</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3212"/>
      <c r="W1897" s="3212"/>
    </row>
    <row r="1898" spans="1:24" ht="18.75">
      <c r="A1898" s="1620"/>
      <c r="B1898" s="1620" t="s">
        <v>2436</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3212"/>
      <c r="W1898" s="3212"/>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3179"/>
      <c r="R1899" s="1319"/>
      <c r="S1899" s="1319"/>
      <c r="V1899" s="3212"/>
      <c r="W1899" s="3212"/>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3212"/>
      <c r="W1900" s="3212"/>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3212"/>
      <c r="W1901" s="3212"/>
    </row>
    <row r="1902" spans="1:24" ht="18.75" customHeight="1">
      <c r="A1902" s="1620"/>
      <c r="B1902" s="1620" t="s">
        <v>2437</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3212"/>
      <c r="W1902" s="3212"/>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3179"/>
      <c r="R1903" s="1319"/>
      <c r="S1903" s="1319"/>
      <c r="V1903" s="3212"/>
      <c r="W1903" s="3212"/>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3212"/>
      <c r="W1904" s="3212"/>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3212"/>
      <c r="W1905" s="3212"/>
    </row>
    <row r="1906" spans="1:24">
      <c r="A1906" s="1620"/>
      <c r="B1906" s="3247" t="s">
        <v>2535</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3212"/>
      <c r="W1907" s="3212"/>
      <c r="X1907" s="1314"/>
    </row>
    <row r="1908" spans="1:24">
      <c r="A1908" s="1511"/>
      <c r="B1908" s="1727" t="s">
        <v>1224</v>
      </c>
      <c r="C1908" s="457" t="s">
        <v>3783</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3212"/>
      <c r="W1909" s="3212"/>
      <c r="X1909" s="1314"/>
    </row>
    <row r="1910" spans="1:24" ht="18.75">
      <c r="A1910" s="1620"/>
      <c r="B1910" s="1760"/>
      <c r="C1910" s="1582"/>
      <c r="D1910" s="1582"/>
      <c r="E1910" s="1582"/>
      <c r="F1910" s="1582"/>
      <c r="G1910" s="1635" t="s">
        <v>4944</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3212"/>
      <c r="W1910" s="3212"/>
      <c r="X1910" s="1314"/>
    </row>
    <row r="1911" spans="1:24" ht="18.75" customHeight="1">
      <c r="A1911" s="1620"/>
      <c r="B1911" s="1620" t="s">
        <v>2436</v>
      </c>
      <c r="C1911" s="1550" t="s">
        <v>4035</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3212"/>
      <c r="W1911" s="3212"/>
      <c r="X1911" s="1314"/>
    </row>
    <row r="1912" spans="1:24" ht="18.75" customHeight="1">
      <c r="A1912" s="1620"/>
      <c r="B1912" s="1620" t="s">
        <v>2437</v>
      </c>
      <c r="C1912" s="1550" t="s">
        <v>4844</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3212"/>
      <c r="W1912" s="3212"/>
      <c r="X1912" s="1314"/>
    </row>
    <row r="1913" spans="1:24">
      <c r="A1913" s="1511"/>
      <c r="B1913" s="1727" t="s">
        <v>1225</v>
      </c>
      <c r="C1913" s="457" t="s">
        <v>4845</v>
      </c>
      <c r="D1913" s="1314"/>
      <c r="N1913" s="1684" t="s">
        <v>1225</v>
      </c>
      <c r="Q1913" s="1313"/>
    </row>
    <row r="1914" spans="1:24" ht="18.75" customHeight="1">
      <c r="A1914" s="1620"/>
      <c r="B1914" s="1620" t="s">
        <v>2436</v>
      </c>
      <c r="C1914" s="1550" t="s">
        <v>4846</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3212"/>
      <c r="W1914" s="3212"/>
      <c r="X1914" s="1314"/>
    </row>
    <row r="1915" spans="1:24" ht="18.75" customHeight="1">
      <c r="A1915" s="1620"/>
      <c r="B1915" s="1620" t="s">
        <v>2437</v>
      </c>
      <c r="C1915" s="1550" t="s">
        <v>4847</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3212"/>
      <c r="W1915" s="3212"/>
      <c r="X1915" s="1314"/>
    </row>
    <row r="1916" spans="1:24">
      <c r="A1916" s="1511" t="s">
        <v>1986</v>
      </c>
      <c r="B1916" s="1317" t="s">
        <v>5120</v>
      </c>
      <c r="D1916" s="1314"/>
      <c r="G1916" s="1647" t="s">
        <v>3780</v>
      </c>
      <c r="O1916" s="1578" t="s">
        <v>2511</v>
      </c>
      <c r="P1916" s="1578" t="s">
        <v>2511</v>
      </c>
      <c r="Q1916" s="1372"/>
    </row>
    <row r="1917" spans="1:24" ht="18.75" customHeight="1">
      <c r="B1917" s="3247" t="s">
        <v>1987</v>
      </c>
      <c r="C1917" s="1550" t="s">
        <v>4030</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3212"/>
      <c r="W1917" s="3212"/>
    </row>
    <row r="1918" spans="1:24" ht="18.75">
      <c r="A1918" s="1620"/>
      <c r="B1918" s="3247" t="s">
        <v>1989</v>
      </c>
      <c r="C1918" s="1524" t="s">
        <v>4848</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3252"/>
      <c r="W1918" s="3252"/>
      <c r="X1918" s="1314"/>
    </row>
    <row r="1919" spans="1:24" ht="18.75">
      <c r="A1919" s="1620"/>
      <c r="B1919" s="3247" t="s">
        <v>2535</v>
      </c>
      <c r="C1919" s="1524" t="s">
        <v>4849</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3252"/>
      <c r="W1919" s="3252"/>
      <c r="X1919" s="1314"/>
    </row>
    <row r="1920" spans="1:24" ht="15">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02">
      <c r="A1921" s="1573" t="str">
        <f>'Part IX Scoring Criteria'!A273</f>
        <v>This development is not pursuing points under Community Transformation.</v>
      </c>
      <c r="B1921" s="1573"/>
      <c r="C1921" s="1573"/>
      <c r="D1921" s="1573"/>
      <c r="E1921" s="1573"/>
      <c r="F1921" s="1573"/>
      <c r="G1921" s="1573"/>
      <c r="H1921" s="1573"/>
      <c r="I1921" s="1573"/>
      <c r="J1921" s="1573"/>
      <c r="K1921" s="1573"/>
      <c r="L1921" s="1573"/>
      <c r="M1921" s="1573"/>
      <c r="N1921" s="1573"/>
      <c r="O1921" s="1573"/>
      <c r="P1921" s="1573"/>
      <c r="Q1921" s="3179" t="s">
        <v>1254</v>
      </c>
      <c r="R1921" s="1659"/>
      <c r="S1921" s="1659"/>
      <c r="T1921" s="1659"/>
      <c r="U1921" s="1659"/>
      <c r="V1921" s="1659"/>
      <c r="W1921" s="1659"/>
      <c r="X1921" s="1659"/>
    </row>
    <row r="1922" spans="1:24" ht="15">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3179"/>
      <c r="R1923" s="1659"/>
      <c r="S1923" s="1659"/>
      <c r="T1923" s="1659"/>
      <c r="U1923" s="1659"/>
      <c r="V1923" s="1659"/>
      <c r="W1923" s="1659"/>
      <c r="X1923" s="1659"/>
    </row>
    <row r="1924" spans="1:24">
      <c r="N1924" s="1320"/>
      <c r="O1924" s="1320"/>
      <c r="P1924" s="1320"/>
    </row>
    <row r="1925" spans="1:24" ht="15">
      <c r="A1925" s="3221" t="s">
        <v>426</v>
      </c>
      <c r="B1925" s="3159" t="s">
        <v>2787</v>
      </c>
      <c r="C1925" s="1676"/>
      <c r="D1925" s="1549"/>
      <c r="E1925" s="1549"/>
      <c r="F1925" s="1676"/>
      <c r="G1925" s="1335" t="s">
        <v>4176</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5">
      <c r="A1926" s="3221"/>
      <c r="B1926" s="3159"/>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3253" t="s">
        <v>3599</v>
      </c>
      <c r="B1927" s="1317" t="s">
        <v>4853</v>
      </c>
      <c r="C1927" s="1676"/>
      <c r="D1927" s="1549"/>
      <c r="E1927" s="1549"/>
      <c r="F1927" s="1676"/>
      <c r="G1927" s="1647" t="s">
        <v>4860</v>
      </c>
      <c r="H1927" s="1676"/>
      <c r="J1927" s="1754" t="str">
        <f>'Part I-Project Information'!$O$38</f>
        <v>13039010401</v>
      </c>
      <c r="K1927" s="1754"/>
      <c r="L1927" s="1676"/>
      <c r="M1927" s="1313">
        <v>3</v>
      </c>
      <c r="N1927" s="1721"/>
      <c r="O1927" s="1607">
        <f>'Part IX Scoring Criteria'!O279</f>
        <v>3</v>
      </c>
      <c r="P1927" s="1313"/>
      <c r="Q1927" s="1313"/>
      <c r="R1927" s="1659"/>
      <c r="S1927" s="1676"/>
      <c r="T1927" s="1676"/>
      <c r="U1927" s="1676"/>
      <c r="V1927" s="1676"/>
      <c r="W1927" s="1676"/>
      <c r="X1927" s="1676"/>
    </row>
    <row r="1928" spans="1:24">
      <c r="A1928" s="3253"/>
      <c r="B1928" s="1317" t="s">
        <v>2795</v>
      </c>
      <c r="C1928" s="1204"/>
      <c r="D1928" s="1204"/>
      <c r="G1928" s="1317" t="str">
        <f>'Part I-Project Information'!$H$105</f>
        <v>Rural</v>
      </c>
      <c r="M1928" s="1626" t="s">
        <v>4854</v>
      </c>
      <c r="N1928" s="1721"/>
      <c r="O1928" s="1626" t="s">
        <v>2511</v>
      </c>
      <c r="P1928" s="1626" t="s">
        <v>2511</v>
      </c>
    </row>
    <row r="1929" spans="1:24" ht="12.75" customHeight="1">
      <c r="A1929" s="3253"/>
      <c r="B1929" s="1727" t="s">
        <v>1987</v>
      </c>
      <c r="C1929" s="1051" t="s">
        <v>2686</v>
      </c>
      <c r="M1929" s="1320"/>
      <c r="N1929" s="1696" t="s">
        <v>1987</v>
      </c>
      <c r="O1929" s="1578" t="str">
        <f>'Part IX Scoring Criteria'!O281</f>
        <v>Yes</v>
      </c>
      <c r="P1929" s="1578"/>
      <c r="Q1929" s="3254" t="str">
        <f>IF(AND(O1929="Yes",O1932="Yes"),"Only 1 or 4 can be 'Yes'!","")</f>
        <v/>
      </c>
      <c r="R1929" s="3254"/>
    </row>
    <row r="1930" spans="1:24" ht="12.75" customHeight="1">
      <c r="B1930" s="1727" t="s">
        <v>1989</v>
      </c>
      <c r="C1930" s="1051" t="s">
        <v>2740</v>
      </c>
      <c r="G1930" s="1051" t="s">
        <v>2390</v>
      </c>
      <c r="H1930" s="3255">
        <f>'Part IX Scoring Criteria'!H282</f>
        <v>0.1</v>
      </c>
      <c r="I1930" s="1051" t="s">
        <v>2741</v>
      </c>
      <c r="L1930" s="457" t="s">
        <v>2739</v>
      </c>
      <c r="M1930" s="457" t="str">
        <f>IF(O1930&gt;H1930,"CHECK ACTUAL PERCENT!!!","")</f>
        <v/>
      </c>
      <c r="N1930" s="1696" t="s">
        <v>1989</v>
      </c>
      <c r="O1930" s="3256">
        <f>'Part IX Scoring Criteria'!O282</f>
        <v>9.8000000000000004E-2</v>
      </c>
      <c r="P1930" s="1766"/>
      <c r="Q1930" s="3254"/>
      <c r="R1930" s="3254"/>
    </row>
    <row r="1931" spans="1:24" ht="12.75" customHeight="1">
      <c r="B1931" s="1727" t="s">
        <v>2535</v>
      </c>
      <c r="C1931" s="1051" t="s">
        <v>2391</v>
      </c>
      <c r="G1931" s="1051" t="s">
        <v>2392</v>
      </c>
      <c r="J1931" s="1767" t="s">
        <v>5056</v>
      </c>
      <c r="L1931" s="1524" t="s">
        <v>2733</v>
      </c>
      <c r="M1931" s="1314"/>
      <c r="N1931" s="1696" t="s">
        <v>2535</v>
      </c>
      <c r="O1931" s="1578" t="str">
        <f>'Part IX Scoring Criteria'!O283</f>
        <v>Upper</v>
      </c>
      <c r="P1931" s="1578" t="s">
        <v>201</v>
      </c>
      <c r="Q1931" s="3254"/>
      <c r="R1931" s="3254"/>
    </row>
    <row r="1932" spans="1:24" ht="12.75" customHeight="1">
      <c r="A1932" s="1596"/>
      <c r="B1932" s="3247" t="s">
        <v>1224</v>
      </c>
      <c r="C1932" s="1583" t="s">
        <v>5386</v>
      </c>
      <c r="D1932" s="1583"/>
      <c r="E1932" s="1583"/>
      <c r="F1932" s="1583"/>
      <c r="G1932" s="1583"/>
      <c r="H1932" s="1583"/>
      <c r="I1932" s="1583"/>
      <c r="J1932" s="1767"/>
      <c r="K1932" s="1767" t="s">
        <v>4037</v>
      </c>
      <c r="L1932" s="1596"/>
      <c r="M1932" s="1316">
        <v>2</v>
      </c>
      <c r="N1932" s="1696" t="s">
        <v>1224</v>
      </c>
      <c r="O1932" s="1631">
        <f>'Part IX Scoring Criteria'!O284</f>
        <v>0</v>
      </c>
      <c r="P1932" s="1631"/>
      <c r="Q1932" s="3254"/>
      <c r="R1932" s="3254"/>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3257">
        <f>'Part IX Scoring Criteria'!J286</f>
        <v>0</v>
      </c>
      <c r="K1934" s="3258">
        <f>'Part IX Scoring Criteria'!K286</f>
        <v>0</v>
      </c>
      <c r="L1934" s="3207">
        <f>O1709</f>
        <v>10</v>
      </c>
      <c r="M1934" s="3259">
        <f>P1709</f>
        <v>0</v>
      </c>
      <c r="O1934" s="1320"/>
      <c r="P1934" s="1320"/>
    </row>
    <row r="1935" spans="1:24">
      <c r="A1935" s="1204"/>
      <c r="B1935" s="1727"/>
      <c r="C1935" s="1051"/>
      <c r="M1935" s="1313"/>
      <c r="N1935" s="1315"/>
      <c r="O1935" s="1313"/>
      <c r="P1935" s="1313"/>
    </row>
    <row r="1936" spans="1:24">
      <c r="A1936" s="1204" t="s">
        <v>749</v>
      </c>
      <c r="B1936" s="1727" t="s">
        <v>4855</v>
      </c>
      <c r="C1936" s="1051"/>
      <c r="G1936" s="1051" t="s">
        <v>4856</v>
      </c>
      <c r="M1936" s="1313">
        <v>2</v>
      </c>
      <c r="N1936" s="1511" t="s">
        <v>749</v>
      </c>
      <c r="O1936" s="1607">
        <f>'Part IX Scoring Criteria'!O288</f>
        <v>1</v>
      </c>
      <c r="P1936" s="1607">
        <f>IF(OR(AND(P1937&gt;=60,P1938&gt;=60,P1939&gt;=60),AND(P1937&lt;60,P1938&gt;=60,P1939&gt;=60),AND(P1937&gt;=60,P1938&lt;60,P1939&gt;=60),AND(P1937&gt;=60,P1938&gt;=60,P1939&lt;60)),$M$288,IF(OR(P1937&gt;=60,P1938&gt;=60,P1939&gt;=60),1,0))</f>
        <v>0</v>
      </c>
    </row>
    <row r="1937" spans="1:24">
      <c r="A1937" s="1204"/>
      <c r="B1937" s="1727" t="s">
        <v>1987</v>
      </c>
      <c r="C1937" s="457" t="s">
        <v>5051</v>
      </c>
      <c r="D1937" s="457"/>
      <c r="G1937" s="457" t="s">
        <v>4857</v>
      </c>
      <c r="H1937" s="1550"/>
      <c r="I1937" s="1550"/>
      <c r="J1937" s="1314"/>
      <c r="K1937" s="1314"/>
      <c r="L1937" s="1314"/>
      <c r="M1937" s="1314"/>
      <c r="N1937" s="1696" t="s">
        <v>1987</v>
      </c>
      <c r="O1937" s="3260">
        <f>'Part IX Scoring Criteria'!O289</f>
        <v>25</v>
      </c>
      <c r="P1937" s="1692"/>
    </row>
    <row r="1938" spans="1:24">
      <c r="A1938" s="1204"/>
      <c r="B1938" s="1727" t="s">
        <v>1989</v>
      </c>
      <c r="C1938" s="457" t="s">
        <v>5052</v>
      </c>
      <c r="D1938" s="457"/>
      <c r="G1938" s="457" t="s">
        <v>4858</v>
      </c>
      <c r="H1938" s="1550"/>
      <c r="I1938" s="1550"/>
      <c r="J1938" s="1314"/>
      <c r="K1938" s="1314"/>
      <c r="L1938" s="1314"/>
      <c r="M1938" s="1314"/>
      <c r="N1938" s="1696" t="s">
        <v>1989</v>
      </c>
      <c r="O1938" s="3260">
        <f>'Part IX Scoring Criteria'!O290</f>
        <v>66</v>
      </c>
      <c r="P1938" s="1692"/>
      <c r="R1938" s="638" t="s">
        <v>5062</v>
      </c>
    </row>
    <row r="1939" spans="1:24">
      <c r="A1939" s="1204"/>
      <c r="B1939" s="1727" t="s">
        <v>2535</v>
      </c>
      <c r="C1939" s="457" t="s">
        <v>5053</v>
      </c>
      <c r="D1939" s="457"/>
      <c r="G1939" s="457" t="s">
        <v>4859</v>
      </c>
      <c r="H1939" s="1550"/>
      <c r="I1939" s="1550"/>
      <c r="J1939" s="1314"/>
      <c r="K1939" s="1314"/>
      <c r="L1939" s="1314"/>
      <c r="M1939" s="1314"/>
      <c r="N1939" s="1696" t="s">
        <v>2535</v>
      </c>
      <c r="O1939" s="3260">
        <f>'Part IX Scoring Criteria'!O291</f>
        <v>47</v>
      </c>
      <c r="P1939" s="1692"/>
    </row>
    <row r="1940" spans="1:24">
      <c r="A1940" s="1204"/>
      <c r="B1940" s="1727"/>
      <c r="C1940" s="1051"/>
      <c r="M1940" s="1313"/>
      <c r="N1940" s="1315"/>
      <c r="O1940" s="1313"/>
      <c r="P1940" s="1313"/>
    </row>
    <row r="1941" spans="1:24">
      <c r="A1941" s="1204" t="s">
        <v>2116</v>
      </c>
      <c r="B1941" s="1727" t="s">
        <v>3600</v>
      </c>
      <c r="C1941" s="1051"/>
      <c r="G1941" s="1578" t="s">
        <v>3604</v>
      </c>
      <c r="H1941" s="1766">
        <f>'Part IX Scoring Criteria'!H293</f>
        <v>0</v>
      </c>
      <c r="J1941" s="1636" t="s">
        <v>4861</v>
      </c>
      <c r="K1941" s="3261" t="str">
        <f>'Part I-Project Information'!$K$94</f>
        <v>40% of Units at 60% of AMI</v>
      </c>
      <c r="L1941" s="3261"/>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3179"/>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3221" t="s">
        <v>362</v>
      </c>
      <c r="B1946" s="3159" t="s">
        <v>4040</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3787</v>
      </c>
      <c r="D1947" s="1635"/>
      <c r="E1947" s="1635"/>
      <c r="F1947" s="1635"/>
      <c r="G1947" s="1635"/>
      <c r="H1947" s="1635"/>
      <c r="I1947" s="1635"/>
      <c r="J1947" s="1635"/>
      <c r="K1947" s="1635"/>
      <c r="L1947" s="1635"/>
      <c r="M1947" s="3150"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3788</v>
      </c>
      <c r="D1948" s="1635"/>
      <c r="L1948" s="1635"/>
      <c r="M1948" s="3150"/>
      <c r="N1948" s="1620" t="s">
        <v>1986</v>
      </c>
      <c r="O1948" s="1578">
        <f>'Part IX Scoring Criteria'!O300</f>
        <v>0</v>
      </c>
      <c r="P1948" s="1578"/>
      <c r="U1948" s="1626">
        <f>IF(L1948="Yes",1,0)</f>
        <v>0</v>
      </c>
    </row>
    <row r="1949" spans="1:24" ht="15">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23.75">
      <c r="A1950" s="1583" t="str">
        <f>'Part IX Scoring Criteria'!A302</f>
        <v>The development site is not located within a HUD Choise Neighborhood or Purpose Built Community.</v>
      </c>
      <c r="B1950" s="1583"/>
      <c r="C1950" s="1583"/>
      <c r="D1950" s="1583"/>
      <c r="E1950" s="1583"/>
      <c r="F1950" s="1583"/>
      <c r="G1950" s="1583"/>
      <c r="H1950" s="1583"/>
      <c r="I1950" s="1583"/>
      <c r="J1950" s="1583"/>
      <c r="K1950" s="1583"/>
      <c r="L1950" s="1583"/>
      <c r="M1950" s="1583"/>
      <c r="N1950" s="1583"/>
      <c r="O1950" s="1583"/>
      <c r="P1950" s="1583"/>
      <c r="Q1950" s="3179" t="s">
        <v>1254</v>
      </c>
      <c r="R1950" s="1659"/>
      <c r="S1950" s="1659"/>
      <c r="T1950" s="1659"/>
      <c r="U1950" s="1659"/>
      <c r="V1950" s="1659"/>
      <c r="W1950" s="1659"/>
      <c r="X1950" s="1659"/>
    </row>
    <row r="1951" spans="1:24" ht="15">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3179"/>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3221" t="s">
        <v>363</v>
      </c>
      <c r="B1954" s="3159" t="s">
        <v>2460</v>
      </c>
      <c r="C1954" s="1659"/>
      <c r="D1954" s="1695"/>
      <c r="E1954" s="1695"/>
      <c r="F1954" s="1695"/>
      <c r="G1954" s="1659"/>
      <c r="H1954" s="1525" t="s">
        <v>4865</v>
      </c>
      <c r="I1954" s="1659"/>
      <c r="J1954" s="457" t="s">
        <v>2795</v>
      </c>
      <c r="K1954" s="1317"/>
      <c r="L1954" s="457" t="str">
        <f>'Part I-Project Information'!$H$105</f>
        <v>Rural</v>
      </c>
      <c r="M1954" s="1313">
        <v>4</v>
      </c>
      <c r="N1954" s="1313"/>
      <c r="O1954" s="1313">
        <f>'Part IX Scoring Criteria'!O306</f>
        <v>0</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4588</v>
      </c>
      <c r="D1955" s="1314"/>
      <c r="E1955" s="1314"/>
      <c r="F1955" s="1314"/>
      <c r="H1955" s="457" t="s">
        <v>3681</v>
      </c>
      <c r="I1955" s="1051"/>
      <c r="J1955" s="457" t="str">
        <f>'Part I-Project Information'!$O$34</f>
        <v>No</v>
      </c>
      <c r="K1955" s="457"/>
      <c r="L1955" s="1647">
        <f>'Part I-Project Information'!$O$35</f>
        <v>0</v>
      </c>
      <c r="M1955" s="1313">
        <v>3</v>
      </c>
      <c r="N1955" s="1620" t="s">
        <v>1984</v>
      </c>
      <c r="O1955" s="1546">
        <f>'Part IX Scoring Criteria'!O307</f>
        <v>0</v>
      </c>
      <c r="P1955" s="1546"/>
      <c r="Q1955" s="3200" t="str">
        <f>IF(OR($O1955=$M1955,$O1955=0,$O1955=""),"","*CHECK!*")</f>
        <v/>
      </c>
      <c r="R1955" s="1372" t="s">
        <v>2707</v>
      </c>
    </row>
    <row r="1956" spans="1:24" ht="12.75" customHeight="1">
      <c r="A1956" s="1051"/>
      <c r="B1956" s="3247" t="s">
        <v>1987</v>
      </c>
      <c r="C1956" s="1583" t="s">
        <v>5121</v>
      </c>
      <c r="D1956" s="1583"/>
      <c r="E1956" s="1583"/>
      <c r="F1956" s="1583"/>
      <c r="G1956" s="1583"/>
      <c r="H1956" s="1583"/>
      <c r="I1956" s="1583"/>
      <c r="J1956" s="1583"/>
      <c r="K1956" s="1583"/>
      <c r="L1956" s="1583"/>
      <c r="M1956" s="1583"/>
      <c r="N1956" s="1684" t="s">
        <v>1987</v>
      </c>
      <c r="O1956" s="1631">
        <f>'Part IX Scoring Criteria'!O308</f>
        <v>0</v>
      </c>
      <c r="P1956" s="1631"/>
      <c r="Q1956" s="1583" t="s">
        <v>5387</v>
      </c>
      <c r="R1956" s="1583"/>
      <c r="S1956" s="1583"/>
      <c r="T1956" s="1583"/>
      <c r="U1956" s="1583"/>
      <c r="V1956" s="1583"/>
      <c r="W1956" s="1583"/>
      <c r="X1956" s="1583"/>
    </row>
    <row r="1957" spans="1:24">
      <c r="A1957" s="457"/>
      <c r="B1957" s="1727"/>
      <c r="C1957" s="457" t="s">
        <v>3802</v>
      </c>
      <c r="D1957" s="457"/>
      <c r="E1957" s="457"/>
      <c r="F1957" s="457"/>
      <c r="G1957" s="457"/>
      <c r="H1957" s="457"/>
      <c r="I1957" s="1620" t="s">
        <v>4866</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3857</v>
      </c>
      <c r="D1958" s="457"/>
      <c r="E1958" s="457"/>
      <c r="F1958" s="457"/>
      <c r="G1958" s="457"/>
      <c r="H1958" s="457"/>
      <c r="I1958" s="1620" t="s">
        <v>4866</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4871</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4590</v>
      </c>
      <c r="C1963" s="1314"/>
      <c r="D1963" s="1314"/>
      <c r="E1963" s="1314"/>
      <c r="F1963" s="1314"/>
      <c r="G1963" s="1314"/>
      <c r="H1963" s="1525" t="s">
        <v>4867</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4872</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5122</v>
      </c>
      <c r="D1965" s="1314"/>
      <c r="E1965" s="1314"/>
      <c r="F1965" s="1314"/>
      <c r="G1965" s="1314"/>
      <c r="H1965" s="1314"/>
      <c r="I1965" s="1314"/>
      <c r="J1965" s="1314"/>
      <c r="K1965" s="1314"/>
      <c r="L1965" s="3210" t="str">
        <f>IF(OR($O1965=$M1965,$O1965=0,$O1965=""),"","* * Check Score! * *")</f>
        <v/>
      </c>
      <c r="M1965" s="1313">
        <v>3</v>
      </c>
      <c r="N1965" s="1776" t="s">
        <v>1987</v>
      </c>
      <c r="O1965" s="1546">
        <f>'Part IX Scoring Criteria'!O317</f>
        <v>0</v>
      </c>
      <c r="P1965" s="1546"/>
      <c r="Q1965" s="3200" t="str">
        <f>IF(OR($O1965=$M1965,$O1965=0,$O1965=""),"","*CHECK!*")</f>
        <v/>
      </c>
      <c r="R1965" s="1372" t="s">
        <v>2707</v>
      </c>
      <c r="S1965" s="1314"/>
      <c r="T1965" s="1314"/>
      <c r="U1965" s="1314"/>
      <c r="V1965" s="1314"/>
      <c r="W1965" s="1314"/>
      <c r="X1965" s="1314"/>
    </row>
    <row r="1966" spans="1:24">
      <c r="A1966" s="1578"/>
      <c r="B1966" s="3247" t="s">
        <v>1989</v>
      </c>
      <c r="C1966" s="1051" t="s">
        <v>5123</v>
      </c>
      <c r="D1966" s="1314"/>
      <c r="E1966" s="1314"/>
      <c r="F1966" s="1314"/>
      <c r="G1966" s="1524"/>
      <c r="H1966" s="1525"/>
      <c r="I1966" s="1524"/>
      <c r="L1966" s="3210" t="str">
        <f>IF(OR($O1966=$M1966,$O1966=0,$O1966=""),"","* * Check Score! * *")</f>
        <v/>
      </c>
      <c r="M1966" s="1320">
        <v>2</v>
      </c>
      <c r="N1966" s="1776" t="s">
        <v>1989</v>
      </c>
      <c r="O1966" s="1546">
        <f>'Part IX Scoring Criteria'!O318</f>
        <v>0</v>
      </c>
      <c r="P1966" s="1546"/>
      <c r="Q1966" s="3200" t="str">
        <f>IF(OR($O1966=$M1966,$O1966=0,$O1966=""),"","*CHECK!*")</f>
        <v/>
      </c>
      <c r="R1966" s="1372" t="s">
        <v>2707</v>
      </c>
    </row>
    <row r="1967" spans="1:24">
      <c r="A1967" s="1316" t="s">
        <v>749</v>
      </c>
      <c r="B1967" s="1317" t="s">
        <v>4593</v>
      </c>
      <c r="C1967" s="1314"/>
      <c r="D1967" s="1314"/>
      <c r="E1967" s="1314"/>
      <c r="F1967" s="1314"/>
      <c r="G1967" s="1314"/>
      <c r="H1967" s="1525" t="s">
        <v>4868</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1987</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3200" t="str">
        <f>IF(OR($O1969=$M1969,$O1969=0,$O1969=""),"","*CHECK!*")</f>
        <v/>
      </c>
      <c r="R1969" s="1372" t="s">
        <v>2707</v>
      </c>
      <c r="S1969" s="1314"/>
      <c r="T1969" s="1314"/>
      <c r="U1969" s="1314"/>
      <c r="V1969" s="1314"/>
      <c r="W1969" s="1314"/>
      <c r="X1969" s="1314"/>
    </row>
    <row r="1970" spans="1:24">
      <c r="A1970" s="1578"/>
      <c r="B1970" s="3247" t="s">
        <v>1989</v>
      </c>
      <c r="C1970" s="457" t="s">
        <v>5124</v>
      </c>
      <c r="D1970" s="1314"/>
      <c r="E1970" s="1314"/>
      <c r="F1970" s="1314"/>
      <c r="G1970" s="1524"/>
      <c r="H1970" s="1525"/>
      <c r="I1970" s="1524"/>
      <c r="K1970" s="1319"/>
      <c r="L1970" s="1319"/>
      <c r="M1970" s="1320">
        <v>3</v>
      </c>
      <c r="N1970" s="1776" t="s">
        <v>1989</v>
      </c>
      <c r="O1970" s="1546">
        <f>'Part IX Scoring Criteria'!O322</f>
        <v>0</v>
      </c>
      <c r="P1970" s="1546"/>
      <c r="Q1970" s="3200" t="str">
        <f>IF(OR($O1970=$M1970,$O1970=0,$O1970=""),"","*CHECK!*")</f>
        <v/>
      </c>
      <c r="R1970" s="1372" t="s">
        <v>2707</v>
      </c>
    </row>
    <row r="1971" spans="1:24">
      <c r="A1971" s="1578"/>
      <c r="B1971" s="3247" t="s">
        <v>2535</v>
      </c>
      <c r="C1971" s="1051" t="s">
        <v>5125</v>
      </c>
      <c r="D1971" s="1314"/>
      <c r="E1971" s="1314"/>
      <c r="F1971" s="1314"/>
      <c r="G1971" s="1524"/>
      <c r="H1971" s="1525"/>
      <c r="I1971" s="1524"/>
      <c r="K1971" s="1319"/>
      <c r="L1971" s="1319"/>
      <c r="M1971" s="1320">
        <v>2</v>
      </c>
      <c r="N1971" s="1776" t="s">
        <v>2535</v>
      </c>
      <c r="O1971" s="1546">
        <f>'Part IX Scoring Criteria'!O323</f>
        <v>0</v>
      </c>
      <c r="P1971" s="1546"/>
      <c r="Q1971" s="3200" t="str">
        <f>IF(OR($O1971=$M1971,$O1971=0,$O1971=""),"","*CHECK!*")</f>
        <v/>
      </c>
      <c r="R1971" s="1372" t="s">
        <v>2707</v>
      </c>
    </row>
    <row r="1972" spans="1:24" ht="15">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247.5">
      <c r="A1973" s="1583" t="str">
        <f>'Part IX Scoring Criteria'!A325</f>
        <v>The development site is located within the boundary of the City of Kingsland, which last received a 9% Georgia Housing Credit award in 2016.  Therefore, it is not eligible for any points in this category.</v>
      </c>
      <c r="B1973" s="1583"/>
      <c r="C1973" s="1583"/>
      <c r="D1973" s="1583"/>
      <c r="E1973" s="1583"/>
      <c r="F1973" s="1583"/>
      <c r="G1973" s="1583"/>
      <c r="H1973" s="1583"/>
      <c r="I1973" s="1583"/>
      <c r="J1973" s="1583"/>
      <c r="K1973" s="1583"/>
      <c r="L1973" s="1583"/>
      <c r="M1973" s="1583"/>
      <c r="N1973" s="1583"/>
      <c r="O1973" s="1583"/>
      <c r="P1973" s="1583"/>
      <c r="Q1973" s="3179" t="s">
        <v>1254</v>
      </c>
      <c r="R1973" s="1659"/>
      <c r="S1973" s="1659"/>
      <c r="T1973" s="1659"/>
      <c r="U1973" s="1659"/>
      <c r="V1973" s="1659"/>
      <c r="W1973" s="1659"/>
      <c r="X1973" s="1659"/>
    </row>
    <row r="1974" spans="1:24" ht="15">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3179"/>
      <c r="R1975" s="1659"/>
      <c r="S1975" s="1659"/>
      <c r="T1975" s="1659"/>
      <c r="U1975" s="1659"/>
      <c r="V1975" s="1659"/>
      <c r="W1975" s="1659"/>
      <c r="X1975" s="1659"/>
    </row>
    <row r="1976" spans="1:24" ht="18.75">
      <c r="N1976" s="1320"/>
      <c r="O1976" s="1320"/>
      <c r="P1976" s="1320"/>
      <c r="T1976" s="3212"/>
      <c r="U1976" s="3212"/>
    </row>
    <row r="1977" spans="1:24" ht="18.75">
      <c r="A1977" s="3221" t="s">
        <v>364</v>
      </c>
      <c r="B1977" s="3159"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3212"/>
      <c r="U1977" s="3212"/>
      <c r="V1977" s="1659"/>
      <c r="W1977" s="1659"/>
      <c r="X1977" s="1659"/>
    </row>
    <row r="1978" spans="1:24" ht="18.75">
      <c r="A1978" s="1511" t="s">
        <v>1984</v>
      </c>
      <c r="B1978" s="1317" t="s">
        <v>2234</v>
      </c>
      <c r="C1978" s="1676"/>
      <c r="D1978" s="1525"/>
      <c r="E1978" s="1525"/>
      <c r="F1978" s="1655"/>
      <c r="H1978" s="1676"/>
      <c r="I1978" s="1676"/>
      <c r="J1978" s="1676"/>
      <c r="K1978" s="1676"/>
      <c r="L1978" s="3210"/>
      <c r="M1978" s="1313">
        <v>3</v>
      </c>
      <c r="N1978" s="1620" t="s">
        <v>1984</v>
      </c>
      <c r="O1978" s="1546">
        <f>'Part IX Scoring Criteria'!O330</f>
        <v>3</v>
      </c>
      <c r="P1978" s="1546">
        <f>IF(OR(AND(P1979="Yes",P1980="Yes",P1981="Yes"),AND(P1979="Yes",P1981="Yes"),AND(P1980="Yes",P1981="Yes"),AND(P1979="Yes",P1980="Yes")),"choose",IF(P1979="Yes",$M$331,IF(P1980="Yes",$M$332, IF(P1981="Yes",$M$333,0))))</f>
        <v>0</v>
      </c>
      <c r="Q1978" s="3200"/>
      <c r="R1978" s="1372"/>
      <c r="S1978" s="1676"/>
      <c r="T1978" s="3212"/>
      <c r="U1978" s="3212"/>
      <c r="V1978" s="1676"/>
      <c r="W1978" s="1676"/>
      <c r="X1978" s="1676"/>
    </row>
    <row r="1979" spans="1:24" ht="18.75">
      <c r="A1979" s="1511"/>
      <c r="B1979" s="1727" t="s">
        <v>1987</v>
      </c>
      <c r="C1979" s="1524" t="s">
        <v>4873</v>
      </c>
      <c r="D1979" s="1525"/>
      <c r="E1979" s="1525"/>
      <c r="F1979" s="1655"/>
      <c r="H1979" s="1676"/>
      <c r="I1979" s="1676"/>
      <c r="J1979" s="1676"/>
      <c r="K1979" s="1676"/>
      <c r="L1979" s="3210"/>
      <c r="M1979" s="1313">
        <v>3</v>
      </c>
      <c r="N1979" s="1776" t="s">
        <v>1987</v>
      </c>
      <c r="O1979" s="1578" t="str">
        <f>'Part IX Scoring Criteria'!O331</f>
        <v>Yes</v>
      </c>
      <c r="P1979" s="1578"/>
      <c r="Q1979" s="3200"/>
      <c r="R1979" s="1372"/>
      <c r="S1979" s="1676"/>
      <c r="T1979" s="3212"/>
      <c r="U1979" s="3212"/>
      <c r="V1979" s="1676"/>
      <c r="W1979" s="1676"/>
      <c r="X1979" s="1676"/>
    </row>
    <row r="1980" spans="1:24" ht="18.75">
      <c r="A1980" s="1511"/>
      <c r="B1980" s="3247" t="s">
        <v>1989</v>
      </c>
      <c r="C1980" s="1524" t="s">
        <v>4874</v>
      </c>
      <c r="D1980" s="1525"/>
      <c r="E1980" s="1525"/>
      <c r="F1980" s="1655"/>
      <c r="H1980" s="1676"/>
      <c r="I1980" s="1676"/>
      <c r="J1980" s="1676"/>
      <c r="K1980" s="1676"/>
      <c r="L1980" s="3210"/>
      <c r="M1980" s="1313">
        <v>2</v>
      </c>
      <c r="N1980" s="1776" t="s">
        <v>1989</v>
      </c>
      <c r="O1980" s="1578" t="str">
        <f>'Part IX Scoring Criteria'!O332</f>
        <v>N/a</v>
      </c>
      <c r="P1980" s="1578"/>
      <c r="Q1980" s="3200"/>
      <c r="R1980" s="1372"/>
      <c r="S1980" s="1676"/>
      <c r="T1980" s="3212"/>
      <c r="U1980" s="3212"/>
      <c r="V1980" s="1676"/>
      <c r="W1980" s="1676"/>
      <c r="X1980" s="1676"/>
    </row>
    <row r="1981" spans="1:24" ht="18.75">
      <c r="A1981" s="1511"/>
      <c r="B1981" s="3247" t="s">
        <v>2535</v>
      </c>
      <c r="C1981" s="1524" t="s">
        <v>4875</v>
      </c>
      <c r="D1981" s="1525"/>
      <c r="E1981" s="1525"/>
      <c r="F1981" s="1655"/>
      <c r="H1981" s="1676"/>
      <c r="I1981" s="1676"/>
      <c r="J1981" s="1676"/>
      <c r="K1981" s="1620"/>
      <c r="L1981" s="1676"/>
      <c r="M1981" s="1313">
        <v>1</v>
      </c>
      <c r="N1981" s="1776" t="s">
        <v>2535</v>
      </c>
      <c r="O1981" s="1578" t="str">
        <f>'Part IX Scoring Criteria'!O333</f>
        <v>N/a</v>
      </c>
      <c r="P1981" s="1578"/>
      <c r="Q1981" s="1676"/>
      <c r="R1981" s="1528"/>
      <c r="S1981" s="1676"/>
      <c r="T1981" s="3212"/>
      <c r="U1981" s="3212"/>
      <c r="V1981" s="1676"/>
      <c r="W1981" s="1676"/>
      <c r="X1981" s="1676"/>
    </row>
    <row r="1982" spans="1:24" ht="18.75">
      <c r="A1982" s="1511" t="s">
        <v>1986</v>
      </c>
      <c r="B1982" s="1317" t="s">
        <v>2235</v>
      </c>
      <c r="C1982" s="1659"/>
      <c r="D1982" s="457"/>
      <c r="E1982" s="1659"/>
      <c r="F1982" s="1659"/>
      <c r="G1982" s="1659"/>
      <c r="H1982" s="1659"/>
      <c r="I1982" s="1659"/>
      <c r="J1982" s="1659"/>
      <c r="K1982" s="457"/>
      <c r="L1982" s="3210" t="str">
        <f>IF(OR($O1982=$M1982,$O1982=0,$O1982=""),"","* * Check Score! * *")</f>
        <v/>
      </c>
      <c r="M1982" s="1313">
        <v>1</v>
      </c>
      <c r="N1982" s="1620" t="s">
        <v>1986</v>
      </c>
      <c r="O1982" s="1546">
        <f>'Part IX Scoring Criteria'!O334</f>
        <v>0</v>
      </c>
      <c r="P1982" s="1546">
        <f>IF(P1983="Yes",$M$334,0)</f>
        <v>0</v>
      </c>
      <c r="Q1982" s="3200" t="str">
        <f>IF(OR($O1982=$M1982,$O1982=0,$O1982=""),"","*CHECK!*")</f>
        <v/>
      </c>
      <c r="R1982" s="1372" t="s">
        <v>2707</v>
      </c>
      <c r="S1982" s="1659"/>
      <c r="T1982" s="3212"/>
      <c r="U1982" s="3212"/>
      <c r="V1982" s="1659"/>
      <c r="W1982" s="1659"/>
      <c r="X1982" s="1659"/>
    </row>
    <row r="1983" spans="1:24" ht="18.75" customHeight="1">
      <c r="A1983" s="3262"/>
      <c r="B1983" s="1550" t="s">
        <v>4877</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3210"/>
      <c r="S1983" s="1659"/>
      <c r="T1983" s="3212"/>
      <c r="U1983" s="3212"/>
      <c r="V1983" s="1659"/>
      <c r="W1983" s="1659"/>
      <c r="X1983" s="1659"/>
    </row>
    <row r="1984" spans="1:24" ht="18.75">
      <c r="A1984" s="1511" t="s">
        <v>749</v>
      </c>
      <c r="B1984" s="1317" t="s">
        <v>4876</v>
      </c>
      <c r="C1984" s="1659"/>
      <c r="D1984" s="457"/>
      <c r="E1984" s="1659"/>
      <c r="F1984" s="1659"/>
      <c r="G1984" s="1659"/>
      <c r="H1984" s="1335"/>
      <c r="I1984" s="1659"/>
      <c r="J1984" s="1659"/>
      <c r="K1984" s="457"/>
      <c r="L1984" s="3210"/>
      <c r="M1984" s="1313">
        <v>1</v>
      </c>
      <c r="N1984" s="1620" t="s">
        <v>749</v>
      </c>
      <c r="O1984" s="1546">
        <f>'Part IX Scoring Criteria'!O336</f>
        <v>1</v>
      </c>
      <c r="P1984" s="1546">
        <f>IF(P1978=0,0,IF(P1985="Yes",$M$336,0))</f>
        <v>0</v>
      </c>
      <c r="Q1984" s="3200" t="str">
        <f>IF(OR($O1984=$M1984,$O1984=0,$O1984=""),"","*CHECK!*")</f>
        <v/>
      </c>
      <c r="R1984" s="1372" t="s">
        <v>2707</v>
      </c>
      <c r="S1984" s="1659"/>
      <c r="T1984" s="3212"/>
      <c r="U1984" s="3212"/>
      <c r="V1984" s="1659"/>
      <c r="W1984" s="1659"/>
      <c r="X1984" s="1659"/>
    </row>
    <row r="1985" spans="1:24" ht="18.75" customHeight="1">
      <c r="A1985" s="1659"/>
      <c r="B1985" s="1583" t="s">
        <v>5388</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3210"/>
      <c r="S1985" s="1659"/>
      <c r="T1985" s="3212"/>
      <c r="U1985" s="3212"/>
      <c r="V1985" s="1659"/>
      <c r="W1985" s="1659"/>
      <c r="X1985" s="1659"/>
    </row>
    <row r="1986" spans="1:24" ht="18.75" customHeight="1">
      <c r="A1986" s="1659"/>
      <c r="B1986" s="1583" t="s">
        <v>5029</v>
      </c>
      <c r="C1986" s="1583"/>
      <c r="D1986" s="1583"/>
      <c r="E1986" s="1583"/>
      <c r="F1986" s="1583"/>
      <c r="G1986" s="1583"/>
      <c r="H1986" s="1583"/>
      <c r="I1986" s="1583"/>
      <c r="J1986" s="1583"/>
      <c r="K1986" s="1583"/>
      <c r="L1986" s="1583"/>
      <c r="M1986" s="1313"/>
      <c r="N1986" s="1313"/>
      <c r="O1986" s="1313"/>
      <c r="P1986" s="1313"/>
      <c r="Q1986" s="1528"/>
      <c r="R1986" s="3210"/>
      <c r="S1986" s="1659"/>
      <c r="T1986" s="3212"/>
      <c r="U1986" s="3212"/>
      <c r="V1986" s="1659"/>
      <c r="W1986" s="1659"/>
      <c r="X1986" s="1659"/>
    </row>
    <row r="1987" spans="1:24" ht="15">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3179"/>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3262" t="s">
        <v>1726</v>
      </c>
      <c r="B1990" s="3159"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1984</v>
      </c>
      <c r="B1991" s="1317" t="s">
        <v>4049</v>
      </c>
      <c r="C1991" s="1638"/>
      <c r="D1991" s="1638"/>
      <c r="E1991" s="457"/>
      <c r="F1991" s="1659"/>
      <c r="G1991" s="1532">
        <f>'Part VIII-Threshold Criteria'!I2009</f>
        <v>0</v>
      </c>
      <c r="H1991" s="1659"/>
      <c r="I1991" s="1659"/>
      <c r="J1991" s="1524" t="s">
        <v>2687</v>
      </c>
      <c r="K1991" s="1659"/>
      <c r="L1991" s="457"/>
      <c r="M1991" s="1659"/>
      <c r="N1991" s="1620" t="s">
        <v>1984</v>
      </c>
      <c r="O1991" s="1316" t="str">
        <f>'Part I-Project Information'!$H$100</f>
        <v>No</v>
      </c>
      <c r="P1991" s="1313"/>
      <c r="Q1991" s="1313"/>
      <c r="R1991" s="1372" t="s">
        <v>2707</v>
      </c>
      <c r="S1991" s="1659"/>
      <c r="T1991" s="1659"/>
      <c r="U1991" s="1659"/>
      <c r="V1991" s="1659"/>
      <c r="W1991" s="1659"/>
      <c r="X1991" s="1659"/>
    </row>
    <row r="1992" spans="1:24" ht="15">
      <c r="A1992" s="1511"/>
      <c r="B1992" s="1776" t="s">
        <v>1987</v>
      </c>
      <c r="C1992" s="457" t="s">
        <v>4948</v>
      </c>
      <c r="D1992" s="1314"/>
      <c r="E1992" s="1676"/>
      <c r="F1992" s="1676"/>
      <c r="G1992" s="1676"/>
      <c r="H1992" s="1676"/>
      <c r="I1992" s="1676"/>
      <c r="J1992" s="1676"/>
      <c r="K1992" s="1676"/>
      <c r="L1992" s="1676"/>
      <c r="M1992" s="1676"/>
      <c r="N1992" s="1776" t="s">
        <v>4950</v>
      </c>
      <c r="O1992" s="1578">
        <f>'Part IX Scoring Criteria'!O344</f>
        <v>0</v>
      </c>
      <c r="P1992" s="1578"/>
      <c r="Q1992" s="1676"/>
      <c r="R1992" s="3210"/>
      <c r="S1992" s="1676"/>
      <c r="T1992" s="1676"/>
      <c r="U1992" s="1676"/>
      <c r="V1992" s="1676"/>
      <c r="W1992" s="1676"/>
      <c r="X1992" s="1676"/>
    </row>
    <row r="1993" spans="1:24" ht="15">
      <c r="A1993" s="1511"/>
      <c r="B1993" s="1776"/>
      <c r="C1993" s="457" t="s">
        <v>4949</v>
      </c>
      <c r="D1993" s="1314"/>
      <c r="E1993" s="1676"/>
      <c r="F1993" s="1676"/>
      <c r="G1993" s="1676"/>
      <c r="H1993" s="1676"/>
      <c r="I1993" s="1676"/>
      <c r="J1993" s="1676"/>
      <c r="K1993" s="1676"/>
      <c r="L1993" s="1676"/>
      <c r="M1993" s="1676"/>
      <c r="N1993" s="1776" t="s">
        <v>4951</v>
      </c>
      <c r="O1993" s="1578">
        <f>'Part IX Scoring Criteria'!O345</f>
        <v>0</v>
      </c>
      <c r="P1993" s="1578"/>
      <c r="Q1993" s="1676"/>
      <c r="R1993" s="3210"/>
      <c r="S1993" s="1676"/>
      <c r="T1993" s="1676"/>
      <c r="U1993" s="1676"/>
      <c r="V1993" s="1676"/>
      <c r="W1993" s="1676"/>
      <c r="X1993" s="1676"/>
    </row>
    <row r="1994" spans="1:24" ht="15">
      <c r="A1994" s="1511"/>
      <c r="B1994" s="1776" t="s">
        <v>1989</v>
      </c>
      <c r="C1994" s="457" t="s">
        <v>4066</v>
      </c>
      <c r="D1994" s="1314"/>
      <c r="E1994" s="1676"/>
      <c r="F1994" s="1676"/>
      <c r="G1994" s="1676"/>
      <c r="H1994" s="1676"/>
      <c r="I1994" s="1676"/>
      <c r="J1994" s="1676"/>
      <c r="K1994" s="1676"/>
      <c r="L1994" s="1676"/>
      <c r="M1994" s="1676"/>
      <c r="N1994" s="1776" t="s">
        <v>1989</v>
      </c>
      <c r="O1994" s="1578">
        <f>'Part IX Scoring Criteria'!O346</f>
        <v>0</v>
      </c>
      <c r="P1994" s="1578"/>
      <c r="Q1994" s="1676"/>
      <c r="R1994" s="3210"/>
      <c r="S1994" s="1676"/>
      <c r="T1994" s="1676"/>
      <c r="U1994" s="1676"/>
      <c r="V1994" s="1676"/>
      <c r="W1994" s="1676"/>
      <c r="X1994" s="1676"/>
    </row>
    <row r="1995" spans="1:24" ht="15">
      <c r="A1995" s="1511"/>
      <c r="B1995" s="1776" t="s">
        <v>2535</v>
      </c>
      <c r="C1995" s="457" t="s">
        <v>4952</v>
      </c>
      <c r="D1995" s="1314"/>
      <c r="E1995" s="1676"/>
      <c r="F1995" s="1676"/>
      <c r="G1995" s="1676"/>
      <c r="H1995" s="1676"/>
      <c r="I1995" s="1676"/>
      <c r="J1995" s="1676"/>
      <c r="K1995" s="1676"/>
      <c r="L1995" s="1676"/>
      <c r="M1995" s="1676"/>
      <c r="N1995" s="1776" t="s">
        <v>2535</v>
      </c>
      <c r="O1995" s="1578">
        <f>'Part IX Scoring Criteria'!O347</f>
        <v>0</v>
      </c>
      <c r="P1995" s="1578"/>
      <c r="Q1995" s="1676"/>
      <c r="R1995" s="3210"/>
      <c r="S1995" s="1676"/>
      <c r="T1995" s="1676"/>
      <c r="U1995" s="1676"/>
      <c r="V1995" s="1676"/>
      <c r="W1995" s="1676"/>
      <c r="X1995" s="1676"/>
    </row>
    <row r="1996" spans="1:24" ht="15">
      <c r="A1996" s="1676"/>
      <c r="B1996" s="1776" t="s">
        <v>1224</v>
      </c>
      <c r="C1996" s="457" t="s">
        <v>4878</v>
      </c>
      <c r="D1996" s="1314"/>
      <c r="E1996" s="1676"/>
      <c r="F1996" s="1676"/>
      <c r="G1996" s="1676"/>
      <c r="H1996" s="1676"/>
      <c r="I1996" s="1676"/>
      <c r="J1996" s="1676"/>
      <c r="K1996" s="1676"/>
      <c r="L1996" s="1676"/>
      <c r="M1996" s="1676"/>
      <c r="N1996" s="1776" t="s">
        <v>1224</v>
      </c>
      <c r="O1996" s="1578">
        <f>'Part IX Scoring Criteria'!O348</f>
        <v>0</v>
      </c>
      <c r="P1996" s="1578"/>
      <c r="Q1996" s="1676"/>
      <c r="R1996" s="3210"/>
      <c r="S1996" s="1676"/>
      <c r="T1996" s="1676"/>
      <c r="U1996" s="1676"/>
      <c r="V1996" s="1676"/>
      <c r="W1996" s="1676"/>
      <c r="X1996" s="1676"/>
    </row>
    <row r="1997" spans="1:24" ht="15">
      <c r="A1997" s="1511"/>
      <c r="B1997" s="1776" t="s">
        <v>1225</v>
      </c>
      <c r="C1997" s="457" t="s">
        <v>4879</v>
      </c>
      <c r="D1997" s="1314"/>
      <c r="E1997" s="1676"/>
      <c r="F1997" s="1676"/>
      <c r="G1997" s="1676"/>
      <c r="H1997" s="1676"/>
      <c r="I1997" s="1676"/>
      <c r="J1997" s="1676"/>
      <c r="K1997" s="1676"/>
      <c r="L1997" s="1676"/>
      <c r="M1997" s="1676"/>
      <c r="N1997" s="1776" t="s">
        <v>1225</v>
      </c>
      <c r="O1997" s="1578">
        <f>'Part IX Scoring Criteria'!O349</f>
        <v>0</v>
      </c>
      <c r="P1997" s="1578"/>
      <c r="Q1997" s="1676"/>
      <c r="R1997" s="3210"/>
      <c r="S1997" s="1676"/>
      <c r="T1997" s="1676"/>
      <c r="U1997" s="1676"/>
      <c r="V1997" s="1676"/>
      <c r="W1997" s="1676"/>
      <c r="X1997" s="1676"/>
    </row>
    <row r="1998" spans="1:24" ht="15">
      <c r="A1998" s="1511"/>
      <c r="B1998" s="1776" t="s">
        <v>1882</v>
      </c>
      <c r="C1998" s="457" t="s">
        <v>4067</v>
      </c>
      <c r="D1998" s="1314"/>
      <c r="E1998" s="1676"/>
      <c r="F1998" s="1676"/>
      <c r="G1998" s="1676"/>
      <c r="H1998" s="1676"/>
      <c r="I1998" s="1676"/>
      <c r="J1998" s="1676"/>
      <c r="K1998" s="1676"/>
      <c r="L1998" s="1676"/>
      <c r="M1998" s="1676"/>
      <c r="N1998" s="1776" t="s">
        <v>1882</v>
      </c>
      <c r="O1998" s="1578">
        <f>'Part IX Scoring Criteria'!O350</f>
        <v>0</v>
      </c>
      <c r="P1998" s="1578"/>
      <c r="Q1998" s="1676"/>
      <c r="R1998" s="3210"/>
      <c r="S1998" s="1676"/>
      <c r="T1998" s="1676"/>
      <c r="U1998" s="1676"/>
      <c r="V1998" s="1676"/>
      <c r="W1998" s="1676"/>
      <c r="X1998" s="1676"/>
    </row>
    <row r="1999" spans="1:24" ht="15">
      <c r="A1999" s="1511" t="s">
        <v>1986</v>
      </c>
      <c r="B1999" s="1317" t="s">
        <v>4050</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5">
      <c r="A2000" s="3262"/>
      <c r="B2000" s="1776" t="s">
        <v>1987</v>
      </c>
      <c r="C2000" s="457" t="s">
        <v>4948</v>
      </c>
      <c r="D2000" s="457"/>
      <c r="E2000" s="457"/>
      <c r="F2000" s="1676"/>
      <c r="G2000" s="1676"/>
      <c r="H2000" s="1676"/>
      <c r="I2000" s="1676"/>
      <c r="J2000" s="1676"/>
      <c r="K2000" s="1676"/>
      <c r="L2000" s="1676"/>
      <c r="M2000" s="1313"/>
      <c r="N2000" s="1776" t="s">
        <v>4950</v>
      </c>
      <c r="O2000" s="1578">
        <f>'Part IX Scoring Criteria'!O352</f>
        <v>0</v>
      </c>
      <c r="P2000" s="1578"/>
      <c r="Q2000" s="1313"/>
      <c r="R2000" s="1676"/>
      <c r="S2000" s="1676"/>
      <c r="T2000" s="1676"/>
      <c r="U2000" s="1676"/>
      <c r="V2000" s="1676"/>
      <c r="W2000" s="1676"/>
      <c r="X2000" s="1676"/>
    </row>
    <row r="2001" spans="1:24" ht="15">
      <c r="A2001" s="1511"/>
      <c r="B2001" s="1776"/>
      <c r="C2001" s="457" t="s">
        <v>4953</v>
      </c>
      <c r="D2001" s="1314"/>
      <c r="E2001" s="1676"/>
      <c r="F2001" s="1676"/>
      <c r="G2001" s="1676"/>
      <c r="H2001" s="1676"/>
      <c r="I2001" s="1676"/>
      <c r="J2001" s="1676"/>
      <c r="K2001" s="1676"/>
      <c r="L2001" s="1676"/>
      <c r="M2001" s="1676"/>
      <c r="N2001" s="1776" t="s">
        <v>4951</v>
      </c>
      <c r="O2001" s="1578">
        <f>'Part IX Scoring Criteria'!O353</f>
        <v>0</v>
      </c>
      <c r="P2001" s="1578"/>
      <c r="Q2001" s="1676"/>
      <c r="R2001" s="3210"/>
      <c r="S2001" s="1676"/>
      <c r="T2001" s="1676"/>
      <c r="U2001" s="1676"/>
      <c r="V2001" s="1676"/>
      <c r="W2001" s="1676"/>
      <c r="X2001" s="1676"/>
    </row>
    <row r="2002" spans="1:24" ht="15">
      <c r="A2002" s="1511"/>
      <c r="B2002" s="1776" t="s">
        <v>1989</v>
      </c>
      <c r="C2002" s="457" t="s">
        <v>4079</v>
      </c>
      <c r="D2002" s="1314"/>
      <c r="E2002" s="1676"/>
      <c r="F2002" s="1676"/>
      <c r="G2002" s="1676"/>
      <c r="H2002" s="1676"/>
      <c r="I2002" s="1676"/>
      <c r="J2002" s="1676"/>
      <c r="K2002" s="1676"/>
      <c r="L2002" s="1676"/>
      <c r="M2002" s="1676"/>
      <c r="N2002" s="1776" t="s">
        <v>1989</v>
      </c>
      <c r="O2002" s="1578">
        <f>'Part IX Scoring Criteria'!O354</f>
        <v>0</v>
      </c>
      <c r="P2002" s="1578"/>
      <c r="Q2002" s="1676"/>
      <c r="R2002" s="3210"/>
      <c r="S2002" s="1676"/>
      <c r="T2002" s="1676"/>
      <c r="U2002" s="1676"/>
      <c r="V2002" s="1676"/>
      <c r="W2002" s="1676"/>
      <c r="X2002" s="1676"/>
    </row>
    <row r="2003" spans="1:24" ht="15">
      <c r="A2003" s="1676"/>
      <c r="B2003" s="1776" t="s">
        <v>2535</v>
      </c>
      <c r="C2003" s="457" t="s">
        <v>4067</v>
      </c>
      <c r="D2003" s="1314"/>
      <c r="E2003" s="1676"/>
      <c r="F2003" s="1676"/>
      <c r="G2003" s="1676"/>
      <c r="H2003" s="1676"/>
      <c r="I2003" s="1676"/>
      <c r="J2003" s="1676"/>
      <c r="K2003" s="1676"/>
      <c r="L2003" s="1676"/>
      <c r="M2003" s="1676"/>
      <c r="N2003" s="1776" t="s">
        <v>2535</v>
      </c>
      <c r="O2003" s="1578">
        <f>'Part IX Scoring Criteria'!O355</f>
        <v>0</v>
      </c>
      <c r="P2003" s="1578"/>
      <c r="Q2003" s="1676"/>
      <c r="R2003" s="3210"/>
      <c r="S2003" s="1676"/>
      <c r="T2003" s="1676"/>
      <c r="U2003" s="1676"/>
      <c r="V2003" s="1676"/>
      <c r="W2003" s="1676"/>
      <c r="X2003" s="1676"/>
    </row>
    <row r="2004" spans="1:24" ht="15">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3179"/>
      <c r="R2005" s="1659"/>
      <c r="S2005" s="1659"/>
      <c r="T2005" s="1659"/>
      <c r="U2005" s="1659"/>
      <c r="V2005" s="1659"/>
      <c r="W2005" s="1659"/>
      <c r="X2005" s="1659"/>
    </row>
    <row r="2006" spans="1:24">
      <c r="N2006" s="1320"/>
      <c r="O2006" s="1320"/>
      <c r="P2006" s="1320"/>
    </row>
    <row r="2007" spans="1:24" ht="15">
      <c r="A2007" s="3262" t="s">
        <v>2783</v>
      </c>
      <c r="B2007" s="3159" t="s">
        <v>4051</v>
      </c>
      <c r="C2007" s="1659"/>
      <c r="D2007" s="1659"/>
      <c r="E2007" s="1659"/>
      <c r="F2007" s="1659"/>
      <c r="G2007" s="1659"/>
      <c r="H2007" s="1620" t="s">
        <v>3576</v>
      </c>
      <c r="I2007" s="1524" t="str">
        <f>'Part I-Project Information'!$H$105</f>
        <v>Rural</v>
      </c>
      <c r="J2007" s="1524"/>
      <c r="K2007" s="1659"/>
      <c r="L2007" s="3210" t="str">
        <f>IF(OR($O2007=$M2007,$O2007=0,$O2007=""),"","* * Check Score! * *")</f>
        <v/>
      </c>
      <c r="M2007" s="1313">
        <v>1</v>
      </c>
      <c r="N2007" s="3263"/>
      <c r="O2007" s="1313">
        <f>'Part IX Scoring Criteria'!O359</f>
        <v>0</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4880</v>
      </c>
      <c r="J2008" s="1604"/>
      <c r="K2008" s="1604"/>
      <c r="L2008" s="1604"/>
      <c r="M2008" s="1604"/>
      <c r="N2008" s="1604"/>
      <c r="O2008" s="1604"/>
      <c r="P2008" s="1604"/>
      <c r="Q2008" s="1659"/>
      <c r="R2008" s="3210"/>
      <c r="S2008" s="1659"/>
      <c r="T2008" s="1659"/>
      <c r="U2008" s="1659"/>
      <c r="V2008" s="1659"/>
      <c r="W2008" s="1659"/>
      <c r="X2008" s="1659"/>
    </row>
    <row r="2009" spans="1:24" ht="15" customHeight="1">
      <c r="A2009" s="1583"/>
      <c r="B2009" s="1583" t="s">
        <v>5126</v>
      </c>
      <c r="C2009" s="1583"/>
      <c r="D2009" s="1583"/>
      <c r="E2009" s="1583"/>
      <c r="F2009" s="1583"/>
      <c r="G2009" s="1583"/>
      <c r="H2009" s="1583"/>
      <c r="I2009" s="457" t="str">
        <f>'Part IX Scoring Criteria'!I361</f>
        <v>1 - Abbington at Ormewood Park</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3210"/>
      <c r="S2009" s="1659"/>
      <c r="T2009" s="1659"/>
      <c r="U2009" s="1659"/>
      <c r="V2009" s="1659"/>
      <c r="W2009" s="1659"/>
      <c r="X2009" s="1659"/>
    </row>
    <row r="2010" spans="1:24" ht="15">
      <c r="A2010" s="1583"/>
      <c r="B2010" s="1583"/>
      <c r="C2010" s="1583"/>
      <c r="D2010" s="1583"/>
      <c r="E2010" s="1583"/>
      <c r="F2010" s="1583"/>
      <c r="G2010" s="1583"/>
      <c r="H2010" s="1583"/>
      <c r="I2010" s="457" t="str">
        <f>'Part IX Scoring Criteria'!I362</f>
        <v>2 - Abbington Sound</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3210"/>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3210"/>
      <c r="S2011" s="1659"/>
      <c r="T2011" s="1659"/>
      <c r="U2011" s="1659"/>
      <c r="V2011" s="1659"/>
      <c r="W2011" s="1659"/>
      <c r="X2011" s="1659"/>
    </row>
    <row r="2012" spans="1:24" ht="15">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01.25">
      <c r="A2013" s="1583" t="str">
        <f>'Part IX Scoring Criteria'!A365</f>
        <v xml:space="preserve">Applicant has elected to NOT assign its Bonus Point to the Abbington Sound application.       </v>
      </c>
      <c r="B2013" s="1583"/>
      <c r="C2013" s="1583"/>
      <c r="D2013" s="1583"/>
      <c r="E2013" s="1583"/>
      <c r="F2013" s="1583"/>
      <c r="G2013" s="1583"/>
      <c r="H2013" s="1583"/>
      <c r="I2013" s="1583"/>
      <c r="J2013" s="1583"/>
      <c r="K2013" s="1583"/>
      <c r="L2013" s="1583"/>
      <c r="M2013" s="1583"/>
      <c r="N2013" s="1583"/>
      <c r="O2013" s="1583"/>
      <c r="P2013" s="1583"/>
      <c r="Q2013" s="3179" t="s">
        <v>1254</v>
      </c>
      <c r="R2013" s="1659"/>
      <c r="S2013" s="1659"/>
      <c r="T2013" s="1659"/>
      <c r="U2013" s="1659"/>
      <c r="V2013" s="1659"/>
      <c r="W2013" s="1659"/>
      <c r="X2013" s="1659"/>
    </row>
    <row r="2014" spans="1:24" ht="15">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3179"/>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3221" t="s">
        <v>2252</v>
      </c>
      <c r="B2017" s="3159" t="s">
        <v>1672</v>
      </c>
      <c r="C2017" s="1659"/>
      <c r="D2017" s="1638"/>
      <c r="E2017" s="1638"/>
      <c r="F2017" s="1659"/>
      <c r="G2017" s="457"/>
      <c r="H2017" s="1659"/>
      <c r="I2017" s="457"/>
      <c r="J2017" s="457"/>
      <c r="K2017" s="1659"/>
      <c r="L2017" s="1578"/>
      <c r="M2017" s="1313">
        <v>1</v>
      </c>
      <c r="N2017" s="3263"/>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3612</v>
      </c>
      <c r="C2018" s="1659"/>
      <c r="D2018" s="1638"/>
      <c r="E2018" s="1638"/>
      <c r="F2018" s="1659"/>
      <c r="G2018" s="457"/>
      <c r="H2018" s="1659"/>
      <c r="I2018" s="457" t="str">
        <f>'Part IX Scoring Criteria'!I370</f>
        <v>Camden County</v>
      </c>
      <c r="J2018" s="457">
        <f>'Part IX Scoring Criteria'!J370</f>
        <v>0</v>
      </c>
      <c r="K2018" s="457">
        <f>'Part IX Scoring Criteria'!K370</f>
        <v>0</v>
      </c>
      <c r="L2018" s="457">
        <f>'Part IX Scoring Criteria'!L370</f>
        <v>0</v>
      </c>
      <c r="M2018" s="1313"/>
      <c r="N2018" s="3263"/>
      <c r="O2018" s="1659"/>
      <c r="P2018" s="1659"/>
      <c r="Q2018" s="3200"/>
      <c r="R2018" s="1372" t="s">
        <v>2707</v>
      </c>
      <c r="S2018" s="1659"/>
      <c r="T2018" s="1659"/>
      <c r="U2018" s="1659"/>
      <c r="V2018" s="1659"/>
      <c r="W2018" s="1659"/>
      <c r="X2018" s="1659"/>
    </row>
    <row r="2019" spans="1:24" ht="15">
      <c r="A2019" s="1511"/>
      <c r="B2019" s="1776" t="s">
        <v>1987</v>
      </c>
      <c r="C2019" s="1051" t="s">
        <v>4895</v>
      </c>
      <c r="D2019" s="1638"/>
      <c r="E2019" s="1051" t="s">
        <v>4896</v>
      </c>
      <c r="F2019" s="1659"/>
      <c r="G2019" s="457"/>
      <c r="H2019" s="1659"/>
      <c r="I2019" s="457"/>
      <c r="J2019" s="1051"/>
      <c r="K2019" s="1051"/>
      <c r="L2019" s="1051"/>
      <c r="M2019" s="1578"/>
      <c r="N2019" s="1701"/>
      <c r="O2019" s="1578" t="str">
        <f>'Part IX Scoring Criteria'!O371</f>
        <v>No</v>
      </c>
      <c r="P2019" s="1578"/>
      <c r="Q2019" s="3264"/>
      <c r="R2019" s="1372"/>
      <c r="S2019" s="1659"/>
      <c r="T2019" s="1659"/>
      <c r="U2019" s="1659"/>
      <c r="V2019" s="1659"/>
      <c r="W2019" s="1659"/>
      <c r="X2019" s="1659"/>
    </row>
    <row r="2020" spans="1:24" ht="15">
      <c r="A2020" s="1511"/>
      <c r="B2020" s="1578"/>
      <c r="C2020" s="1051"/>
      <c r="D2020" s="1638"/>
      <c r="E2020" s="1638" t="s">
        <v>4897</v>
      </c>
      <c r="F2020" s="1659"/>
      <c r="G2020" s="457"/>
      <c r="H2020" s="457"/>
      <c r="I2020" s="1051"/>
      <c r="J2020" s="1051"/>
      <c r="K2020" s="1051"/>
      <c r="L2020" s="1701"/>
      <c r="M2020" s="1546">
        <f>'Part IX Scoring Criteria'!M372</f>
        <v>0</v>
      </c>
      <c r="N2020" s="1701"/>
      <c r="O2020" s="1578">
        <f>'Part IX Scoring Criteria'!O372</f>
        <v>0</v>
      </c>
      <c r="P2020" s="1578"/>
      <c r="Q2020" s="3264"/>
      <c r="R2020" s="1372"/>
      <c r="S2020" s="1659"/>
      <c r="T2020" s="1659"/>
      <c r="U2020" s="1659"/>
      <c r="V2020" s="1659"/>
      <c r="W2020" s="1659"/>
      <c r="X2020" s="1659"/>
    </row>
    <row r="2021" spans="1:24" ht="15">
      <c r="A2021" s="1659"/>
      <c r="B2021" s="1776" t="s">
        <v>1989</v>
      </c>
      <c r="C2021" s="1524" t="s">
        <v>5389</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4052</v>
      </c>
      <c r="D2022" s="457"/>
      <c r="E2022" s="457"/>
      <c r="F2022" s="457"/>
      <c r="G2022" s="457"/>
      <c r="H2022" s="457"/>
      <c r="I2022" s="457"/>
      <c r="J2022" s="457"/>
      <c r="K2022" s="457"/>
      <c r="L2022" s="457"/>
      <c r="M2022" s="457"/>
      <c r="N2022" s="1620" t="s">
        <v>2436</v>
      </c>
      <c r="O2022" s="1578">
        <f>'Part IX Scoring Criteria'!O374</f>
        <v>0</v>
      </c>
      <c r="P2022" s="1578"/>
      <c r="Q2022" s="457"/>
      <c r="R2022" s="457"/>
      <c r="S2022" s="457"/>
      <c r="T2022" s="457"/>
      <c r="U2022" s="457"/>
      <c r="V2022" s="457"/>
      <c r="W2022" s="457"/>
      <c r="X2022" s="457"/>
    </row>
    <row r="2023" spans="1:24">
      <c r="A2023" s="457"/>
      <c r="B2023" s="1627" t="s">
        <v>2437</v>
      </c>
      <c r="C2023" s="1524" t="s">
        <v>4053</v>
      </c>
      <c r="D2023" s="457"/>
      <c r="E2023" s="457"/>
      <c r="F2023" s="457"/>
      <c r="G2023" s="457"/>
      <c r="H2023" s="457"/>
      <c r="I2023" s="457"/>
      <c r="J2023" s="457"/>
      <c r="K2023" s="457"/>
      <c r="L2023" s="457"/>
      <c r="M2023" s="457"/>
      <c r="N2023" s="1627" t="s">
        <v>2437</v>
      </c>
      <c r="O2023" s="1578">
        <f>'Part IX Scoring Criteria'!O375</f>
        <v>0</v>
      </c>
      <c r="P2023" s="1578"/>
      <c r="Q2023" s="457"/>
      <c r="R2023" s="457"/>
      <c r="S2023" s="457"/>
      <c r="T2023" s="457"/>
      <c r="U2023" s="457"/>
      <c r="V2023" s="457"/>
      <c r="W2023" s="457"/>
      <c r="X2023" s="457"/>
    </row>
    <row r="2024" spans="1:24">
      <c r="A2024" s="457"/>
      <c r="B2024" s="1620" t="s">
        <v>2438</v>
      </c>
      <c r="C2024" s="1524" t="s">
        <v>4881</v>
      </c>
      <c r="D2024" s="457"/>
      <c r="E2024" s="457"/>
      <c r="F2024" s="457"/>
      <c r="G2024" s="457"/>
      <c r="H2024" s="457"/>
      <c r="I2024" s="457"/>
      <c r="J2024" s="457"/>
      <c r="K2024" s="457"/>
      <c r="L2024" s="457"/>
      <c r="M2024" s="457"/>
      <c r="N2024" s="1620" t="s">
        <v>2438</v>
      </c>
      <c r="O2024" s="1578">
        <f>'Part IX Scoring Criteria'!O376</f>
        <v>0</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13.75">
      <c r="A2028" s="1583" t="str">
        <f>'Part IX Scoring Criteria'!A380</f>
        <v>Development site is located within a GICH alumni community (Camden County), but this community has not maintained the requirements necessary to be a current team.</v>
      </c>
      <c r="B2028" s="1583"/>
      <c r="C2028" s="1583"/>
      <c r="D2028" s="1583"/>
      <c r="E2028" s="1583"/>
      <c r="F2028" s="1583"/>
      <c r="G2028" s="1583"/>
      <c r="H2028" s="1583"/>
      <c r="I2028" s="1583"/>
      <c r="J2028" s="1583"/>
      <c r="K2028" s="1583"/>
      <c r="L2028" s="1583"/>
      <c r="M2028" s="1583"/>
      <c r="N2028" s="1583"/>
      <c r="O2028" s="1583"/>
      <c r="P2028" s="1583"/>
      <c r="Q2028" s="3179" t="s">
        <v>1254</v>
      </c>
      <c r="R2028" s="1659"/>
      <c r="S2028" s="1659"/>
      <c r="T2028" s="1659"/>
      <c r="U2028" s="1659"/>
      <c r="V2028" s="1659"/>
      <c r="W2028" s="1659"/>
      <c r="X2028" s="1659"/>
    </row>
    <row r="2029" spans="1:24" ht="15">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3179"/>
      <c r="R2030" s="1659"/>
      <c r="S2030" s="1659"/>
      <c r="T2030" s="1659"/>
      <c r="U2030" s="1659"/>
      <c r="V2030" s="1659"/>
      <c r="W2030" s="1659"/>
      <c r="X2030" s="1659"/>
    </row>
    <row r="2031" spans="1:24">
      <c r="N2031" s="1320"/>
      <c r="O2031" s="1320"/>
      <c r="P2031" s="1320"/>
    </row>
    <row r="2032" spans="1:24" ht="15">
      <c r="A2032" s="3221" t="s">
        <v>4097</v>
      </c>
      <c r="B2032" s="3159" t="s">
        <v>4058</v>
      </c>
      <c r="C2032" s="1659"/>
      <c r="D2032" s="1638"/>
      <c r="E2032" s="1638"/>
      <c r="F2032" s="457"/>
      <c r="G2032" s="457"/>
      <c r="H2032" s="1317" t="s">
        <v>2795</v>
      </c>
      <c r="I2032" s="1659"/>
      <c r="J2032" s="1317" t="str">
        <f>'Part I-Project Information'!$H$105</f>
        <v>Rural</v>
      </c>
      <c r="K2032" s="1659"/>
      <c r="L2032" s="3210" t="str">
        <f>IF(OR($O2032=$M2032,$O2032=$M2039,$O2032=$M2059,$O2032=0,$O2032=""),"","* * Check Score! * *")</f>
        <v>* * Check Score! * *</v>
      </c>
      <c r="M2032" s="1546">
        <v>4</v>
      </c>
      <c r="N2032" s="1313"/>
      <c r="O2032" s="1546">
        <f>'Part IX Scoring Criteria'!O384</f>
        <v>2</v>
      </c>
      <c r="P2032" s="1546">
        <f>P2039+P2059</f>
        <v>0</v>
      </c>
      <c r="Q2032" s="1313" t="s">
        <v>441</v>
      </c>
      <c r="R2032" s="1659"/>
      <c r="S2032" s="1659"/>
      <c r="T2032" s="1659"/>
      <c r="U2032" s="1659"/>
      <c r="V2032" s="1659"/>
      <c r="W2032" s="1659"/>
      <c r="X2032" s="1659"/>
    </row>
    <row r="2033" spans="1:24" ht="15">
      <c r="A2033" s="1314"/>
      <c r="B2033" s="1524" t="s">
        <v>5390</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3805</v>
      </c>
      <c r="D2035" s="1051"/>
      <c r="E2035" s="1051"/>
      <c r="F2035" s="1051"/>
      <c r="G2035" s="1051"/>
      <c r="H2035" s="1051"/>
      <c r="I2035" s="1051"/>
      <c r="J2035" s="1051"/>
      <c r="K2035" s="1051"/>
      <c r="L2035" s="1583"/>
      <c r="M2035" s="1583"/>
      <c r="N2035" s="1620" t="s">
        <v>2437</v>
      </c>
      <c r="O2035" s="1578" t="str">
        <f>'Part IX Scoring Criteria'!O387</f>
        <v>Yes</v>
      </c>
      <c r="P2035" s="1578"/>
      <c r="Q2035" s="1051"/>
      <c r="R2035" s="1583"/>
      <c r="S2035" s="1583"/>
      <c r="T2035" s="1051"/>
      <c r="U2035" s="1051"/>
      <c r="V2035" s="1051"/>
      <c r="W2035" s="1051"/>
      <c r="X2035" s="1051"/>
    </row>
    <row r="2036" spans="1:24">
      <c r="A2036" s="1051"/>
      <c r="B2036" s="1620" t="s">
        <v>2438</v>
      </c>
      <c r="C2036" s="457" t="s">
        <v>3804</v>
      </c>
      <c r="D2036" s="1051"/>
      <c r="E2036" s="1051"/>
      <c r="F2036" s="1051"/>
      <c r="G2036" s="1051"/>
      <c r="H2036" s="1051"/>
      <c r="I2036" s="1051"/>
      <c r="J2036" s="1051"/>
      <c r="K2036" s="1051"/>
      <c r="L2036" s="1583"/>
      <c r="M2036" s="1583"/>
      <c r="N2036" s="1620" t="s">
        <v>2438</v>
      </c>
      <c r="O2036" s="1578" t="str">
        <f>'Part IX Scoring Criteria'!O388</f>
        <v>Yes</v>
      </c>
      <c r="P2036" s="1578"/>
      <c r="Q2036" s="1051"/>
      <c r="R2036" s="1583"/>
      <c r="S2036" s="1583"/>
      <c r="T2036" s="1051"/>
      <c r="U2036" s="1051"/>
      <c r="V2036" s="1051"/>
      <c r="W2036" s="1051"/>
      <c r="X2036" s="1051"/>
    </row>
    <row r="2037" spans="1:24" ht="12.75" customHeight="1">
      <c r="A2037" s="1051"/>
      <c r="B2037" s="1627" t="s">
        <v>2439</v>
      </c>
      <c r="C2037" s="1583" t="s">
        <v>4882</v>
      </c>
      <c r="D2037" s="1583"/>
      <c r="E2037" s="1583"/>
      <c r="F2037" s="1583"/>
      <c r="G2037" s="1583"/>
      <c r="H2037" s="1583"/>
      <c r="I2037" s="1583"/>
      <c r="J2037" s="1583"/>
      <c r="K2037" s="1583"/>
      <c r="L2037" s="1583"/>
      <c r="M2037" s="1583"/>
      <c r="N2037" s="1627" t="s">
        <v>2439</v>
      </c>
      <c r="O2037" s="1631" t="str">
        <f>'Part IX Scoring Criteria'!O389</f>
        <v>Yes</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3265" t="s">
        <v>1984</v>
      </c>
      <c r="B2039" s="1317" t="s">
        <v>4060</v>
      </c>
      <c r="L2039" s="3210" t="str">
        <f>IF(OR($O2039=$M2039,$O2039=0,$O2039=""),"","* * Check Score! * *")</f>
        <v>* * Check Score! * *</v>
      </c>
      <c r="M2039" s="1316">
        <v>3</v>
      </c>
      <c r="N2039" s="1620" t="s">
        <v>1984</v>
      </c>
      <c r="O2039" s="1546">
        <f>'Part IX Scoring Criteria'!O391</f>
        <v>2</v>
      </c>
      <c r="P2039" s="1546"/>
      <c r="Q2039" s="3200" t="str">
        <f>IF(OR($O2039=$M2039,$O2039=0,$O2039=""),"","*CHECK!*")</f>
        <v>*CHECK!*</v>
      </c>
      <c r="R2039" s="1372" t="s">
        <v>2707</v>
      </c>
    </row>
    <row r="2040" spans="1:24">
      <c r="A2040" s="3265"/>
      <c r="B2040" s="3247" t="s">
        <v>1987</v>
      </c>
      <c r="C2040" s="1604" t="s">
        <v>4885</v>
      </c>
      <c r="D2040" s="1604"/>
      <c r="E2040" s="1604"/>
      <c r="F2040" s="1604"/>
      <c r="G2040" s="1604"/>
      <c r="H2040" s="1604"/>
      <c r="I2040" s="1604"/>
    </row>
    <row r="2041" spans="1:24">
      <c r="A2041" s="3265"/>
      <c r="B2041" s="1704"/>
      <c r="C2041" s="1604" t="s">
        <v>4884</v>
      </c>
      <c r="D2041" s="1604"/>
      <c r="E2041" s="1604"/>
      <c r="F2041" s="1604"/>
      <c r="G2041" s="1604"/>
      <c r="H2041" s="1604"/>
      <c r="I2041" s="1604"/>
      <c r="J2041" s="1722" t="s">
        <v>1991</v>
      </c>
      <c r="K2041" s="1722"/>
      <c r="M2041" s="1722" t="s">
        <v>1991</v>
      </c>
      <c r="N2041" s="1722"/>
      <c r="O2041" s="1722"/>
      <c r="P2041" s="1722"/>
    </row>
    <row r="2042" spans="1:24" ht="15">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3210"/>
      <c r="S2042" s="1659"/>
      <c r="T2042" s="1659"/>
      <c r="U2042" s="1659"/>
      <c r="V2042" s="1659"/>
      <c r="W2042" s="1659"/>
      <c r="X2042" s="1659"/>
    </row>
    <row r="2043" spans="1:24">
      <c r="A2043" s="1562"/>
      <c r="B2043" s="1627" t="s">
        <v>2437</v>
      </c>
      <c r="C2043" s="457" t="s">
        <v>3619</v>
      </c>
      <c r="I2043" s="1627" t="s">
        <v>2437</v>
      </c>
      <c r="J2043" s="1545">
        <f>'Part IX Scoring Criteria'!J395</f>
        <v>0</v>
      </c>
      <c r="K2043" s="1545">
        <f>'Part IX Scoring Criteria'!K395</f>
        <v>0</v>
      </c>
      <c r="L2043" s="1627" t="s">
        <v>2437</v>
      </c>
      <c r="M2043" s="1545"/>
      <c r="N2043" s="1545"/>
      <c r="O2043" s="1545"/>
      <c r="P2043" s="1545"/>
      <c r="R2043" s="3210"/>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3210"/>
    </row>
    <row r="2045" spans="1:24">
      <c r="A2045" s="1562"/>
      <c r="B2045" s="1620" t="s">
        <v>2439</v>
      </c>
      <c r="C2045" s="457" t="s">
        <v>3461</v>
      </c>
      <c r="I2045" s="1620" t="s">
        <v>2439</v>
      </c>
      <c r="J2045" s="1545">
        <f>'Part IX Scoring Criteria'!J397</f>
        <v>0</v>
      </c>
      <c r="K2045" s="1545">
        <f>'Part IX Scoring Criteria'!K397</f>
        <v>0</v>
      </c>
      <c r="L2045" s="1620" t="s">
        <v>2439</v>
      </c>
      <c r="M2045" s="1545"/>
      <c r="N2045" s="1545"/>
      <c r="O2045" s="1545"/>
      <c r="P2045" s="1545"/>
      <c r="R2045" s="3210"/>
    </row>
    <row r="2046" spans="1:24" ht="15">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3210"/>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3210"/>
    </row>
    <row r="2048" spans="1:24">
      <c r="A2048" s="1562"/>
      <c r="B2048" s="1620" t="s">
        <v>2457</v>
      </c>
      <c r="C2048" s="457" t="s">
        <v>3617</v>
      </c>
      <c r="I2048" s="1620" t="s">
        <v>2457</v>
      </c>
      <c r="J2048" s="1545">
        <f>'Part IX Scoring Criteria'!J400</f>
        <v>0</v>
      </c>
      <c r="K2048" s="1545">
        <f>'Part IX Scoring Criteria'!K400</f>
        <v>0</v>
      </c>
      <c r="L2048" s="1620" t="s">
        <v>2457</v>
      </c>
      <c r="M2048" s="1545"/>
      <c r="N2048" s="1545"/>
      <c r="O2048" s="1545"/>
      <c r="P2048" s="1545"/>
      <c r="R2048" s="3210"/>
    </row>
    <row r="2049" spans="1:24">
      <c r="B2049" s="1620" t="s">
        <v>2458</v>
      </c>
      <c r="C2049" s="457" t="s">
        <v>5084</v>
      </c>
      <c r="I2049" s="1620" t="s">
        <v>2458</v>
      </c>
      <c r="J2049" s="1545">
        <f>'Part IX Scoring Criteria'!J401</f>
        <v>0</v>
      </c>
      <c r="K2049" s="1545">
        <f>'Part IX Scoring Criteria'!K401</f>
        <v>0</v>
      </c>
      <c r="L2049" s="1620" t="s">
        <v>2458</v>
      </c>
      <c r="M2049" s="1545"/>
      <c r="N2049" s="1545"/>
      <c r="O2049" s="1545"/>
      <c r="P2049" s="1545"/>
      <c r="R2049" s="3210"/>
    </row>
    <row r="2050" spans="1:24">
      <c r="B2050" s="1620" t="s">
        <v>2459</v>
      </c>
      <c r="C2050" s="457" t="s">
        <v>4887</v>
      </c>
      <c r="I2050" s="1620" t="s">
        <v>2459</v>
      </c>
      <c r="J2050" s="1545">
        <f>'Part IX Scoring Criteria'!J402</f>
        <v>805706</v>
      </c>
      <c r="K2050" s="1545">
        <f>'Part IX Scoring Criteria'!K402</f>
        <v>0</v>
      </c>
      <c r="L2050" s="1620" t="s">
        <v>2459</v>
      </c>
      <c r="M2050" s="1545"/>
      <c r="N2050" s="1545"/>
      <c r="O2050" s="1545"/>
      <c r="P2050" s="1545"/>
      <c r="R2050" s="3210"/>
    </row>
    <row r="2051" spans="1:24">
      <c r="B2051" s="1620" t="s">
        <v>3620</v>
      </c>
      <c r="C2051" s="457" t="s">
        <v>4888</v>
      </c>
      <c r="I2051" s="1620" t="s">
        <v>3620</v>
      </c>
      <c r="J2051" s="1545">
        <f>'Part IX Scoring Criteria'!J403</f>
        <v>0</v>
      </c>
      <c r="K2051" s="1545">
        <f>'Part IX Scoring Criteria'!K403</f>
        <v>0</v>
      </c>
      <c r="L2051" s="1620" t="s">
        <v>3620</v>
      </c>
      <c r="M2051" s="1545"/>
      <c r="N2051" s="1545"/>
      <c r="O2051" s="1545"/>
      <c r="P2051" s="1545"/>
      <c r="R2051" s="3210"/>
    </row>
    <row r="2052" spans="1:24">
      <c r="B2052" s="1781" t="s">
        <v>5127</v>
      </c>
      <c r="H2052" s="1524" t="s">
        <v>2629</v>
      </c>
      <c r="J2052" s="1545">
        <f>SUM(J2042:K2051)</f>
        <v>805706</v>
      </c>
      <c r="K2052" s="1545"/>
      <c r="M2052" s="1545">
        <f>SUM($M2042:$M2051)</f>
        <v>0</v>
      </c>
      <c r="N2052" s="1545"/>
      <c r="O2052" s="1545"/>
      <c r="P2052" s="1545"/>
      <c r="R2052" s="3210"/>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3266" t="s">
        <v>1989</v>
      </c>
      <c r="C2054" s="1204" t="s">
        <v>2628</v>
      </c>
      <c r="M2054" s="1330"/>
      <c r="N2054" s="1330"/>
      <c r="P2054" s="1330"/>
    </row>
    <row r="2055" spans="1:24" ht="15" customHeight="1">
      <c r="A2055" s="1314"/>
      <c r="B2055" s="1659"/>
      <c r="C2055" s="1468" t="s">
        <v>5391</v>
      </c>
      <c r="D2055" s="1468"/>
      <c r="E2055" s="1468"/>
      <c r="F2055" s="1524" t="s">
        <v>4930</v>
      </c>
      <c r="G2055" s="1659"/>
      <c r="I2055" s="1506">
        <f>'Part IX Scoring Criteria'!I407</f>
        <v>0</v>
      </c>
      <c r="J2055" s="1545">
        <f ca="1">'Part IV-A-Uses of Funds'!$G$132</f>
        <v>15903809.932432491</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4929</v>
      </c>
      <c r="I2056" s="3267">
        <f>'Part IX Scoring Criteria'!I408</f>
        <v>0</v>
      </c>
      <c r="J2056" s="1783">
        <f ca="1">IF($J2055=0,0,$J2052/$J2055)</f>
        <v>5.0661193979496151E-2</v>
      </c>
      <c r="K2056" s="1783"/>
      <c r="M2056" s="1783">
        <f ca="1">'Part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4928</v>
      </c>
      <c r="G2057" s="1659"/>
      <c r="H2057" s="1659"/>
      <c r="I2057" s="1506">
        <f>'Part IX Scoring Criteria'!I409</f>
        <v>0</v>
      </c>
      <c r="J2057" s="1529">
        <f ca="1">'Part IX Scoring Criteria'!J409</f>
        <v>2</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1986</v>
      </c>
      <c r="B2059" s="1723" t="s">
        <v>3621</v>
      </c>
      <c r="C2059" s="1676"/>
      <c r="D2059" s="457"/>
      <c r="E2059" s="457"/>
      <c r="F2059" s="1313"/>
      <c r="G2059" s="1676"/>
      <c r="H2059" s="457"/>
      <c r="I2059" s="1313"/>
      <c r="J2059" s="1524"/>
      <c r="K2059" s="1524"/>
      <c r="L2059" s="3210" t="str">
        <f>IF(OR($O2059=$M2059,$O2059=0,$O2059=""),"","* * Check Score! * *")</f>
        <v/>
      </c>
      <c r="M2059" s="1316">
        <v>1</v>
      </c>
      <c r="N2059" s="1620" t="s">
        <v>1986</v>
      </c>
      <c r="O2059" s="1546">
        <f>'Part IX Scoring Criteria'!O411</f>
        <v>0</v>
      </c>
      <c r="P2059" s="1546"/>
      <c r="Q2059" s="1313" t="s">
        <v>441</v>
      </c>
      <c r="R2059" s="1372" t="s">
        <v>2707</v>
      </c>
      <c r="S2059" s="1676"/>
      <c r="T2059" s="1676"/>
      <c r="U2059" s="1676"/>
      <c r="V2059" s="3212"/>
      <c r="W2059" s="3212"/>
      <c r="X2059" s="1676"/>
    </row>
    <row r="2060" spans="1:24" ht="18.75" customHeight="1">
      <c r="A2060" s="1511"/>
      <c r="B2060" s="1627" t="s">
        <v>2436</v>
      </c>
      <c r="C2060" s="1583" t="s">
        <v>4062</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3212"/>
      <c r="W2060" s="3212"/>
      <c r="X2060" s="1659"/>
    </row>
    <row r="2061" spans="1:24" ht="18.75">
      <c r="A2061" s="1511"/>
      <c r="B2061" s="1620" t="s">
        <v>2437</v>
      </c>
      <c r="C2061" s="457" t="s">
        <v>3797</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3212"/>
      <c r="W2061" s="3212"/>
      <c r="X2061" s="1659"/>
    </row>
    <row r="2062" spans="1:24">
      <c r="B2062" s="1620" t="s">
        <v>2438</v>
      </c>
      <c r="C2062" s="1051" t="s">
        <v>4890</v>
      </c>
      <c r="N2062" s="1620" t="s">
        <v>2438</v>
      </c>
      <c r="O2062" s="1578">
        <f>'Part IX Scoring Criteria'!O414</f>
        <v>0</v>
      </c>
      <c r="P2062" s="1578"/>
    </row>
    <row r="2063" spans="1:24">
      <c r="B2063" s="1549" t="s">
        <v>3751</v>
      </c>
      <c r="N2063" s="1320"/>
      <c r="O2063" s="1320"/>
      <c r="P2063" s="1320"/>
    </row>
    <row r="2064" spans="1:24" ht="292.5">
      <c r="A2064" s="1583" t="str">
        <f>'Part IX Scoring Criteria'!A416</f>
        <v>The development team has agreed to defer $805,706 of developer fee, which is a qualifying source of favorable financing under the scoring criteria of the CDBG-DR NOFA.  This deferred fee amount represents 5.0661% of the total development cost.</v>
      </c>
      <c r="B2064" s="1583"/>
      <c r="C2064" s="1583"/>
      <c r="D2064" s="1583"/>
      <c r="E2064" s="1583"/>
      <c r="F2064" s="1583"/>
      <c r="G2064" s="1583"/>
      <c r="H2064" s="1583"/>
      <c r="I2064" s="1583"/>
      <c r="J2064" s="1583"/>
      <c r="K2064" s="1583"/>
      <c r="L2064" s="1583"/>
      <c r="M2064" s="1583"/>
      <c r="N2064" s="1583"/>
      <c r="O2064" s="1583"/>
      <c r="P2064" s="1583"/>
      <c r="Q2064" s="3179" t="s">
        <v>1254</v>
      </c>
      <c r="R2064" s="1659"/>
      <c r="S2064" s="1659"/>
      <c r="T2064" s="1659"/>
      <c r="U2064" s="1659"/>
      <c r="V2064" s="1659"/>
      <c r="W2064" s="1659"/>
      <c r="X2064" s="1659"/>
    </row>
    <row r="2065" spans="1:24" ht="15">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3179"/>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3221" t="s">
        <v>4098</v>
      </c>
      <c r="B2068" s="3159" t="s">
        <v>2722</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3210"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3262"/>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3229" t="s">
        <v>1984</v>
      </c>
      <c r="B2072" s="457" t="s">
        <v>5392</v>
      </c>
      <c r="C2072" s="1604"/>
      <c r="D2072" s="1604"/>
      <c r="E2072" s="1604"/>
      <c r="F2072" s="1604"/>
      <c r="G2072" s="1604"/>
      <c r="H2072" s="1604"/>
      <c r="I2072" s="1604"/>
      <c r="J2072" s="1711"/>
      <c r="K2072" s="1711"/>
      <c r="L2072" s="1711"/>
      <c r="M2072" s="1713">
        <v>2</v>
      </c>
      <c r="N2072" s="1627" t="s">
        <v>1984</v>
      </c>
      <c r="O2072" s="1546">
        <f>'Part IX Scoring Criteria'!O424</f>
        <v>0</v>
      </c>
      <c r="P2072" s="1546"/>
      <c r="Q2072" s="3200" t="str">
        <f>IF(OR($O2072=$M2072,$O2072=0,$O2072=""),"","*CHECK!*")</f>
        <v/>
      </c>
      <c r="R2072" s="1372" t="s">
        <v>2707</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5393</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2830</v>
      </c>
      <c r="N2075" s="1713"/>
      <c r="O2075" s="1835">
        <f>'Part VI-Revenues &amp; Expenses'!$O$67</f>
        <v>84</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2831</v>
      </c>
      <c r="N2076" s="1713"/>
      <c r="O2076" s="3268">
        <f>IF(O2075=0,0,O2074/O2075)</f>
        <v>0</v>
      </c>
      <c r="P2076" s="3268"/>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3179" t="s">
        <v>1254</v>
      </c>
      <c r="R2077" s="3179"/>
      <c r="S2077" s="3179"/>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3269" t="s">
        <v>5394</v>
      </c>
      <c r="B2079" s="1604" t="s">
        <v>3357</v>
      </c>
      <c r="C2079" s="1604"/>
      <c r="D2079" s="1711"/>
      <c r="E2079" s="1711"/>
      <c r="F2079" s="1711"/>
      <c r="G2079" s="1711"/>
      <c r="H2079" s="1604"/>
      <c r="I2079" s="1711"/>
      <c r="J2079" s="1711"/>
      <c r="K2079" s="1711"/>
      <c r="L2079" s="1711"/>
      <c r="M2079" s="1713">
        <v>2</v>
      </c>
      <c r="N2079" s="1627" t="s">
        <v>1986</v>
      </c>
      <c r="O2079" s="1546">
        <f>'Part IX Scoring Criteria'!O431</f>
        <v>0</v>
      </c>
      <c r="P2079" s="1546"/>
      <c r="Q2079" s="3200" t="str">
        <f>IF(OR($O2079=$M2079,$O2079=0,$O2079=""),"","*CHECK!*")</f>
        <v/>
      </c>
      <c r="R2079" s="1372" t="s">
        <v>2707</v>
      </c>
      <c r="S2079" s="1711"/>
      <c r="T2079" s="1711"/>
      <c r="U2079" s="1711"/>
      <c r="V2079" s="1711"/>
      <c r="W2079" s="1711"/>
      <c r="X2079" s="1711"/>
    </row>
    <row r="2080" spans="1:24" ht="15" customHeight="1">
      <c r="A2080" s="3269"/>
      <c r="B2080" s="1583" t="s">
        <v>5128</v>
      </c>
      <c r="C2080" s="1583"/>
      <c r="D2080" s="1583"/>
      <c r="E2080" s="1583"/>
      <c r="F2080" s="1583"/>
      <c r="G2080" s="1583"/>
      <c r="H2080" s="1583"/>
      <c r="I2080" s="1583"/>
      <c r="J2080" s="1583"/>
      <c r="K2080" s="1583"/>
      <c r="L2080" s="1583"/>
      <c r="M2080" s="1738" t="s">
        <v>4893</v>
      </c>
      <c r="N2080" s="1711"/>
      <c r="O2080" s="1835">
        <f>'Part VI-Revenues &amp; Expenses'!$O$113</f>
        <v>0</v>
      </c>
      <c r="P2080" s="1835"/>
      <c r="Q2080" s="1335"/>
      <c r="R2080" s="1711"/>
      <c r="S2080" s="1711"/>
      <c r="T2080" s="1711"/>
      <c r="U2080" s="1711"/>
      <c r="V2080" s="1711"/>
      <c r="W2080" s="1711"/>
      <c r="X2080" s="1711"/>
    </row>
    <row r="2081" spans="1:24" ht="15">
      <c r="A2081" s="3269"/>
      <c r="B2081" s="1583"/>
      <c r="C2081" s="1583"/>
      <c r="D2081" s="1583"/>
      <c r="E2081" s="1583"/>
      <c r="F2081" s="1583"/>
      <c r="G2081" s="1583"/>
      <c r="H2081" s="1583"/>
      <c r="I2081" s="1583"/>
      <c r="J2081" s="1583"/>
      <c r="K2081" s="1583"/>
      <c r="L2081" s="1583"/>
      <c r="M2081" s="1784" t="s">
        <v>2830</v>
      </c>
      <c r="N2081" s="1713"/>
      <c r="O2081" s="1835">
        <f>'Part VI-Revenues &amp; Expenses'!$O$67</f>
        <v>84</v>
      </c>
      <c r="P2081" s="1835"/>
      <c r="Q2081" s="1335"/>
      <c r="R2081" s="1711"/>
      <c r="S2081" s="1711"/>
      <c r="T2081" s="1711"/>
      <c r="U2081" s="1711"/>
      <c r="V2081" s="1711"/>
      <c r="W2081" s="1711"/>
      <c r="X2081" s="1711"/>
    </row>
    <row r="2082" spans="1:24" ht="15">
      <c r="A2082" s="3269"/>
      <c r="B2082" s="1583"/>
      <c r="C2082" s="1583"/>
      <c r="D2082" s="1583"/>
      <c r="E2082" s="1583"/>
      <c r="F2082" s="1583"/>
      <c r="G2082" s="1583"/>
      <c r="H2082" s="1583"/>
      <c r="I2082" s="1583"/>
      <c r="J2082" s="1583"/>
      <c r="K2082" s="1583"/>
      <c r="L2082" s="1583"/>
      <c r="M2082" s="1372" t="s">
        <v>2831</v>
      </c>
      <c r="N2082" s="1713"/>
      <c r="O2082" s="3268">
        <f>IF(O2081=0,0,L2068/O2081)</f>
        <v>0</v>
      </c>
      <c r="P2082" s="3268"/>
      <c r="Q2082" s="1335"/>
      <c r="R2082" s="1711"/>
      <c r="S2082" s="1711"/>
      <c r="T2082" s="1711"/>
      <c r="U2082" s="1711"/>
      <c r="V2082" s="1711"/>
      <c r="W2082" s="1711"/>
      <c r="X2082" s="1711"/>
    </row>
    <row r="2083" spans="1:24" ht="15">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01.25">
      <c r="A2084" s="1583" t="str">
        <f>'Part IX Scoring Criteria'!A436</f>
        <v>This development is new construction and does not preserve a historic structure.</v>
      </c>
      <c r="B2084" s="1583"/>
      <c r="C2084" s="1583"/>
      <c r="D2084" s="1583"/>
      <c r="E2084" s="1583"/>
      <c r="F2084" s="1583"/>
      <c r="G2084" s="1583"/>
      <c r="H2084" s="1583"/>
      <c r="I2084" s="1583"/>
      <c r="J2084" s="1583"/>
      <c r="K2084" s="1583"/>
      <c r="L2084" s="1583"/>
      <c r="M2084" s="1583"/>
      <c r="N2084" s="1583"/>
      <c r="O2084" s="1583"/>
      <c r="P2084" s="1583"/>
      <c r="Q2084" s="3179" t="s">
        <v>1254</v>
      </c>
      <c r="R2084" s="3179"/>
      <c r="S2084" s="1659"/>
      <c r="T2084" s="1659"/>
      <c r="U2084" s="1659"/>
      <c r="V2084" s="1659"/>
      <c r="W2084" s="1659"/>
      <c r="X2084" s="1659"/>
    </row>
    <row r="2085" spans="1:24" ht="15">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3179"/>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3262" t="s">
        <v>4096</v>
      </c>
      <c r="B2088" s="3159" t="s">
        <v>1673</v>
      </c>
      <c r="C2088" s="1676"/>
      <c r="D2088" s="1549"/>
      <c r="E2088" s="1549"/>
      <c r="F2088" s="457"/>
      <c r="G2088" s="457"/>
      <c r="H2088" s="1676"/>
      <c r="I2088" s="457"/>
      <c r="J2088" s="457"/>
      <c r="K2088" s="457"/>
      <c r="L2088" s="3210"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3262"/>
      <c r="B2089" s="3159"/>
      <c r="C2089" s="1676"/>
      <c r="D2089" s="1549"/>
      <c r="E2089" s="1549"/>
      <c r="F2089" s="457"/>
      <c r="G2089" s="457"/>
      <c r="H2089" s="1676"/>
      <c r="I2089" s="457"/>
      <c r="J2089" s="457"/>
      <c r="K2089" s="457"/>
      <c r="L2089" s="3210"/>
      <c r="M2089" s="1313"/>
      <c r="N2089" s="1313"/>
      <c r="O2089" s="1313"/>
      <c r="P2089" s="1313"/>
      <c r="Q2089" s="1313"/>
      <c r="R2089" s="1676"/>
      <c r="S2089" s="1676"/>
      <c r="T2089" s="1676"/>
      <c r="U2089" s="1676"/>
      <c r="V2089" s="1676"/>
      <c r="W2089" s="1676"/>
      <c r="X2089" s="1676"/>
    </row>
    <row r="2090" spans="1:24" ht="15">
      <c r="A2090" s="3262"/>
      <c r="B2090" s="457" t="s">
        <v>3655</v>
      </c>
      <c r="C2090" s="1676"/>
      <c r="D2090" s="1549"/>
      <c r="E2090" s="1549"/>
      <c r="F2090" s="457"/>
      <c r="G2090" s="457"/>
      <c r="H2090" s="1676"/>
      <c r="I2090" s="457"/>
      <c r="J2090" s="457"/>
      <c r="K2090" s="457"/>
      <c r="L2090" s="3210"/>
      <c r="M2090" s="1313"/>
      <c r="N2090" s="1313"/>
      <c r="O2090" s="1546">
        <f>'Part IX Scoring Criteria'!O442</f>
        <v>10</v>
      </c>
      <c r="P2090" s="1546">
        <v>10</v>
      </c>
      <c r="Q2090" s="1313"/>
      <c r="R2090" s="1676"/>
      <c r="S2090" s="1676"/>
      <c r="T2090" s="1676"/>
      <c r="U2090" s="1676"/>
      <c r="V2090" s="1676"/>
      <c r="W2090" s="1676"/>
      <c r="X2090" s="1676"/>
    </row>
    <row r="2091" spans="1:24" ht="15">
      <c r="A2091" s="3262"/>
      <c r="B2091" s="457" t="s">
        <v>3656</v>
      </c>
      <c r="C2091" s="1676"/>
      <c r="D2091" s="1549"/>
      <c r="E2091" s="1549"/>
      <c r="F2091" s="457"/>
      <c r="G2091" s="457"/>
      <c r="H2091" s="1676"/>
      <c r="I2091" s="457"/>
      <c r="J2091" s="457"/>
      <c r="K2091" s="457"/>
      <c r="L2091" s="3210"/>
      <c r="M2091" s="1313"/>
      <c r="N2091" s="1313"/>
      <c r="O2091" s="1546">
        <f>'Part IX Scoring Criteria'!O443</f>
        <v>0</v>
      </c>
      <c r="P2091" s="1546"/>
      <c r="Q2091" s="1313"/>
      <c r="R2091" s="1676"/>
      <c r="S2091" s="1676"/>
      <c r="T2091" s="1676"/>
      <c r="U2091" s="1676"/>
      <c r="V2091" s="1676"/>
      <c r="W2091" s="1676"/>
      <c r="X2091" s="1676"/>
    </row>
    <row r="2092" spans="1:24" ht="15">
      <c r="A2092" s="3262"/>
      <c r="B2092" s="457" t="s">
        <v>3657</v>
      </c>
      <c r="C2092" s="1676"/>
      <c r="D2092" s="1549"/>
      <c r="E2092" s="1549"/>
      <c r="F2092" s="457"/>
      <c r="G2092" s="457"/>
      <c r="H2092" s="1676"/>
      <c r="I2092" s="457"/>
      <c r="J2092" s="457"/>
      <c r="K2092" s="457"/>
      <c r="L2092" s="3210"/>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3179"/>
      <c r="R2094" s="3179"/>
      <c r="S2094" s="1659"/>
      <c r="T2094" s="1659"/>
      <c r="U2094" s="1659"/>
      <c r="V2094" s="1659"/>
      <c r="W2094" s="1659"/>
      <c r="X2094" s="1659"/>
    </row>
    <row r="2095" spans="1:24" ht="15">
      <c r="A2095" s="3262"/>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3262"/>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53</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3215"/>
      <c r="G2097" s="3215"/>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3215"/>
      <c r="G2098" s="3215"/>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3215"/>
      <c r="I2100" s="3215"/>
      <c r="J2100" s="1794"/>
      <c r="K2100" s="1794"/>
      <c r="L2100" s="1659"/>
      <c r="N2100" s="1313"/>
      <c r="O2100" s="1313"/>
      <c r="P2100" s="1546"/>
    </row>
    <row r="2101" spans="1:24" ht="15" customHeight="1">
      <c r="A2101" s="3270" t="s">
        <v>3686</v>
      </c>
      <c r="B2101" s="3270"/>
      <c r="C2101" s="3270"/>
      <c r="D2101" s="3270"/>
      <c r="E2101" s="3270"/>
      <c r="F2101" s="3270"/>
      <c r="G2101" s="3270"/>
      <c r="H2101" s="3270"/>
      <c r="I2101" s="3270"/>
      <c r="J2101" s="3270"/>
      <c r="K2101" s="3270"/>
      <c r="L2101" s="3270"/>
      <c r="M2101" s="3270"/>
      <c r="N2101" s="3270"/>
      <c r="O2101" s="3270"/>
      <c r="P2101" s="3270"/>
      <c r="Q2101" s="1659"/>
      <c r="R2101" s="1659"/>
      <c r="S2101" s="1659"/>
      <c r="T2101" s="1659"/>
      <c r="U2101" s="1659"/>
      <c r="V2101" s="1659"/>
      <c r="W2101" s="1659"/>
      <c r="X2101" s="1659"/>
    </row>
    <row r="2102" spans="1:24" ht="168.75">
      <c r="A2102" s="1583" t="str">
        <f>'Part IX Scoring Criteria'!A454</f>
        <v>The applicant will make a submission to the CDBG-DR RFP for the property as it is in one of the specific zip codes (31548) included in the RFP</v>
      </c>
      <c r="B2102" s="1583"/>
      <c r="C2102" s="1583"/>
      <c r="D2102" s="1583"/>
      <c r="E2102" s="1583"/>
      <c r="F2102" s="1583"/>
      <c r="G2102" s="1583"/>
      <c r="H2102" s="1583"/>
      <c r="I2102" s="1583"/>
      <c r="J2102" s="1583"/>
      <c r="K2102" s="1583"/>
      <c r="L2102" s="1583"/>
      <c r="M2102" s="1583"/>
      <c r="N2102" s="1583"/>
      <c r="O2102" s="1583"/>
      <c r="P2102" s="1583"/>
      <c r="Q2102" s="3179" t="s">
        <v>1254</v>
      </c>
      <c r="R2102" s="3179"/>
      <c r="S2102" s="1659"/>
      <c r="T2102" s="1659"/>
      <c r="U2102" s="1659"/>
      <c r="V2102" s="1659"/>
      <c r="W2102" s="1659"/>
      <c r="X2102" s="1659"/>
    </row>
  </sheetData>
  <sheetProtection algorithmName="SHA-512" hashValue="DYi8DjFBLGaZE9cBO3LM1ZMhJfKzQGPJdGBKjLSaV3DviFZrh30pOmAh0o7dUNGe82kiYrzBhfQBjljQnFDw7w==" saltValue="O7b9urtwKcb6sMvHMEq6Gg==" spinCount="100000" sheet="1" objects="1" scenarios="1" selectLockedCells="1" selectUnlockedCells="1"/>
  <conditionalFormatting sqref="B415:D417">
    <cfRule type="cellIs" dxfId="134" priority="106" stopIfTrue="1" operator="equal">
      <formula>"Make a selection FIRST --&gt;"</formula>
    </cfRule>
  </conditionalFormatting>
  <conditionalFormatting sqref="J423">
    <cfRule type="cellIs" dxfId="133" priority="105" operator="equal">
      <formula>"No"</formula>
    </cfRule>
  </conditionalFormatting>
  <conditionalFormatting sqref="J421">
    <cfRule type="cellIs" dxfId="132" priority="104" operator="equal">
      <formula>"No"</formula>
    </cfRule>
  </conditionalFormatting>
  <conditionalFormatting sqref="D420">
    <cfRule type="cellIs" dxfId="131" priority="103" operator="greaterThan">
      <formula>50.000001%</formula>
    </cfRule>
  </conditionalFormatting>
  <conditionalFormatting sqref="P422:Q422">
    <cfRule type="cellIs" dxfId="130" priority="102" operator="notEqual">
      <formula>0</formula>
    </cfRule>
  </conditionalFormatting>
  <conditionalFormatting sqref="J620:L620">
    <cfRule type="cellIs" dxfId="129"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8" priority="99" stopIfTrue="1" operator="greaterThan">
      <formula>$E480</formula>
    </cfRule>
  </conditionalFormatting>
  <conditionalFormatting sqref="J480:J482">
    <cfRule type="cellIs" dxfId="127" priority="94" stopIfTrue="1" operator="greaterThan">
      <formula>$E480</formula>
    </cfRule>
  </conditionalFormatting>
  <conditionalFormatting sqref="M480:M482">
    <cfRule type="cellIs" dxfId="126" priority="93" stopIfTrue="1" operator="greaterThan">
      <formula>$E480</formula>
    </cfRule>
  </conditionalFormatting>
  <conditionalFormatting sqref="P480:P482">
    <cfRule type="cellIs" dxfId="125" priority="92" stopIfTrue="1" operator="greaterThan">
      <formula>$E480</formula>
    </cfRule>
  </conditionalFormatting>
  <conditionalFormatting sqref="S480:S482">
    <cfRule type="cellIs" dxfId="124" priority="91" stopIfTrue="1" operator="greaterThan">
      <formula>$E480</formula>
    </cfRule>
  </conditionalFormatting>
  <conditionalFormatting sqref="I732:M732">
    <cfRule type="cellIs" dxfId="123" priority="90" operator="equal">
      <formula>"""&lt;&lt;Select Fuel &gt;&gt;"""</formula>
    </cfRule>
  </conditionalFormatting>
  <conditionalFormatting sqref="I732:M732">
    <cfRule type="cellIs" dxfId="122" priority="88" operator="equal">
      <formula>"Select Fuel"</formula>
    </cfRule>
    <cfRule type="cellIs" dxfId="121" priority="89" operator="equal">
      <formula>"&lt;&lt;Select Fuel &gt;&gt;"</formula>
    </cfRule>
  </conditionalFormatting>
  <conditionalFormatting sqref="J732:M732">
    <cfRule type="cellIs" dxfId="120" priority="87" operator="equal">
      <formula>"Select Fuel"</formula>
    </cfRule>
  </conditionalFormatting>
  <conditionalFormatting sqref="I749:M749">
    <cfRule type="cellIs" dxfId="119" priority="86" operator="equal">
      <formula>"""&lt;&lt;Select Fuel &gt;&gt;"""</formula>
    </cfRule>
  </conditionalFormatting>
  <conditionalFormatting sqref="I749:M749">
    <cfRule type="cellIs" dxfId="118" priority="84" operator="equal">
      <formula>"Select Fuel"</formula>
    </cfRule>
    <cfRule type="cellIs" dxfId="117" priority="85" operator="equal">
      <formula>"&lt;&lt;Select Fuel &gt;&gt;"</formula>
    </cfRule>
  </conditionalFormatting>
  <conditionalFormatting sqref="J749:M749">
    <cfRule type="cellIs" dxfId="116"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5" priority="81" stopIfTrue="1" operator="greaterThan">
      <formula>0</formula>
    </cfRule>
  </conditionalFormatting>
  <conditionalFormatting sqref="A772:A809">
    <cfRule type="cellIs" dxfId="114"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3" priority="78" operator="greaterThan">
      <formula>0.02</formula>
    </cfRule>
  </conditionalFormatting>
  <conditionalFormatting sqref="P772:P809">
    <cfRule type="expression" dxfId="112" priority="77">
      <formula>AND($O$10="New Construction",$P$10="Yes")</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zoomScalePageLayoutView="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26" t="s">
        <v>979</v>
      </c>
    </row>
    <row r="2" spans="1:16" ht="16.5">
      <c r="A2" s="1327" t="str">
        <f>'Part I-Project Information'!F34</f>
        <v>Abbington Sound</v>
      </c>
    </row>
    <row r="3" spans="1:16" ht="16.5">
      <c r="A3" s="1327" t="str">
        <f>CONCATENATE('Part I-Project Information'!F38,", ", 'Part I-Project Information'!J39," County")</f>
        <v>Kingsland, Camden County</v>
      </c>
    </row>
    <row r="5" spans="1:16" ht="12.75" customHeight="1">
      <c r="A5" s="1365" t="str">
        <f>'Project Narrative'!$A$5</f>
        <v xml:space="preserve">Abbington Sound apartments, located at the intersection of Laurel Island Parkway and Winding Road at approximately 1455 Winding Road, Kingsland, GA 31548, in Camden County, will consist of 84 rental apartments for working families.  The site is located in an area experiencing high growth in between downtown Kingsland and St. Mary’s, and within 4 miles of Kings Bay Naval base. The market demand numbers show a huge need for workforce housing units to be included in these communities and the site is within a zip code (31548) targeted as a 2019 disaster relief area. 
The development unit mix will comprise twelve (12) 1-bedroom/1 bathroom; thirty-six (36) 2-bedroom/2-bathroom; and thirty-six (36) 3-bedroom/2-bathroom units in four (4) garden style apartment buildings with a separate community center. The development will feature free surface parking for all residents.  The development will be 100% affordable, with below-market affordable rents at or below an average 58% area median income levels.  
The property will achieve a DCA approved green building certification standard (to be determined). Units will be well furnished with EnergyStar appliances, washer/dryer hookups, low flow plumbing fixtures and high efficiency lighting and HVAC.  Site amenities will include a fitness center, playground, furnished arts and craft/activity center, laundry facility, and picnic pavilion with grills.  Security cameras would also be installed at key common area locations.  The property landscaping would be fully irrigated.  Abbington Sound would be professionally managed by Boyd Management and have full-time on-site office and maintenance staff.
Abbington Sound is located in Zip Code 31548 within the City limits of Kingsland, Georgia.  The development site is in a priority location for the City’s disaster rebuilding initiative and adjacent to the main municipal capital investment project in the area, the Kingsland Bypass.  Rea Ventures Group is partnering with Paladin, Inc., an experienced non-profit CHDO affordable housing developer, to jointly develop and own Abbington Sound.  In order to finance Abbington Sound, Rea Ventures and Paladin are requesting an annual 9% housing tax credit allocation of $883,000 and a Community Development Block Grant – Disaster Recovery loan of $4,150,000 with an amortization period and term of 20 years and a construction-period and permanent-period interest rate of 1.0%.  </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303052119, 315480000,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2365</v>
      </c>
      <c r="C16" s="1330"/>
      <c r="D16" s="1330"/>
      <c r="E16" s="1330"/>
      <c r="F16" s="1328"/>
      <c r="G16" s="1332" t="s">
        <v>4478</v>
      </c>
      <c r="H16" s="1330"/>
      <c r="I16" s="1330"/>
      <c r="J16" s="1330"/>
      <c r="K16" s="1330"/>
      <c r="L16" s="1328"/>
      <c r="M16" s="1330"/>
      <c r="N16" s="1330"/>
      <c r="O16" s="1330"/>
      <c r="P16" s="1333" t="s">
        <v>3866</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2019-078</v>
      </c>
      <c r="P17" s="1311"/>
    </row>
    <row r="18" spans="1:16">
      <c r="A18" s="1330"/>
      <c r="B18" s="1314"/>
      <c r="C18" s="1314"/>
      <c r="D18" s="1314"/>
      <c r="E18" s="1314"/>
      <c r="F18" s="1311"/>
      <c r="G18" s="1335" t="s">
        <v>3318</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2376</v>
      </c>
      <c r="C20" s="1330"/>
      <c r="D20" s="1336"/>
      <c r="E20" s="1334"/>
      <c r="F20" s="1337" t="s">
        <v>3794</v>
      </c>
      <c r="G20" s="1330"/>
      <c r="H20" s="1330"/>
      <c r="I20" s="1338">
        <f ca="1">'Part IV-A-Uses of Funds'!$J$175</f>
        <v>883000</v>
      </c>
      <c r="J20" s="1338"/>
      <c r="K20" s="1330"/>
      <c r="L20" s="1330" t="s">
        <v>3795</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2041</v>
      </c>
      <c r="C22" s="1330"/>
      <c r="D22" s="1330"/>
      <c r="E22" s="1330"/>
      <c r="F22" s="1393" t="str">
        <f>'Part I-Project Information'!$F$11</f>
        <v>9% Credit &amp; HOME</v>
      </c>
      <c r="G22" s="1393"/>
      <c r="H22" s="1393"/>
      <c r="I22" s="1797" t="s">
        <v>3712</v>
      </c>
      <c r="J22" s="1311" t="s">
        <v>4480</v>
      </c>
      <c r="K22" s="1311"/>
      <c r="L22" s="1334"/>
      <c r="M22" s="1330"/>
      <c r="N22" s="1330"/>
      <c r="O22" s="1330" t="str">
        <f>'Part I-Project Information'!$O$11</f>
        <v>PA19-057</v>
      </c>
      <c r="P22" s="1330"/>
    </row>
    <row r="23" spans="1:16" ht="13.5" customHeight="1">
      <c r="A23" s="1328"/>
      <c r="B23" s="1341" t="s">
        <v>4457</v>
      </c>
      <c r="C23" s="1341"/>
      <c r="D23" s="1341"/>
      <c r="E23" s="1330"/>
      <c r="F23" s="1330"/>
      <c r="G23" s="1330"/>
      <c r="H23" s="1334"/>
      <c r="I23" s="1330"/>
      <c r="J23" s="1337" t="s">
        <v>2734</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Yes</v>
      </c>
      <c r="G25" s="1337" t="s">
        <v>3792</v>
      </c>
      <c r="K25" s="1330"/>
      <c r="L25" s="1330"/>
      <c r="M25" s="1330"/>
      <c r="N25" s="1330"/>
      <c r="O25" s="1330"/>
      <c r="P25" s="1330"/>
    </row>
    <row r="26" spans="1:16">
      <c r="A26" s="1328"/>
      <c r="B26" s="1330" t="s">
        <v>3867</v>
      </c>
      <c r="C26" s="1330"/>
      <c r="D26" s="1311"/>
      <c r="E26" s="1330"/>
      <c r="F26" s="1706" t="str">
        <f>'Part I-Project Information'!$F$15</f>
        <v>Abbington Sound</v>
      </c>
      <c r="G26" s="1706"/>
      <c r="H26" s="1706"/>
      <c r="I26" s="1706"/>
      <c r="J26" s="1706"/>
      <c r="K26" s="1706"/>
      <c r="L26" s="1330" t="s">
        <v>3791</v>
      </c>
      <c r="M26" s="1330"/>
      <c r="N26" s="1330"/>
      <c r="O26" s="1330" t="str">
        <f>'Part I-Project Information'!$O$15</f>
        <v>19-069</v>
      </c>
      <c r="P26" s="1330"/>
    </row>
    <row r="27" spans="1:16">
      <c r="A27" s="1328"/>
      <c r="B27" s="1330" t="s">
        <v>3793</v>
      </c>
      <c r="C27" s="1330"/>
      <c r="D27" s="1330"/>
      <c r="E27" s="1330"/>
      <c r="F27" s="1412" t="str">
        <f>'Part I-Project Information'!F16</f>
        <v>Yes</v>
      </c>
      <c r="G27" s="1330" t="s">
        <v>3849</v>
      </c>
      <c r="H27" s="1334"/>
      <c r="I27" s="1335"/>
      <c r="J27" s="1337"/>
      <c r="K27" s="1330"/>
      <c r="L27" s="1330"/>
      <c r="M27" s="1534" t="str">
        <f>'Part I-Project Information'!N16</f>
        <v>Qualified w/out Conditions</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3875</v>
      </c>
      <c r="C31" s="1330"/>
      <c r="D31" s="1330"/>
      <c r="E31" s="1330"/>
      <c r="F31" s="1330" t="str">
        <f>'Part I-Project Information'!F20</f>
        <v>Rea Ventures Group, LLC</v>
      </c>
      <c r="G31" s="1330">
        <f>'Part I-Project Information'!G20</f>
        <v>0</v>
      </c>
      <c r="H31" s="1330">
        <f>'Part I-Project Information'!H20</f>
        <v>0</v>
      </c>
      <c r="I31" s="1330" t="s">
        <v>1797</v>
      </c>
      <c r="J31" s="1330" t="str">
        <f>'Part I-Project Information'!J20</f>
        <v>William J. Rea, Jr.</v>
      </c>
      <c r="K31" s="1330">
        <f>'Part I-Project Information'!K20</f>
        <v>0</v>
      </c>
      <c r="L31" s="1330">
        <f>'Part I-Project Information'!L20</f>
        <v>0</v>
      </c>
      <c r="M31" s="1337" t="s">
        <v>1981</v>
      </c>
      <c r="N31" s="1330" t="str">
        <f>'Part I-Project Information'!N20</f>
        <v>Principal / Manager</v>
      </c>
      <c r="O31" s="1330">
        <f>'Part I-Project Information'!O20</f>
        <v>0</v>
      </c>
      <c r="P31" s="1330">
        <f>'Part I-Project Information'!P20</f>
        <v>0</v>
      </c>
    </row>
    <row r="32" spans="1:16" ht="12.75" customHeight="1">
      <c r="A32" s="1330"/>
      <c r="B32" s="1337" t="s">
        <v>1982</v>
      </c>
      <c r="C32" s="1330"/>
      <c r="D32" s="1330"/>
      <c r="E32" s="1330"/>
      <c r="F32" s="1330" t="str">
        <f>'Part I-Project Information'!F21</f>
        <v>2964 Peachtree Road NW, Suite 200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3874</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c r="A34" s="1330"/>
      <c r="B34" s="1337" t="s">
        <v>2230</v>
      </c>
      <c r="C34" s="1330"/>
      <c r="D34" s="1330"/>
      <c r="E34" s="1330"/>
      <c r="F34" s="1798">
        <f>'Part I-Project Information'!F23</f>
        <v>303052119</v>
      </c>
      <c r="G34" s="1798">
        <f>'Part I-Project Information'!G23</f>
        <v>0</v>
      </c>
      <c r="H34" s="1798">
        <f>'Part I-Project Information'!H23</f>
        <v>0</v>
      </c>
      <c r="I34" s="1337" t="s">
        <v>1720</v>
      </c>
      <c r="J34" s="1799">
        <f>'Part I-Project Information'!J23</f>
        <v>4042504093</v>
      </c>
      <c r="K34" s="1799">
        <f>'Part I-Project Information'!K23</f>
        <v>0</v>
      </c>
      <c r="L34" s="1334" t="s">
        <v>1719</v>
      </c>
      <c r="M34" s="1334">
        <f>'Part I-Project Information'!M23</f>
        <v>703</v>
      </c>
      <c r="N34" s="1337" t="s">
        <v>1721</v>
      </c>
      <c r="O34" s="1799">
        <f>'Part I-Project Information'!O23</f>
        <v>0</v>
      </c>
      <c r="P34" s="1799">
        <f>'Part I-Project Information'!P23</f>
        <v>0</v>
      </c>
    </row>
    <row r="35" spans="1:16">
      <c r="A35" s="1330"/>
      <c r="B35" s="1337" t="s">
        <v>1985</v>
      </c>
      <c r="C35" s="1330"/>
      <c r="D35" s="1330"/>
      <c r="E35" s="1330"/>
      <c r="F35" s="1330" t="str">
        <f>'Part I-Project Information'!F24</f>
        <v>billrea@reaventures.com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4042731892</v>
      </c>
      <c r="P35" s="1799">
        <f>'Part I-Project Information'!P24</f>
        <v>0</v>
      </c>
    </row>
    <row r="36" spans="1:16">
      <c r="A36" s="1328"/>
      <c r="B36" s="1311" t="s">
        <v>4064</v>
      </c>
      <c r="C36" s="1336"/>
      <c r="D36" s="1330"/>
      <c r="E36" s="1330"/>
      <c r="F36" s="1330"/>
      <c r="G36" s="1330"/>
      <c r="H36" s="1334"/>
      <c r="I36" s="1330"/>
      <c r="J36" s="1336"/>
      <c r="K36" s="1330"/>
      <c r="L36" s="1330"/>
      <c r="M36" s="1330"/>
      <c r="N36" s="1330"/>
      <c r="O36" s="1330"/>
      <c r="P36" s="1343"/>
    </row>
    <row r="37" spans="1:16">
      <c r="A37" s="1330"/>
      <c r="B37" s="1330" t="s">
        <v>3875</v>
      </c>
      <c r="C37" s="1330"/>
      <c r="D37" s="1330"/>
      <c r="E37" s="1330"/>
      <c r="F37" s="1330" t="str">
        <f>'Part I-Project Information'!F26</f>
        <v>Rea Ventures Group, LLC</v>
      </c>
      <c r="G37" s="1330">
        <f>'Part I-Project Information'!G26</f>
        <v>0</v>
      </c>
      <c r="H37" s="1330">
        <f>'Part I-Project Information'!H26</f>
        <v>0</v>
      </c>
      <c r="I37" s="1330" t="s">
        <v>1797</v>
      </c>
      <c r="J37" s="1330" t="str">
        <f>'Part I-Project Information'!J26</f>
        <v>Sean Brady</v>
      </c>
      <c r="K37" s="1330">
        <f>'Part I-Project Information'!K26</f>
        <v>0</v>
      </c>
      <c r="L37" s="1330">
        <f>'Part I-Project Information'!L26</f>
        <v>0</v>
      </c>
      <c r="M37" s="1337" t="s">
        <v>1981</v>
      </c>
      <c r="N37" s="1330" t="str">
        <f>'Part I-Project Information'!N26</f>
        <v>Vice President of Development</v>
      </c>
      <c r="O37" s="1330">
        <f>'Part I-Project Information'!O26</f>
        <v>0</v>
      </c>
      <c r="P37" s="1330">
        <f>'Part I-Project Information'!P26</f>
        <v>0</v>
      </c>
    </row>
    <row r="38" spans="1:16" ht="12.75" customHeight="1">
      <c r="A38" s="1330"/>
      <c r="B38" s="1337" t="s">
        <v>1982</v>
      </c>
      <c r="C38" s="1330"/>
      <c r="D38" s="1330"/>
      <c r="E38" s="1330"/>
      <c r="F38" s="1330" t="str">
        <f>'Part I-Project Information'!F27</f>
        <v>2964 Peachtree Road NW, Suite 200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3874</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c r="A40" s="1330"/>
      <c r="B40" s="1337" t="s">
        <v>2230</v>
      </c>
      <c r="C40" s="1330"/>
      <c r="D40" s="1330"/>
      <c r="E40" s="1330"/>
      <c r="F40" s="1798">
        <f>'Part I-Project Information'!F29</f>
        <v>303052119</v>
      </c>
      <c r="G40" s="1798">
        <f>'Part I-Project Information'!G29</f>
        <v>0</v>
      </c>
      <c r="H40" s="1798">
        <f>'Part I-Project Information'!H29</f>
        <v>0</v>
      </c>
      <c r="I40" s="1337" t="s">
        <v>1720</v>
      </c>
      <c r="J40" s="1799">
        <f>'Part I-Project Information'!J29</f>
        <v>4042504093</v>
      </c>
      <c r="K40" s="1799">
        <f>'Part I-Project Information'!K29</f>
        <v>0</v>
      </c>
      <c r="L40" s="1334" t="s">
        <v>1719</v>
      </c>
      <c r="M40" s="1334">
        <f>'Part I-Project Information'!M29</f>
        <v>704</v>
      </c>
      <c r="N40" s="1337" t="s">
        <v>1721</v>
      </c>
      <c r="O40" s="1799">
        <f>'Part I-Project Information'!O29</f>
        <v>0</v>
      </c>
      <c r="P40" s="1799">
        <f>'Part I-Project Information'!P29</f>
        <v>0</v>
      </c>
    </row>
    <row r="41" spans="1:16">
      <c r="A41" s="1330"/>
      <c r="B41" s="1337" t="s">
        <v>1985</v>
      </c>
      <c r="C41" s="1330"/>
      <c r="D41" s="1330"/>
      <c r="E41" s="1330"/>
      <c r="F41" s="1330" t="str">
        <f>'Part I-Project Information'!F30</f>
        <v>seanbrady@reaventures.com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6785917002</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Abbington Sound</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c r="A46" s="1333"/>
      <c r="B46" s="1330" t="s">
        <v>2700</v>
      </c>
      <c r="C46" s="1330"/>
      <c r="D46" s="1340"/>
      <c r="E46" s="1330"/>
      <c r="F46" s="1330" t="str">
        <f>'Part I-Project Information'!F35</f>
        <v>1455 Winding Road</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c r="A47" s="1333"/>
      <c r="B47" s="1330" t="s">
        <v>4481</v>
      </c>
      <c r="C47" s="1330"/>
      <c r="D47" s="1340"/>
      <c r="E47" s="1330"/>
      <c r="F47" s="1330" t="str">
        <f>'Part I-Project Information'!F36</f>
        <v>715 Winding Road</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3679</v>
      </c>
      <c r="P47" s="1334">
        <f>'Part I-Project Information'!P36</f>
        <v>0</v>
      </c>
    </row>
    <row r="48" spans="1:16">
      <c r="A48" s="1333"/>
      <c r="B48" s="1330" t="s">
        <v>3733</v>
      </c>
      <c r="C48" s="1330"/>
      <c r="D48" s="1340"/>
      <c r="E48" s="1330"/>
      <c r="F48" s="1330" t="s">
        <v>3714</v>
      </c>
      <c r="G48" s="1800">
        <f>'Part I-Project Information'!G37</f>
        <v>30.797778999999998</v>
      </c>
      <c r="H48" s="1800">
        <f>'Part I-Project Information'!H37</f>
        <v>0</v>
      </c>
      <c r="I48" s="1334" t="s">
        <v>3715</v>
      </c>
      <c r="J48" s="1800">
        <f>'Part I-Project Information'!J37</f>
        <v>-81.611445000000003</v>
      </c>
      <c r="K48" s="1800">
        <f>'Part I-Project Information'!K37</f>
        <v>0</v>
      </c>
      <c r="L48" s="1337" t="s">
        <v>2284</v>
      </c>
      <c r="M48" s="1330"/>
      <c r="N48" s="1330"/>
      <c r="O48" s="1801">
        <f>'Part I-Project Information'!O37</f>
        <v>8.1300000000000008</v>
      </c>
      <c r="P48" s="1801">
        <f>'Part I-Project Information'!P37</f>
        <v>0</v>
      </c>
    </row>
    <row r="49" spans="1:16" ht="16.5">
      <c r="A49" s="1328"/>
      <c r="B49" s="1330" t="s">
        <v>618</v>
      </c>
      <c r="C49" s="1330"/>
      <c r="D49" s="1330"/>
      <c r="E49" s="1330"/>
      <c r="F49" s="1330" t="str">
        <f>'Part I-Project Information'!F38</f>
        <v>Kingsland</v>
      </c>
      <c r="G49" s="1330">
        <f>'Part I-Project Information'!G38</f>
        <v>0</v>
      </c>
      <c r="H49" s="1330">
        <f>'Part I-Project Information'!H38</f>
        <v>0</v>
      </c>
      <c r="I49" s="1344" t="s">
        <v>4482</v>
      </c>
      <c r="J49" s="1798">
        <f>'Part I-Project Information'!J38</f>
        <v>315480000</v>
      </c>
      <c r="K49" s="1798">
        <f>'Part I-Project Information'!K38</f>
        <v>0</v>
      </c>
      <c r="L49" s="1311" t="str">
        <f>IF(AND(NOT(F45=""),NOT(F49="Select from list"),J49=""),"Enter Zip!","")</f>
        <v/>
      </c>
      <c r="M49" s="1345" t="s">
        <v>2906</v>
      </c>
      <c r="N49" s="1330"/>
      <c r="O49" s="1802" t="str">
        <f>'Part I-Project Information'!O38</f>
        <v>13039010401</v>
      </c>
      <c r="P49" s="1803">
        <f>'Part I-Project Information'!P38</f>
        <v>0</v>
      </c>
    </row>
    <row r="50" spans="1:16">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Camden</v>
      </c>
      <c r="K50" s="1706">
        <f>'Part I-Project Information'!K39</f>
        <v>0</v>
      </c>
      <c r="L50" s="1330"/>
      <c r="M50" s="1337" t="s">
        <v>451</v>
      </c>
      <c r="N50" s="1347" t="str">
        <f>'Part I-Project Information'!N39</f>
        <v>No</v>
      </c>
      <c r="O50" s="1334" t="s">
        <v>452</v>
      </c>
      <c r="P50" s="1347" t="str">
        <f>'Part I-Project Information'!P39</f>
        <v>Yes</v>
      </c>
    </row>
    <row r="51" spans="1:16">
      <c r="A51" s="1328"/>
      <c r="B51" s="1311"/>
      <c r="C51" s="1330" t="s">
        <v>1558</v>
      </c>
      <c r="D51" s="1330"/>
      <c r="E51" s="1330"/>
      <c r="F51" s="1337" t="str">
        <f>'Part I-Project Information'!F40</f>
        <v>Yes</v>
      </c>
      <c r="G51" s="1330" t="s">
        <v>2782</v>
      </c>
      <c r="H51" s="1330"/>
      <c r="I51" s="1334" t="str">
        <f>'Part I-Project Information'!I40</f>
        <v>Yes</v>
      </c>
      <c r="J51" s="1334" t="s">
        <v>2802</v>
      </c>
      <c r="K51" s="1334" t="str">
        <f>'Part I-Project Information'!K40</f>
        <v>Rural</v>
      </c>
      <c r="L51" s="1330"/>
      <c r="M51" s="1337" t="s">
        <v>2612</v>
      </c>
      <c r="N51" s="1328" t="str">
        <f>'Part I-Project Information'!N40</f>
        <v>Non-MSA</v>
      </c>
      <c r="O51" s="1330" t="str">
        <f>'Part I-Project Information'!O40</f>
        <v>Camden Co.</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4483</v>
      </c>
      <c r="D53" s="1330"/>
      <c r="E53" s="1330"/>
      <c r="F53" s="1348" t="s">
        <v>2763</v>
      </c>
      <c r="G53" s="1348"/>
      <c r="H53" s="1330" t="s">
        <v>736</v>
      </c>
      <c r="I53" s="1330"/>
      <c r="J53" s="1330" t="s">
        <v>737</v>
      </c>
      <c r="K53" s="1330"/>
      <c r="L53" s="1349" t="s">
        <v>4484</v>
      </c>
      <c r="M53" s="1330"/>
      <c r="N53" s="1330"/>
      <c r="O53" s="1330"/>
      <c r="P53" s="1330"/>
    </row>
    <row r="54" spans="1:16">
      <c r="A54" s="1328"/>
      <c r="B54" s="1330" t="s">
        <v>4485</v>
      </c>
      <c r="C54" s="1330"/>
      <c r="D54" s="1311"/>
      <c r="E54" s="1330"/>
      <c r="F54" s="1804">
        <f>'Part I-Project Information'!F43</f>
        <v>1</v>
      </c>
      <c r="G54" s="1804">
        <f>'Part I-Project Information'!G43</f>
        <v>0</v>
      </c>
      <c r="H54" s="1804">
        <f>'Part I-Project Information'!H43</f>
        <v>3</v>
      </c>
      <c r="I54" s="1804">
        <f>'Part I-Project Information'!I43</f>
        <v>0</v>
      </c>
      <c r="J54" s="1804">
        <f>'Part I-Project Information'!J43</f>
        <v>174</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City of Kingsland</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www.kingslandgeorgia.com</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Dr. C. Grayson Day</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c r="A59" s="1328"/>
      <c r="B59" s="1330" t="s">
        <v>1982</v>
      </c>
      <c r="C59" s="1330"/>
      <c r="D59" s="1330"/>
      <c r="E59" s="1330"/>
      <c r="F59" s="1462" t="str">
        <f>'Part I-Project Information'!F48</f>
        <v>107 South Lee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Kingsland</v>
      </c>
      <c r="N59" s="1462">
        <f>'Part I-Project Information'!N48</f>
        <v>0</v>
      </c>
      <c r="O59" s="1462">
        <f>'Part I-Project Information'!O48</f>
        <v>0</v>
      </c>
      <c r="P59" s="1462">
        <f>'Part I-Project Information'!P48</f>
        <v>0</v>
      </c>
    </row>
    <row r="60" spans="1:16">
      <c r="A60" s="1328"/>
      <c r="B60" s="1337" t="s">
        <v>2230</v>
      </c>
      <c r="C60" s="1330"/>
      <c r="D60" s="1330"/>
      <c r="E60" s="1330"/>
      <c r="F60" s="1798">
        <f>'Part I-Project Information'!F49</f>
        <v>315480000</v>
      </c>
      <c r="G60" s="1798">
        <f>'Part I-Project Information'!G49</f>
        <v>0</v>
      </c>
      <c r="H60" s="1334" t="s">
        <v>1983</v>
      </c>
      <c r="I60" s="1799">
        <f>'Part I-Project Information'!I49</f>
        <v>9127295613</v>
      </c>
      <c r="J60" s="1799">
        <f>'Part I-Project Information'!J49</f>
        <v>0</v>
      </c>
      <c r="K60" s="1799">
        <f>'Part I-Project Information'!K49</f>
        <v>0</v>
      </c>
      <c r="L60" s="1337" t="s">
        <v>1800</v>
      </c>
      <c r="M60" s="1462" t="str">
        <f>'Part I-Project Information'!M49</f>
        <v>gday@kingslandgeorgia.co</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1984</v>
      </c>
      <c r="C65" s="1311" t="s">
        <v>4486</v>
      </c>
      <c r="D65" s="1330"/>
      <c r="E65" s="1330"/>
      <c r="F65" s="1330"/>
      <c r="G65" s="1330"/>
      <c r="H65" s="1330"/>
      <c r="I65" s="1330"/>
      <c r="J65" s="1330"/>
      <c r="K65" s="1335"/>
      <c r="L65" s="1330"/>
      <c r="M65" s="1350"/>
      <c r="N65" s="1350"/>
      <c r="O65" s="1350"/>
      <c r="P65" s="1350"/>
    </row>
    <row r="66" spans="1:16" ht="13.5">
      <c r="A66" s="1336"/>
      <c r="B66" s="1328"/>
      <c r="C66" s="1330" t="s">
        <v>2296</v>
      </c>
      <c r="D66" s="1330"/>
      <c r="E66" s="1330"/>
      <c r="F66" s="1336"/>
      <c r="G66" s="1336"/>
      <c r="H66" s="1355">
        <f>'Part VI-Revenues &amp; Expenses'!$O$103</f>
        <v>84</v>
      </c>
      <c r="I66" s="1336"/>
      <c r="J66" s="1336"/>
      <c r="K66" s="1337" t="s">
        <v>3671</v>
      </c>
      <c r="L66" s="1330"/>
      <c r="M66" s="1356" t="s">
        <v>3670</v>
      </c>
      <c r="N66" s="1355">
        <f>'Part VI-Revenues &amp; Expenses'!$O$110</f>
        <v>0</v>
      </c>
      <c r="O66" s="1357" t="s">
        <v>3357</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2277</v>
      </c>
      <c r="D72" s="1330"/>
      <c r="E72" s="1330"/>
      <c r="F72" s="1330"/>
      <c r="G72" s="1330"/>
      <c r="H72" s="1330"/>
      <c r="I72" s="1361" t="s">
        <v>3564</v>
      </c>
      <c r="J72" s="1333" t="s">
        <v>2116</v>
      </c>
      <c r="K72" s="1362" t="s">
        <v>2303</v>
      </c>
      <c r="L72" s="1330"/>
      <c r="M72" s="1330"/>
      <c r="N72" s="1330"/>
      <c r="O72" s="1330"/>
      <c r="P72" s="1334"/>
    </row>
    <row r="73" spans="1:16">
      <c r="A73" s="1328"/>
      <c r="B73" s="1363"/>
      <c r="C73" s="1336" t="s">
        <v>2278</v>
      </c>
      <c r="D73" s="1330"/>
      <c r="E73" s="1330"/>
      <c r="F73" s="1330"/>
      <c r="G73" s="1330"/>
      <c r="H73" s="1364">
        <f>SUM(H74:H75)</f>
        <v>0</v>
      </c>
      <c r="I73" s="1364">
        <f>SUM(I74:I75)</f>
        <v>0</v>
      </c>
      <c r="J73" s="1328"/>
      <c r="K73" s="1336" t="s">
        <v>2774</v>
      </c>
      <c r="L73" s="1330"/>
      <c r="M73" s="1330"/>
      <c r="N73" s="1330"/>
      <c r="O73" s="1330"/>
      <c r="P73" s="1364">
        <f>'Part VI-Revenues &amp; Expenses'!$O$152</f>
        <v>90300</v>
      </c>
    </row>
    <row r="74" spans="1:16">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c r="A75" s="1328"/>
      <c r="B75" s="1330"/>
      <c r="C75" s="1330"/>
      <c r="D75" s="1348" t="s">
        <v>1821</v>
      </c>
      <c r="E75" s="1348"/>
      <c r="F75" s="1330"/>
      <c r="G75" s="1330"/>
      <c r="H75" s="1364">
        <f>'Part VI-Revenues &amp; Expenses'!$O$56</f>
        <v>0</v>
      </c>
      <c r="I75" s="1364">
        <f>'Part VI-Revenues &amp; Expenses'!$O$83</f>
        <v>0</v>
      </c>
      <c r="J75" s="1330"/>
      <c r="K75" s="1336" t="s">
        <v>2776</v>
      </c>
      <c r="L75" s="1330"/>
      <c r="M75" s="1330"/>
      <c r="N75" s="1330"/>
      <c r="O75" s="1330"/>
      <c r="P75" s="1364">
        <f>P73+P74</f>
        <v>90300</v>
      </c>
    </row>
    <row r="76" spans="1:16">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c r="A77" s="1328"/>
      <c r="B77" s="1330"/>
      <c r="C77" s="1336" t="s">
        <v>2408</v>
      </c>
      <c r="D77" s="1330"/>
      <c r="E77" s="1330"/>
      <c r="F77" s="1330"/>
      <c r="G77" s="1330"/>
      <c r="H77" s="1364">
        <f>H73+H76</f>
        <v>0</v>
      </c>
      <c r="I77" s="1330"/>
      <c r="J77" s="1328"/>
      <c r="K77" s="1336" t="s">
        <v>1420</v>
      </c>
      <c r="L77" s="1330"/>
      <c r="M77" s="1330"/>
      <c r="N77" s="1330"/>
      <c r="O77" s="1330"/>
      <c r="P77" s="1364">
        <f>+P75+P76</f>
        <v>90300</v>
      </c>
    </row>
    <row r="78" spans="1:16">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0</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2298</v>
      </c>
      <c r="D81" s="1348" t="s">
        <v>1997</v>
      </c>
      <c r="E81" s="1330"/>
      <c r="F81" s="1330"/>
      <c r="G81" s="1330"/>
      <c r="H81" s="1364">
        <f>'Part I-Project Information'!H74</f>
        <v>4</v>
      </c>
      <c r="I81" s="1330"/>
      <c r="J81" s="1330"/>
      <c r="K81" s="1336" t="s">
        <v>4056</v>
      </c>
      <c r="L81" s="1330"/>
      <c r="M81" s="1330"/>
      <c r="N81" s="1330"/>
      <c r="O81" s="1330"/>
      <c r="P81" s="1364">
        <f>'Part I-Project Information'!P74</f>
        <v>3510</v>
      </c>
    </row>
    <row r="82" spans="1:16">
      <c r="A82" s="1328"/>
      <c r="B82" s="1328"/>
      <c r="C82" s="1330"/>
      <c r="D82" s="1363" t="s">
        <v>1998</v>
      </c>
      <c r="E82" s="1330"/>
      <c r="F82" s="1330"/>
      <c r="G82" s="1330"/>
      <c r="H82" s="1364">
        <f>'Part I-Project Information'!H75</f>
        <v>1</v>
      </c>
      <c r="I82" s="1330"/>
      <c r="J82" s="1330"/>
      <c r="K82" s="1336" t="s">
        <v>252</v>
      </c>
      <c r="L82" s="1330"/>
      <c r="M82" s="1330"/>
      <c r="N82" s="1330"/>
      <c r="O82" s="1330"/>
      <c r="P82" s="1364">
        <f>+P77+P81</f>
        <v>93810</v>
      </c>
    </row>
    <row r="83" spans="1:16">
      <c r="A83" s="1328"/>
      <c r="B83" s="1328"/>
      <c r="C83" s="1330"/>
      <c r="D83" s="1363" t="s">
        <v>1999</v>
      </c>
      <c r="E83" s="1330"/>
      <c r="F83" s="1330"/>
      <c r="G83" s="1330"/>
      <c r="H83" s="1364">
        <f>+H81+H82</f>
        <v>5</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147</v>
      </c>
      <c r="I85" s="1330"/>
      <c r="J85" s="1330"/>
      <c r="K85" s="1365" t="s">
        <v>3850</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1984</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3869</v>
      </c>
      <c r="I91" s="1365"/>
      <c r="J91" s="1330"/>
      <c r="K91" s="1368" t="s">
        <v>2911</v>
      </c>
      <c r="L91" s="1364">
        <f>'Part I-Project Information'!M84</f>
        <v>72</v>
      </c>
      <c r="M91" s="1368" t="s">
        <v>2912</v>
      </c>
      <c r="N91" s="1364">
        <f>'Part I-Project Information'!O84</f>
        <v>0</v>
      </c>
      <c r="O91" s="1330"/>
      <c r="P91" s="1340" t="s">
        <v>3871</v>
      </c>
    </row>
    <row r="92" spans="1:16">
      <c r="A92" s="1328"/>
      <c r="B92" s="1328"/>
      <c r="C92" s="1330"/>
      <c r="D92" s="1337"/>
      <c r="E92" s="1367"/>
      <c r="F92" s="1330"/>
      <c r="G92" s="1330"/>
      <c r="H92" s="1365"/>
      <c r="I92" s="1365"/>
      <c r="J92" s="1330"/>
      <c r="K92" s="1340" t="s">
        <v>2913</v>
      </c>
      <c r="L92" s="1364">
        <f>'Part I-Project Information'!M85</f>
        <v>0</v>
      </c>
      <c r="M92" s="1340" t="s">
        <v>3870</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1986</v>
      </c>
      <c r="C94" s="1311" t="s">
        <v>1411</v>
      </c>
      <c r="D94" s="1330"/>
      <c r="E94" s="1348"/>
      <c r="F94" s="1363" t="s">
        <v>796</v>
      </c>
      <c r="G94" s="1330"/>
      <c r="H94" s="1364">
        <f>'Part VIII-Threshold Criteria'!K306</f>
        <v>5</v>
      </c>
      <c r="I94" s="1330"/>
      <c r="J94" s="1330"/>
      <c r="K94" s="1330" t="s">
        <v>520</v>
      </c>
      <c r="L94" s="1330"/>
      <c r="M94" s="1330"/>
      <c r="N94" s="1369">
        <f>IF('Part VI-Revenues &amp; Expenses'!$O$67=0,0,H94/'Part VI-Revenues &amp; Expenses'!$O$67)</f>
        <v>5.9523809523809521E-2</v>
      </c>
      <c r="O94" s="1340" t="s">
        <v>3693</v>
      </c>
      <c r="P94" s="1370">
        <f>'DCA Underwriting Assumptions'!$Q$139</f>
        <v>0.05</v>
      </c>
    </row>
    <row r="95" spans="1:16">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2378</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2042</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1984</v>
      </c>
      <c r="C107" s="1311" t="s">
        <v>2709</v>
      </c>
      <c r="D107" s="1330"/>
      <c r="E107" s="1330"/>
      <c r="F107" s="1348" t="s">
        <v>2601</v>
      </c>
      <c r="G107" s="1330"/>
      <c r="H107" s="1334" t="str">
        <f>'Part I-Project Information'!H100</f>
        <v>No</v>
      </c>
      <c r="I107" s="1330"/>
      <c r="J107" s="1330"/>
      <c r="K107" s="1348" t="s">
        <v>3894</v>
      </c>
      <c r="L107" s="1334" t="str">
        <f>'Part I-Project Information'!H101</f>
        <v>No</v>
      </c>
      <c r="M107" s="1330"/>
      <c r="N107" s="1330"/>
      <c r="O107" s="1340" t="s">
        <v>3888</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1986</v>
      </c>
      <c r="C109" s="1311" t="s">
        <v>2710</v>
      </c>
      <c r="D109" s="1330"/>
      <c r="E109" s="1330"/>
      <c r="F109" s="1337" t="s">
        <v>2680</v>
      </c>
      <c r="G109" s="1330"/>
      <c r="H109" s="1334" t="str">
        <f>'Part I-Project Information'!H103</f>
        <v>No</v>
      </c>
      <c r="I109" s="1372" t="s">
        <v>2711</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2784</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3661</v>
      </c>
      <c r="N117" s="1336"/>
      <c r="O117" s="1449">
        <f>'Part I-Project Information'!O111</f>
        <v>0</v>
      </c>
      <c r="P117" s="1449">
        <f>'Part I-Project Information'!P111</f>
        <v>0</v>
      </c>
    </row>
    <row r="118" spans="1:16">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2154</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1984</v>
      </c>
      <c r="C125" s="1367" t="s">
        <v>1412</v>
      </c>
      <c r="D125" s="1363"/>
      <c r="E125" s="1363"/>
      <c r="F125" s="1334"/>
      <c r="G125" s="1334"/>
      <c r="H125" s="1344">
        <f>'Part I-Project Information'!H119</f>
        <v>2</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1986</v>
      </c>
      <c r="C127" s="1367" t="s">
        <v>416</v>
      </c>
      <c r="D127" s="1363"/>
      <c r="E127" s="1363"/>
      <c r="F127" s="1334"/>
      <c r="G127" s="1334"/>
      <c r="H127" s="1807">
        <f>'Part I-Project Information'!H121</f>
        <v>1536354</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5">
      <c r="A131" s="1328"/>
      <c r="B131" s="1328"/>
      <c r="C131" s="1393" t="str">
        <f>'Part I-Project Information'!C125</f>
        <v>1 - Rea GP Holdings Group II / Rea Ventures Group</v>
      </c>
      <c r="D131" s="1393">
        <f>'Part I-Project Information'!D125</f>
        <v>0</v>
      </c>
      <c r="E131" s="1393">
        <f>'Part I-Project Information'!E125</f>
        <v>0</v>
      </c>
      <c r="F131" s="1393" t="str">
        <f>'Part I-Project Information'!F125</f>
        <v>Abbington at Ormewood Park</v>
      </c>
      <c r="G131" s="1393">
        <f>'Part I-Project Information'!G125</f>
        <v>0</v>
      </c>
      <c r="H131" s="1393">
        <f>'Part I-Project Information'!H125</f>
        <v>0</v>
      </c>
      <c r="I131" s="1393" t="str">
        <f>'Part I-Project Information'!I125</f>
        <v>Direct</v>
      </c>
      <c r="J131" s="1393" t="str">
        <f>'Part I-Project Information'!J125</f>
        <v>7 - Sean Brady</v>
      </c>
      <c r="K131" s="1393">
        <f>'Part I-Project Information'!K125</f>
        <v>0</v>
      </c>
      <c r="L131" s="1393">
        <f>'Part I-Project Information'!L125</f>
        <v>0</v>
      </c>
      <c r="M131" s="1393" t="str">
        <f>'Part I-Project Information'!M125</f>
        <v>Abbington at Ormewood Park</v>
      </c>
      <c r="N131" s="1393">
        <f>'Part I-Project Information'!N125</f>
        <v>0</v>
      </c>
      <c r="O131" s="1393">
        <f>'Part I-Project Information'!O125</f>
        <v>0</v>
      </c>
      <c r="P131" s="1393" t="str">
        <f>'Part I-Project Information'!P125</f>
        <v>Direct</v>
      </c>
    </row>
    <row r="132" spans="1:16" ht="13.5">
      <c r="A132" s="1328"/>
      <c r="B132" s="1328"/>
      <c r="C132" s="1393">
        <f>'Part I-Project Information'!C126</f>
        <v>2</v>
      </c>
      <c r="D132" s="1393">
        <f>'Part I-Project Information'!D126</f>
        <v>0</v>
      </c>
      <c r="E132" s="1393">
        <f>'Part I-Project Information'!E126</f>
        <v>0</v>
      </c>
      <c r="F132" s="1393" t="str">
        <f>'Part I-Project Information'!F126</f>
        <v>Abbington Sound</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t="str">
        <f>'Part I-Project Information'!M126</f>
        <v>Abbington Sound</v>
      </c>
      <c r="N132" s="1393">
        <f>'Part I-Project Information'!N126</f>
        <v>0</v>
      </c>
      <c r="O132" s="1393">
        <f>'Part I-Project Information'!O126</f>
        <v>0</v>
      </c>
      <c r="P132" s="1393" t="str">
        <f>'Part I-Project Information'!P126</f>
        <v>Direct</v>
      </c>
    </row>
    <row r="133" spans="1:16" ht="13.5">
      <c r="A133" s="1328"/>
      <c r="B133" s="1328"/>
      <c r="C133" s="1393" t="str">
        <f>'Part I-Project Information'!C127</f>
        <v>3 -  W.J. Rea / E. Buffenbarger / G. Coogle III</v>
      </c>
      <c r="D133" s="1393">
        <f>'Part I-Project Information'!D127</f>
        <v>0</v>
      </c>
      <c r="E133" s="1393">
        <f>'Part I-Project Information'!E127</f>
        <v>0</v>
      </c>
      <c r="F133" s="1393" t="str">
        <f>'Part I-Project Information'!F127</f>
        <v>Abbington at Ormewood Park</v>
      </c>
      <c r="G133" s="1393">
        <f>'Part I-Project Information'!G127</f>
        <v>0</v>
      </c>
      <c r="H133" s="1393">
        <f>'Part I-Project Information'!H127</f>
        <v>0</v>
      </c>
      <c r="I133" s="1393" t="str">
        <f>'Part I-Project Information'!I127</f>
        <v>Direct</v>
      </c>
      <c r="J133" s="1393" t="str">
        <f>'Part I-Project Information'!J127</f>
        <v>9 - Paladin, Inc.</v>
      </c>
      <c r="K133" s="1393">
        <f>'Part I-Project Information'!K127</f>
        <v>0</v>
      </c>
      <c r="L133" s="1393">
        <f>'Part I-Project Information'!L127</f>
        <v>0</v>
      </c>
      <c r="M133" s="1393" t="str">
        <f>'Part I-Project Information'!M127</f>
        <v>Abbington Sound</v>
      </c>
      <c r="N133" s="1393">
        <f>'Part I-Project Information'!N127</f>
        <v>0</v>
      </c>
      <c r="O133" s="1393">
        <f>'Part I-Project Information'!O127</f>
        <v>0</v>
      </c>
      <c r="P133" s="1393" t="str">
        <f>'Part I-Project Information'!P127</f>
        <v>Direct</v>
      </c>
    </row>
    <row r="134" spans="1:16" ht="13.5">
      <c r="A134" s="1328"/>
      <c r="B134" s="1328"/>
      <c r="C134" s="1393">
        <f>'Part I-Project Information'!C128</f>
        <v>4</v>
      </c>
      <c r="D134" s="1393">
        <f>'Part I-Project Information'!D128</f>
        <v>0</v>
      </c>
      <c r="E134" s="1393">
        <f>'Part I-Project Information'!E128</f>
        <v>0</v>
      </c>
      <c r="F134" s="1393" t="str">
        <f>'Part I-Project Information'!F128</f>
        <v>Abbington Sound</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t="str">
        <f>'Part I-Project Information'!M128</f>
        <v>Legacy Villas</v>
      </c>
      <c r="N134" s="1393">
        <f>'Part I-Project Information'!N128</f>
        <v>0</v>
      </c>
      <c r="O134" s="1393">
        <f>'Part I-Project Information'!O128</f>
        <v>0</v>
      </c>
      <c r="P134" s="1393" t="str">
        <f>'Part I-Project Information'!P128</f>
        <v>Direct</v>
      </c>
    </row>
    <row r="135" spans="1:16" ht="13.5">
      <c r="A135" s="1328"/>
      <c r="B135" s="1328"/>
      <c r="C135" s="1393" t="str">
        <f>'Part I-Project Information'!C129</f>
        <v>5 -  Brady Communities / Brady Development</v>
      </c>
      <c r="D135" s="1393">
        <f>'Part I-Project Information'!D129</f>
        <v>0</v>
      </c>
      <c r="E135" s="1393">
        <f>'Part I-Project Information'!E129</f>
        <v>0</v>
      </c>
      <c r="F135" s="1393" t="str">
        <f>'Part I-Project Information'!F129</f>
        <v>Abbington at Ormewood Park</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t="str">
        <f>'Part I-Project Information'!F130</f>
        <v>Abbington Sound</v>
      </c>
      <c r="G136" s="1393">
        <f>'Part I-Project Information'!G130</f>
        <v>0</v>
      </c>
      <c r="H136" s="1393">
        <f>'Part I-Project Information'!H130</f>
        <v>0</v>
      </c>
      <c r="I136" s="1393" t="str">
        <f>'Part I-Project Information'!I130</f>
        <v>Direct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2702</v>
      </c>
      <c r="D160" s="1363"/>
      <c r="E160" s="1363"/>
      <c r="F160" s="1334"/>
      <c r="G160" s="1334"/>
      <c r="H160" s="1330"/>
      <c r="I160" s="1330"/>
      <c r="J160" s="1330"/>
      <c r="K160" s="1330"/>
      <c r="L160" s="1330"/>
      <c r="M160" s="1330"/>
      <c r="N160" s="1330"/>
      <c r="O160" s="1330"/>
      <c r="P160" s="1343"/>
    </row>
    <row r="161" spans="1:16">
      <c r="A161" s="1328"/>
      <c r="B161" s="1328"/>
      <c r="C161" s="1363" t="s">
        <v>4488</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1984</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f>'Part I-Project Information'!I160</f>
        <v>0</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4489</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1986</v>
      </c>
      <c r="C174" s="1367" t="s">
        <v>2703</v>
      </c>
      <c r="D174" s="1367"/>
      <c r="E174" s="1367"/>
      <c r="F174" s="1367"/>
      <c r="G174" s="1367"/>
      <c r="H174" s="1330"/>
      <c r="I174" s="1344" t="str">
        <f>'Part I-Project Information'!I171</f>
        <v>No</v>
      </c>
      <c r="J174" s="1348" t="s">
        <v>761</v>
      </c>
      <c r="K174" s="1348"/>
      <c r="L174" s="1344">
        <f>'Part I-Project Information'!L171</f>
        <v>0</v>
      </c>
      <c r="M174" s="1330" t="s">
        <v>2327</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2704</v>
      </c>
      <c r="D176" s="1367"/>
      <c r="E176" s="1367"/>
      <c r="F176" s="1367"/>
      <c r="G176" s="1367"/>
      <c r="H176" s="1330"/>
      <c r="I176" s="1344" t="str">
        <f>'Part I-Project Information'!I172</f>
        <v>Yes</v>
      </c>
      <c r="J176" s="1348" t="s">
        <v>761</v>
      </c>
      <c r="K176" s="1348"/>
      <c r="L176" s="1344">
        <f>'Part I-Project Information'!L172</f>
        <v>30</v>
      </c>
      <c r="M176" s="1330" t="s">
        <v>2327</v>
      </c>
      <c r="N176" s="1330"/>
      <c r="O176" s="1330"/>
      <c r="P176" s="1419">
        <f>'Part I-Project Information'!P172</f>
        <v>15</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2116</v>
      </c>
      <c r="C180" s="1366" t="s">
        <v>1979</v>
      </c>
      <c r="D180" s="1366"/>
      <c r="E180" s="1366"/>
      <c r="F180" s="1366"/>
      <c r="G180" s="1367"/>
      <c r="H180" s="1330"/>
      <c r="I180" s="1344" t="str">
        <f>'Part I-Project Information'!I176</f>
        <v>No</v>
      </c>
      <c r="J180" s="1379" t="s">
        <v>2754</v>
      </c>
      <c r="K180" s="1330"/>
      <c r="L180" s="1348" t="s">
        <v>4490</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f>'Part I-Project Information'!P180</f>
        <v>0</v>
      </c>
    </row>
    <row r="185" spans="1:16">
      <c r="A185" s="1328"/>
      <c r="B185" s="1328"/>
      <c r="C185" s="1330" t="s">
        <v>2214</v>
      </c>
      <c r="D185" s="1330"/>
      <c r="E185" s="1330"/>
      <c r="F185" s="1330"/>
      <c r="G185" s="1330"/>
      <c r="H185" s="1330"/>
      <c r="I185" s="1344" t="str">
        <f>'Part I-Project Information'!I181</f>
        <v>No</v>
      </c>
      <c r="J185" s="1330"/>
      <c r="K185" s="1330"/>
      <c r="L185" s="1330" t="s">
        <v>2846</v>
      </c>
      <c r="M185" s="1330"/>
      <c r="N185" s="1330"/>
      <c r="O185" s="1330"/>
      <c r="P185" s="1344">
        <f>'Part I-Project Information'!P181</f>
        <v>0</v>
      </c>
    </row>
    <row r="186" spans="1:16" ht="13.5">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f>'Part I-Project Information'!P182</f>
        <v>0</v>
      </c>
    </row>
    <row r="187" spans="1:16" ht="13.5">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f>'Part I-Project Information'!P183</f>
        <v>0</v>
      </c>
    </row>
    <row r="188" spans="1:16">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c r="A189" s="1328"/>
      <c r="B189" s="1328"/>
      <c r="C189" s="1330" t="s">
        <v>2903</v>
      </c>
      <c r="D189" s="1330"/>
      <c r="E189" s="1330"/>
      <c r="F189" s="1330"/>
      <c r="G189" s="1330"/>
      <c r="H189" s="1330"/>
      <c r="I189" s="1344" t="str">
        <f>'Part I-Project Information'!I185</f>
        <v>Yes</v>
      </c>
      <c r="J189" s="1379" t="s">
        <v>2755</v>
      </c>
      <c r="K189" s="1330"/>
      <c r="L189" s="1330"/>
      <c r="M189" s="1330"/>
      <c r="N189" s="1330"/>
      <c r="O189" s="1809">
        <f>'Part I-Project Information'!O185</f>
        <v>1766200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2296</v>
      </c>
      <c r="D194" s="1363"/>
      <c r="E194" s="1363"/>
      <c r="F194" s="1334"/>
      <c r="G194" s="1334"/>
      <c r="H194" s="1806">
        <f>'Part I-Project Information'!H190</f>
        <v>44470</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All development team members are experienced in multifamily LIHTC housing.  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information required at pre-application for experience determination is resubmitted under Tab 19 of this application.  
Credit Award Limitation:   The Project Participants in this applicaiton applied for and were awarded an additional allocation of credits for their 2017 awarded project (2017-047 Abbington at Linwood) in the amount of $33,800.  A condition of that award was to decrease the Credit Award Limit for their 2019 projects.  As such, the new Award Limit for these Project Participants is $1,766,200.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2019-078 Abbington Sound,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1859</v>
      </c>
      <c r="C206" s="1331"/>
      <c r="D206" s="1330"/>
      <c r="E206" s="1331"/>
      <c r="F206" s="1331"/>
      <c r="G206" s="1331"/>
      <c r="H206" s="1332" t="s">
        <v>4252</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1984</v>
      </c>
      <c r="C208" s="1331" t="s">
        <v>1855</v>
      </c>
      <c r="D208" s="1330"/>
      <c r="E208" s="1330"/>
      <c r="F208" s="1330"/>
      <c r="G208" s="1330"/>
      <c r="H208" s="1330" t="str">
        <f>'Part II-Development Team'!H5</f>
        <v>Kingsland Abbington Sound,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William J. Rea, Jr.</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2964 Peachtree Road NW, Suite 200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4042504093</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GA</v>
      </c>
      <c r="I211" s="1334" t="s">
        <v>2230</v>
      </c>
      <c r="J211" s="1798">
        <f>'Part II-Development Team'!J8</f>
        <v>303052119</v>
      </c>
      <c r="K211" s="1798">
        <f>'Part II-Development Team'!K8</f>
        <v>0</v>
      </c>
      <c r="L211" s="1330" t="s">
        <v>3685</v>
      </c>
      <c r="M211" s="1330" t="str">
        <f>'Part II-Development Team'!M8</f>
        <v>For Profit</v>
      </c>
      <c r="N211" s="1330">
        <f>'Part II-Development Team'!N8</f>
        <v>0</v>
      </c>
      <c r="O211" s="1337" t="s">
        <v>1980</v>
      </c>
      <c r="P211" s="1330"/>
      <c r="Q211" s="1799">
        <f>'Part II-Development Team'!Q8</f>
        <v>4042731892</v>
      </c>
      <c r="R211" s="1799">
        <f>'Part II-Development Team'!R8</f>
        <v>0</v>
      </c>
      <c r="S211" s="1799">
        <f>'Part II-Development Team'!S8</f>
        <v>0</v>
      </c>
    </row>
    <row r="212" spans="1:19">
      <c r="A212" s="1330"/>
      <c r="B212" s="1330"/>
      <c r="C212" s="1330"/>
      <c r="D212" s="1382"/>
      <c r="E212" s="1337" t="s">
        <v>4253</v>
      </c>
      <c r="F212" s="1330"/>
      <c r="G212" s="1330"/>
      <c r="H212" s="1799">
        <f>'Part II-Development Team'!H9</f>
        <v>4042504093</v>
      </c>
      <c r="I212" s="1799">
        <f>'Part II-Development Team'!I9</f>
        <v>0</v>
      </c>
      <c r="J212" s="1344">
        <f>'Part II-Development Team'!J9</f>
        <v>703</v>
      </c>
      <c r="K212" s="1334" t="s">
        <v>1985</v>
      </c>
      <c r="L212" s="1706" t="str">
        <f>'Part II-Development Team'!L9</f>
        <v>billrea@reaventures.com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2117</v>
      </c>
      <c r="E217" s="1330" t="s">
        <v>1857</v>
      </c>
      <c r="F217" s="1330"/>
      <c r="G217" s="1330"/>
      <c r="H217" s="1330" t="str">
        <f>'Part II-Development Team'!H14</f>
        <v>Abbington Sound Partner,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William J. Rea, Jr.</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2964 Peachtree Road NW, Suite 200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2705</v>
      </c>
      <c r="L219" s="1330">
        <f>'Part II-Development Team'!L16</f>
        <v>0</v>
      </c>
      <c r="M219" s="1330">
        <f>'Part II-Development Team'!M16</f>
        <v>0</v>
      </c>
      <c r="N219" s="1330">
        <f>'Part II-Development Team'!N16</f>
        <v>0</v>
      </c>
      <c r="O219" s="1337" t="s">
        <v>1721</v>
      </c>
      <c r="P219" s="1330"/>
      <c r="Q219" s="1799">
        <f>'Part II-Development Team'!Q16</f>
        <v>4042504093</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GA</v>
      </c>
      <c r="I220" s="1330"/>
      <c r="J220" s="1330"/>
      <c r="K220" s="1334" t="s">
        <v>2230</v>
      </c>
      <c r="L220" s="1798">
        <f>'Part II-Development Team'!L17</f>
        <v>303052119</v>
      </c>
      <c r="M220" s="1798">
        <f>'Part II-Development Team'!M17</f>
        <v>0</v>
      </c>
      <c r="N220" s="1330"/>
      <c r="O220" s="1337" t="s">
        <v>1980</v>
      </c>
      <c r="P220" s="1330"/>
      <c r="Q220" s="1799">
        <f>'Part II-Development Team'!Q17</f>
        <v>4042731892</v>
      </c>
      <c r="R220" s="1799">
        <f>'Part II-Development Team'!R17</f>
        <v>0</v>
      </c>
      <c r="S220" s="1799">
        <f>'Part II-Development Team'!S17</f>
        <v>0</v>
      </c>
    </row>
    <row r="221" spans="1:19">
      <c r="A221" s="1330"/>
      <c r="B221" s="1330"/>
      <c r="C221" s="1330"/>
      <c r="D221" s="1382"/>
      <c r="E221" s="1337" t="s">
        <v>4253</v>
      </c>
      <c r="F221" s="1330"/>
      <c r="G221" s="1330"/>
      <c r="H221" s="1799">
        <f>'Part II-Development Team'!H18</f>
        <v>4042504093</v>
      </c>
      <c r="I221" s="1799">
        <f>'Part II-Development Team'!I18</f>
        <v>0</v>
      </c>
      <c r="J221" s="1344">
        <f>'Part II-Development Team'!J18</f>
        <v>703</v>
      </c>
      <c r="K221" s="1334" t="s">
        <v>1985</v>
      </c>
      <c r="L221" s="1706" t="str">
        <f>'Part II-Development Team'!L18</f>
        <v>billrea@reaventures.com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c r="A227" s="1330"/>
      <c r="B227" s="1330"/>
      <c r="C227" s="1330"/>
      <c r="D227" s="1382"/>
      <c r="E227" s="1337" t="s">
        <v>4253</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c r="A233" s="1330"/>
      <c r="B233" s="1330"/>
      <c r="C233" s="1330"/>
      <c r="D233" s="1382"/>
      <c r="E233" s="1337" t="s">
        <v>4253</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1989</v>
      </c>
      <c r="D235" s="1366" t="s">
        <v>1860</v>
      </c>
      <c r="E235" s="1330"/>
      <c r="F235" s="1330"/>
      <c r="G235" s="1330"/>
      <c r="H235" s="1330"/>
      <c r="I235" s="1330"/>
      <c r="J235" s="1330"/>
      <c r="K235" s="1332" t="s">
        <v>4252</v>
      </c>
      <c r="L235" s="1330"/>
      <c r="M235" s="1330"/>
      <c r="N235" s="1330"/>
      <c r="O235" s="1330"/>
      <c r="P235" s="1330"/>
      <c r="Q235" s="1330"/>
      <c r="R235" s="1330"/>
      <c r="S235" s="1330"/>
    </row>
    <row r="236" spans="1:19">
      <c r="A236" s="1330"/>
      <c r="B236" s="1330"/>
      <c r="C236" s="1330"/>
      <c r="D236" s="1311" t="s">
        <v>2117</v>
      </c>
      <c r="E236" s="1330" t="s">
        <v>750</v>
      </c>
      <c r="F236" s="1330"/>
      <c r="G236" s="1330"/>
      <c r="H236" s="1330" t="str">
        <f>'Part II-Development Team'!H33</f>
        <v>Churchill Stateside Group, LLC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Dan Duda</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915 Chestnut Street</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Clearwater</v>
      </c>
      <c r="I238" s="1330">
        <f>'Part II-Development Team'!I35</f>
        <v>0</v>
      </c>
      <c r="J238" s="1330">
        <f>'Part II-Development Team'!J35</f>
        <v>0</v>
      </c>
      <c r="K238" s="1334" t="s">
        <v>2705</v>
      </c>
      <c r="L238" s="1330" t="str">
        <f>'Part II-Development Team'!L35</f>
        <v>www.csgfirst.com</v>
      </c>
      <c r="M238" s="1330">
        <f>'Part II-Development Team'!M35</f>
        <v>0</v>
      </c>
      <c r="N238" s="1330">
        <f>'Part II-Development Team'!N35</f>
        <v>0</v>
      </c>
      <c r="O238" s="1337" t="s">
        <v>1721</v>
      </c>
      <c r="P238" s="1330"/>
      <c r="Q238" s="1799">
        <f>'Part II-Development Team'!Q35</f>
        <v>7272695198</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FL</v>
      </c>
      <c r="I239" s="1330"/>
      <c r="J239" s="1330"/>
      <c r="K239" s="1334" t="s">
        <v>2230</v>
      </c>
      <c r="L239" s="1798">
        <f>'Part II-Development Team'!L36</f>
        <v>337565643</v>
      </c>
      <c r="M239" s="1798">
        <f>'Part II-Development Team'!M36</f>
        <v>0</v>
      </c>
      <c r="N239" s="1330"/>
      <c r="O239" s="1337" t="s">
        <v>1980</v>
      </c>
      <c r="P239" s="1330"/>
      <c r="Q239" s="1799">
        <f>'Part II-Development Team'!Q36</f>
        <v>7274159556</v>
      </c>
      <c r="R239" s="1799">
        <f>'Part II-Development Team'!R36</f>
        <v>0</v>
      </c>
      <c r="S239" s="1799">
        <f>'Part II-Development Team'!S36</f>
        <v>0</v>
      </c>
    </row>
    <row r="240" spans="1:19">
      <c r="A240" s="1330"/>
      <c r="B240" s="1330"/>
      <c r="C240" s="1330"/>
      <c r="D240" s="1382"/>
      <c r="E240" s="1337" t="s">
        <v>4253</v>
      </c>
      <c r="F240" s="1330"/>
      <c r="G240" s="1330"/>
      <c r="H240" s="1799">
        <f>'Part II-Development Team'!H37</f>
        <v>7274612200</v>
      </c>
      <c r="I240" s="1799">
        <f>'Part II-Development Team'!I37</f>
        <v>0</v>
      </c>
      <c r="J240" s="1344">
        <f>'Part II-Development Team'!J37</f>
        <v>0</v>
      </c>
      <c r="K240" s="1334" t="s">
        <v>1985</v>
      </c>
      <c r="L240" s="1706" t="str">
        <f>'Part II-Development Team'!L37</f>
        <v>Dduda@csgfirst.com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2118</v>
      </c>
      <c r="E242" s="1330" t="s">
        <v>751</v>
      </c>
      <c r="F242" s="1311"/>
      <c r="G242" s="1330"/>
      <c r="H242" s="1330" t="str">
        <f>'Part II-Development Team'!H39</f>
        <v>Churchill Stateside Group, LLC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Dan Duda</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915 Chestnut Street</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Clearwater</v>
      </c>
      <c r="I244" s="1330">
        <f>'Part II-Development Team'!I41</f>
        <v>0</v>
      </c>
      <c r="J244" s="1330">
        <f>'Part II-Development Team'!J41</f>
        <v>0</v>
      </c>
      <c r="K244" s="1334" t="s">
        <v>2705</v>
      </c>
      <c r="L244" s="1330" t="str">
        <f>'Part II-Development Team'!L41</f>
        <v>www.csgfirst.com</v>
      </c>
      <c r="M244" s="1330">
        <f>'Part II-Development Team'!M41</f>
        <v>0</v>
      </c>
      <c r="N244" s="1330">
        <f>'Part II-Development Team'!N41</f>
        <v>0</v>
      </c>
      <c r="O244" s="1337" t="s">
        <v>1721</v>
      </c>
      <c r="P244" s="1330"/>
      <c r="Q244" s="1799">
        <f>'Part II-Development Team'!Q41</f>
        <v>7272695198</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FL</v>
      </c>
      <c r="I245" s="1330"/>
      <c r="J245" s="1330"/>
      <c r="K245" s="1334" t="s">
        <v>2230</v>
      </c>
      <c r="L245" s="1798">
        <f>'Part II-Development Team'!L42</f>
        <v>337565643</v>
      </c>
      <c r="M245" s="1798">
        <f>'Part II-Development Team'!M42</f>
        <v>0</v>
      </c>
      <c r="N245" s="1330"/>
      <c r="O245" s="1337" t="s">
        <v>1980</v>
      </c>
      <c r="P245" s="1330"/>
      <c r="Q245" s="1799">
        <f>'Part II-Development Team'!Q42</f>
        <v>7274159556</v>
      </c>
      <c r="R245" s="1799">
        <f>'Part II-Development Team'!R42</f>
        <v>0</v>
      </c>
      <c r="S245" s="1799">
        <f>'Part II-Development Team'!S42</f>
        <v>0</v>
      </c>
    </row>
    <row r="246" spans="1:19">
      <c r="A246" s="1330"/>
      <c r="B246" s="1330"/>
      <c r="C246" s="1330"/>
      <c r="D246" s="1382"/>
      <c r="E246" s="1337" t="s">
        <v>4253</v>
      </c>
      <c r="F246" s="1330"/>
      <c r="G246" s="1330"/>
      <c r="H246" s="1799">
        <f>'Part II-Development Team'!H43</f>
        <v>7274612200</v>
      </c>
      <c r="I246" s="1799">
        <f>'Part II-Development Team'!I43</f>
        <v>0</v>
      </c>
      <c r="J246" s="1344">
        <f>'Part II-Development Team'!J43</f>
        <v>0</v>
      </c>
      <c r="K246" s="1334" t="s">
        <v>1985</v>
      </c>
      <c r="L246" s="1706" t="str">
        <f>'Part II-Development Team'!L43</f>
        <v>Dduda@csgfirst.com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2535</v>
      </c>
      <c r="D248" s="1366" t="s">
        <v>651</v>
      </c>
      <c r="E248" s="1330"/>
      <c r="F248" s="1330"/>
      <c r="G248" s="1330"/>
      <c r="H248" s="1330"/>
      <c r="I248" s="1330"/>
      <c r="J248" s="1330"/>
      <c r="K248" s="1332" t="s">
        <v>4252</v>
      </c>
      <c r="L248" s="1330"/>
      <c r="M248" s="1330"/>
      <c r="N248" s="1330"/>
      <c r="O248" s="1330"/>
      <c r="P248" s="1330"/>
      <c r="Q248" s="1330"/>
      <c r="R248" s="1330"/>
      <c r="S248" s="1330"/>
    </row>
    <row r="249" spans="1:19">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c r="A253" s="1330"/>
      <c r="B253" s="1330"/>
      <c r="C253" s="1330"/>
      <c r="D253" s="1382"/>
      <c r="E253" s="1337" t="s">
        <v>4253</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1984</v>
      </c>
      <c r="C257" s="1311" t="s">
        <v>282</v>
      </c>
      <c r="D257" s="1330"/>
      <c r="E257" s="1330"/>
      <c r="F257" s="1330"/>
      <c r="G257" s="1330"/>
      <c r="H257" s="1330" t="str">
        <f>'Part II-Development Team'!H54</f>
        <v>Rea Ventures Group,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William J. Rea, Jr.</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2964 Peachtree Road NW, Suite 200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Manager</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2705</v>
      </c>
      <c r="L259" s="1330" t="str">
        <f>'Part II-Development Team'!L56</f>
        <v>www.reaventures.com</v>
      </c>
      <c r="M259" s="1330">
        <f>'Part II-Development Team'!M56</f>
        <v>0</v>
      </c>
      <c r="N259" s="1330">
        <f>'Part II-Development Team'!N56</f>
        <v>0</v>
      </c>
      <c r="O259" s="1337" t="s">
        <v>1721</v>
      </c>
      <c r="P259" s="1330"/>
      <c r="Q259" s="1799">
        <f>'Part II-Development Team'!Q56</f>
        <v>4042504093</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GA</v>
      </c>
      <c r="I260" s="1330"/>
      <c r="J260" s="1330"/>
      <c r="K260" s="1334" t="s">
        <v>2230</v>
      </c>
      <c r="L260" s="1798">
        <f>'Part II-Development Team'!L57</f>
        <v>303052119</v>
      </c>
      <c r="M260" s="1798">
        <f>'Part II-Development Team'!M57</f>
        <v>0</v>
      </c>
      <c r="N260" s="1330"/>
      <c r="O260" s="1337" t="s">
        <v>1980</v>
      </c>
      <c r="P260" s="1330"/>
      <c r="Q260" s="1799">
        <f>'Part II-Development Team'!Q57</f>
        <v>4042731892</v>
      </c>
      <c r="R260" s="1799">
        <f>'Part II-Development Team'!R57</f>
        <v>0</v>
      </c>
      <c r="S260" s="1799">
        <f>'Part II-Development Team'!S57</f>
        <v>0</v>
      </c>
    </row>
    <row r="261" spans="1:19">
      <c r="A261" s="1330"/>
      <c r="B261" s="1330"/>
      <c r="C261" s="1330"/>
      <c r="D261" s="1382"/>
      <c r="E261" s="1337" t="s">
        <v>4253</v>
      </c>
      <c r="F261" s="1330"/>
      <c r="G261" s="1330"/>
      <c r="H261" s="1799">
        <f>'Part II-Development Team'!H58</f>
        <v>4042504093</v>
      </c>
      <c r="I261" s="1799">
        <f>'Part II-Development Team'!I58</f>
        <v>0</v>
      </c>
      <c r="J261" s="1344">
        <f>'Part II-Development Team'!J58</f>
        <v>703</v>
      </c>
      <c r="K261" s="1334" t="s">
        <v>1985</v>
      </c>
      <c r="L261" s="1706" t="str">
        <f>'Part II-Development Team'!L58</f>
        <v>billrea@reaventures.com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1986</v>
      </c>
      <c r="C263" s="1311" t="s">
        <v>283</v>
      </c>
      <c r="D263" s="1330"/>
      <c r="E263" s="1330"/>
      <c r="F263" s="1330"/>
      <c r="G263" s="1330"/>
      <c r="H263" s="1330" t="str">
        <f>'Part II-Development Team'!H60</f>
        <v>Brady Development,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t="str">
        <f>'Part II-Development Team'!Q60</f>
        <v>Sean Brady</v>
      </c>
      <c r="R263" s="1330">
        <f>'Part II-Development Team'!R60</f>
        <v>0</v>
      </c>
      <c r="S263" s="1330">
        <f>'Part II-Development Team'!S60</f>
        <v>0</v>
      </c>
    </row>
    <row r="264" spans="1:19">
      <c r="A264" s="1330"/>
      <c r="B264" s="1330"/>
      <c r="C264" s="1330"/>
      <c r="D264" s="1382"/>
      <c r="E264" s="1337" t="s">
        <v>1021</v>
      </c>
      <c r="F264" s="1340"/>
      <c r="G264" s="1330"/>
      <c r="H264" s="1330" t="str">
        <f>'Part II-Development Team'!H61</f>
        <v>4625 Jefferson Lane SW</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Manager</v>
      </c>
      <c r="R264" s="1330">
        <f>'Part II-Development Team'!R61</f>
        <v>0</v>
      </c>
      <c r="S264" s="1330">
        <f>'Part II-Development Team'!S61</f>
        <v>0</v>
      </c>
    </row>
    <row r="265" spans="1:19">
      <c r="A265" s="1330"/>
      <c r="B265" s="1330"/>
      <c r="C265" s="1330"/>
      <c r="D265" s="1382"/>
      <c r="E265" s="1337" t="s">
        <v>618</v>
      </c>
      <c r="F265" s="1330"/>
      <c r="G265" s="1330"/>
      <c r="H265" s="1330" t="str">
        <f>'Part II-Development Team'!H62</f>
        <v>Lilburn</v>
      </c>
      <c r="I265" s="1330">
        <f>'Part II-Development Team'!I62</f>
        <v>0</v>
      </c>
      <c r="J265" s="1330">
        <f>'Part II-Development Team'!J62</f>
        <v>0</v>
      </c>
      <c r="K265" s="1334" t="s">
        <v>2705</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c r="A266" s="1330"/>
      <c r="B266" s="1330"/>
      <c r="C266" s="1330"/>
      <c r="D266" s="1330"/>
      <c r="E266" s="1337" t="s">
        <v>1799</v>
      </c>
      <c r="F266" s="1330"/>
      <c r="G266" s="1330"/>
      <c r="H266" s="1337" t="str">
        <f>'Part II-Development Team'!H63</f>
        <v>GA</v>
      </c>
      <c r="I266" s="1330"/>
      <c r="J266" s="1330"/>
      <c r="K266" s="1334" t="s">
        <v>2230</v>
      </c>
      <c r="L266" s="1798">
        <f>'Part II-Development Team'!L63</f>
        <v>300474264</v>
      </c>
      <c r="M266" s="1798">
        <f>'Part II-Development Team'!M63</f>
        <v>0</v>
      </c>
      <c r="N266" s="1330"/>
      <c r="O266" s="1337" t="s">
        <v>1980</v>
      </c>
      <c r="P266" s="1330"/>
      <c r="Q266" s="1799">
        <f>'Part II-Development Team'!Q63</f>
        <v>4044066697</v>
      </c>
      <c r="R266" s="1799">
        <f>'Part II-Development Team'!R63</f>
        <v>0</v>
      </c>
      <c r="S266" s="1799">
        <f>'Part II-Development Team'!S63</f>
        <v>0</v>
      </c>
    </row>
    <row r="267" spans="1:19">
      <c r="A267" s="1330"/>
      <c r="B267" s="1330"/>
      <c r="C267" s="1330"/>
      <c r="D267" s="1382"/>
      <c r="E267" s="1337" t="s">
        <v>4253</v>
      </c>
      <c r="F267" s="1330"/>
      <c r="G267" s="1330"/>
      <c r="H267" s="1799">
        <f>'Part II-Development Team'!H64</f>
        <v>4044066697</v>
      </c>
      <c r="I267" s="1799">
        <f>'Part II-Development Team'!I64</f>
        <v>0</v>
      </c>
      <c r="J267" s="1344">
        <f>'Part II-Development Team'!J64</f>
        <v>0</v>
      </c>
      <c r="K267" s="1334" t="s">
        <v>1985</v>
      </c>
      <c r="L267" s="1706" t="str">
        <f>'Part II-Development Team'!L64</f>
        <v>sbrady820@yahoo.com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t="str">
        <f>'Part II-Development Team'!H66</f>
        <v>Paladin, Inc.</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t="str">
        <f>'Part II-Development Team'!Q66</f>
        <v>Phillip Ellen</v>
      </c>
      <c r="R269" s="1330">
        <f>'Part II-Development Team'!R66</f>
        <v>0</v>
      </c>
      <c r="S269" s="1330">
        <f>'Part II-Development Team'!S66</f>
        <v>0</v>
      </c>
    </row>
    <row r="270" spans="1:19">
      <c r="A270" s="1330"/>
      <c r="B270" s="1330"/>
      <c r="C270" s="1330"/>
      <c r="D270" s="1382"/>
      <c r="E270" s="1337" t="s">
        <v>1021</v>
      </c>
      <c r="F270" s="1340"/>
      <c r="G270" s="1330"/>
      <c r="H270" s="1330" t="str">
        <f>'Part II-Development Team'!H67</f>
        <v>745 Ponce de Leon Terrace NE</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t="str">
        <f>'Part II-Development Team'!Q67</f>
        <v>Executive Director</v>
      </c>
      <c r="R270" s="1330">
        <f>'Part II-Development Team'!R67</f>
        <v>0</v>
      </c>
      <c r="S270" s="1330">
        <f>'Part II-Development Team'!S67</f>
        <v>0</v>
      </c>
    </row>
    <row r="271" spans="1:19">
      <c r="A271" s="1330"/>
      <c r="B271" s="1330"/>
      <c r="C271" s="1330"/>
      <c r="D271" s="1382"/>
      <c r="E271" s="1337" t="s">
        <v>618</v>
      </c>
      <c r="F271" s="1330"/>
      <c r="G271" s="1330"/>
      <c r="H271" s="1330" t="str">
        <f>'Part II-Development Team'!H68</f>
        <v>Atlanta</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2564904866</v>
      </c>
      <c r="R271" s="1799">
        <f>'Part II-Development Team'!R68</f>
        <v>0</v>
      </c>
      <c r="S271" s="1799">
        <f>'Part II-Development Team'!S68</f>
        <v>0</v>
      </c>
    </row>
    <row r="272" spans="1:19">
      <c r="A272" s="1330"/>
      <c r="B272" s="1330"/>
      <c r="C272" s="1330"/>
      <c r="D272" s="1330"/>
      <c r="E272" s="1337" t="s">
        <v>1799</v>
      </c>
      <c r="F272" s="1330"/>
      <c r="G272" s="1330"/>
      <c r="H272" s="1337" t="str">
        <f>'Part II-Development Team'!H69</f>
        <v>GA</v>
      </c>
      <c r="I272" s="1330"/>
      <c r="J272" s="1330"/>
      <c r="K272" s="1334" t="s">
        <v>2230</v>
      </c>
      <c r="L272" s="1798">
        <f>'Part II-Development Team'!L69</f>
        <v>303063707</v>
      </c>
      <c r="M272" s="1798">
        <f>'Part II-Development Team'!M69</f>
        <v>0</v>
      </c>
      <c r="N272" s="1330"/>
      <c r="O272" s="1337" t="s">
        <v>1980</v>
      </c>
      <c r="P272" s="1330"/>
      <c r="Q272" s="1799">
        <f>'Part II-Development Team'!Q69</f>
        <v>2564904866</v>
      </c>
      <c r="R272" s="1799">
        <f>'Part II-Development Team'!R69</f>
        <v>0</v>
      </c>
      <c r="S272" s="1799">
        <f>'Part II-Development Team'!S69</f>
        <v>0</v>
      </c>
    </row>
    <row r="273" spans="1:19">
      <c r="A273" s="1330"/>
      <c r="B273" s="1330"/>
      <c r="C273" s="1330"/>
      <c r="D273" s="1382"/>
      <c r="E273" s="1337" t="s">
        <v>4253</v>
      </c>
      <c r="F273" s="1330"/>
      <c r="G273" s="1330"/>
      <c r="H273" s="1799">
        <f>'Part II-Development Team'!H70</f>
        <v>2564904866</v>
      </c>
      <c r="I273" s="1799">
        <f>'Part II-Development Team'!I70</f>
        <v>0</v>
      </c>
      <c r="J273" s="1344">
        <f>'Part II-Development Team'!J70</f>
        <v>0</v>
      </c>
      <c r="K273" s="1334" t="s">
        <v>1985</v>
      </c>
      <c r="L273" s="1706" t="str">
        <f>'Part II-Development Team'!L70</f>
        <v>phillipellen@aol.com</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c r="A279" s="1330"/>
      <c r="B279" s="1330"/>
      <c r="C279" s="1330"/>
      <c r="D279" s="1382"/>
      <c r="E279" s="1337" t="s">
        <v>4253</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1984</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f>'Part II-Development Team'!Q80</f>
        <v>0</v>
      </c>
      <c r="R283" s="1330">
        <f>'Part II-Development Team'!R80</f>
        <v>0</v>
      </c>
      <c r="S283" s="1330">
        <f>'Part II-Development Team'!S80</f>
        <v>0</v>
      </c>
    </row>
    <row r="284" spans="1:19">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c r="A285" s="1330"/>
      <c r="B285" s="1330"/>
      <c r="C285" s="1330"/>
      <c r="D285" s="1382"/>
      <c r="E285" s="1337" t="s">
        <v>618</v>
      </c>
      <c r="F285" s="1330"/>
      <c r="G285" s="1330"/>
      <c r="H285" s="1330">
        <f>'Part II-Development Team'!H82</f>
        <v>0</v>
      </c>
      <c r="I285" s="1330">
        <f>'Part II-Development Team'!I82</f>
        <v>0</v>
      </c>
      <c r="J285" s="1330">
        <f>'Part II-Development Team'!J82</f>
        <v>0</v>
      </c>
      <c r="K285" s="1334" t="s">
        <v>2705</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c r="A286" s="1330"/>
      <c r="B286" s="1330"/>
      <c r="C286" s="1330"/>
      <c r="D286" s="1330"/>
      <c r="E286" s="1337" t="s">
        <v>1799</v>
      </c>
      <c r="F286" s="1330"/>
      <c r="G286" s="1330"/>
      <c r="H286" s="1337">
        <f>'Part II-Development Team'!H83</f>
        <v>0</v>
      </c>
      <c r="I286" s="1330"/>
      <c r="J286" s="1330"/>
      <c r="K286" s="1334" t="s">
        <v>2230</v>
      </c>
      <c r="L286" s="1798">
        <f>'Part II-Development Team'!L83</f>
        <v>0</v>
      </c>
      <c r="M286" s="1798">
        <f>'Part II-Development Team'!M83</f>
        <v>0</v>
      </c>
      <c r="N286" s="1330"/>
      <c r="O286" s="1337" t="s">
        <v>1980</v>
      </c>
      <c r="P286" s="1330"/>
      <c r="Q286" s="1799">
        <f>'Part II-Development Team'!Q83</f>
        <v>0</v>
      </c>
      <c r="R286" s="1799">
        <f>'Part II-Development Team'!R83</f>
        <v>0</v>
      </c>
      <c r="S286" s="1799">
        <f>'Part II-Development Team'!S83</f>
        <v>0</v>
      </c>
    </row>
    <row r="287" spans="1:19">
      <c r="A287" s="1330"/>
      <c r="B287" s="1330"/>
      <c r="C287" s="1330"/>
      <c r="D287" s="1382"/>
      <c r="E287" s="1337" t="s">
        <v>4253</v>
      </c>
      <c r="F287" s="1330"/>
      <c r="G287" s="1330"/>
      <c r="H287" s="1799">
        <f>'Part II-Development Team'!H84</f>
        <v>0</v>
      </c>
      <c r="I287" s="1799">
        <f>'Part II-Development Team'!I84</f>
        <v>0</v>
      </c>
      <c r="J287" s="1344">
        <f>'Part II-Development Team'!J84</f>
        <v>0</v>
      </c>
      <c r="K287" s="1334" t="s">
        <v>1985</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1986</v>
      </c>
      <c r="C289" s="1311" t="s">
        <v>287</v>
      </c>
      <c r="D289" s="1330"/>
      <c r="E289" s="1330"/>
      <c r="F289" s="1330"/>
      <c r="G289" s="1330"/>
      <c r="H289" s="1330" t="str">
        <f>'Part II-Development Team'!H86</f>
        <v>Great Southern, LLC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Mike McGlamry</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2009 Springhill Drive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Manager</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Valdosta</v>
      </c>
      <c r="I291" s="1330">
        <f>'Part II-Development Team'!I88</f>
        <v>0</v>
      </c>
      <c r="J291" s="1330">
        <f>'Part II-Development Team'!J88</f>
        <v>0</v>
      </c>
      <c r="K291" s="1334" t="s">
        <v>2705</v>
      </c>
      <c r="L291" s="1330" t="str">
        <f>'Part II-Development Team'!L88</f>
        <v>www.greatsouthernllc.com</v>
      </c>
      <c r="M291" s="1330">
        <f>'Part II-Development Team'!M88</f>
        <v>0</v>
      </c>
      <c r="N291" s="1330">
        <f>'Part II-Development Team'!N88</f>
        <v>0</v>
      </c>
      <c r="O291" s="1337" t="s">
        <v>1721</v>
      </c>
      <c r="P291" s="1330"/>
      <c r="Q291" s="1799">
        <f>'Part II-Development Team'!Q88</f>
        <v>2295619997</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GA</v>
      </c>
      <c r="I292" s="1330"/>
      <c r="J292" s="1330"/>
      <c r="K292" s="1334" t="s">
        <v>2230</v>
      </c>
      <c r="L292" s="1798">
        <f>'Part II-Development Team'!L89</f>
        <v>316022135</v>
      </c>
      <c r="M292" s="1798">
        <f>'Part II-Development Team'!M89</f>
        <v>0</v>
      </c>
      <c r="N292" s="1330"/>
      <c r="O292" s="1337" t="s">
        <v>1980</v>
      </c>
      <c r="P292" s="1330"/>
      <c r="Q292" s="1799">
        <f>'Part II-Development Team'!Q89</f>
        <v>2295619997</v>
      </c>
      <c r="R292" s="1799">
        <f>'Part II-Development Team'!R89</f>
        <v>0</v>
      </c>
      <c r="S292" s="1799">
        <f>'Part II-Development Team'!S89</f>
        <v>0</v>
      </c>
    </row>
    <row r="293" spans="1:19">
      <c r="A293" s="1330"/>
      <c r="B293" s="1330"/>
      <c r="C293" s="1330"/>
      <c r="D293" s="1382"/>
      <c r="E293" s="1337" t="s">
        <v>4253</v>
      </c>
      <c r="F293" s="1330"/>
      <c r="G293" s="1330"/>
      <c r="H293" s="1799">
        <f>'Part II-Development Team'!H90</f>
        <v>2295066876</v>
      </c>
      <c r="I293" s="1799">
        <f>'Part II-Development Team'!I90</f>
        <v>0</v>
      </c>
      <c r="J293" s="1344">
        <f>'Part II-Development Team'!J90</f>
        <v>0</v>
      </c>
      <c r="K293" s="1334" t="s">
        <v>1985</v>
      </c>
      <c r="L293" s="1706" t="str">
        <f>'Part II-Development Team'!L90</f>
        <v>mike@greatsouthernllc.com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Boyd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Barbara "Babbie" Jaco</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P.O. Box 23589</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Vice President</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2705</v>
      </c>
      <c r="L297" s="1330" t="str">
        <f>'Part II-Development Team'!L94</f>
        <v>www.boydmanagement.com</v>
      </c>
      <c r="M297" s="1330">
        <f>'Part II-Development Team'!M94</f>
        <v>0</v>
      </c>
      <c r="N297" s="1330">
        <f>'Part II-Development Team'!N94</f>
        <v>0</v>
      </c>
      <c r="O297" s="1337" t="s">
        <v>1721</v>
      </c>
      <c r="P297" s="1330"/>
      <c r="Q297" s="1799">
        <f>'Part II-Development Team'!Q94</f>
        <v>8034196556</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SC</v>
      </c>
      <c r="I298" s="1330"/>
      <c r="J298" s="1330"/>
      <c r="K298" s="1334" t="s">
        <v>2230</v>
      </c>
      <c r="L298" s="1798">
        <f>'Part II-Development Team'!L95</f>
        <v>292243589</v>
      </c>
      <c r="M298" s="1798">
        <f>'Part II-Development Team'!M95</f>
        <v>0</v>
      </c>
      <c r="N298" s="1330"/>
      <c r="O298" s="1337" t="s">
        <v>1980</v>
      </c>
      <c r="P298" s="1330"/>
      <c r="Q298" s="1799">
        <f>'Part II-Development Team'!Q95</f>
        <v>8034229886</v>
      </c>
      <c r="R298" s="1799">
        <f>'Part II-Development Team'!R95</f>
        <v>0</v>
      </c>
      <c r="S298" s="1799">
        <f>'Part II-Development Team'!S95</f>
        <v>0</v>
      </c>
    </row>
    <row r="299" spans="1:19">
      <c r="A299" s="1330"/>
      <c r="B299" s="1330"/>
      <c r="C299" s="1330"/>
      <c r="D299" s="1382"/>
      <c r="E299" s="1337" t="s">
        <v>4253</v>
      </c>
      <c r="F299" s="1330"/>
      <c r="G299" s="1330"/>
      <c r="H299" s="1799">
        <f>'Part II-Development Team'!H96</f>
        <v>8034196556</v>
      </c>
      <c r="I299" s="1799">
        <f>'Part II-Development Team'!I96</f>
        <v>0</v>
      </c>
      <c r="J299" s="1344">
        <f>'Part II-Development Team'!J96</f>
        <v>0</v>
      </c>
      <c r="K299" s="1334" t="s">
        <v>1985</v>
      </c>
      <c r="L299" s="1706" t="str">
        <f>'Part II-Development Team'!L96</f>
        <v>babbie.jaco@boydmanagement.com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2116</v>
      </c>
      <c r="C301" s="1311" t="s">
        <v>289</v>
      </c>
      <c r="D301" s="1330"/>
      <c r="E301" s="1330"/>
      <c r="F301" s="1330"/>
      <c r="G301" s="1330"/>
      <c r="H301" s="1330" t="str">
        <f>'Part II-Development Team'!H98</f>
        <v>Coleman Talley, LLC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Greg Clark</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2705</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GA</v>
      </c>
      <c r="I304" s="1330"/>
      <c r="J304" s="1330"/>
      <c r="K304" s="1334" t="s">
        <v>2230</v>
      </c>
      <c r="L304" s="1798">
        <f>'Part II-Development Team'!L101</f>
        <v>316014531</v>
      </c>
      <c r="M304" s="1798">
        <f>'Part II-Development Team'!M101</f>
        <v>0</v>
      </c>
      <c r="N304" s="1330"/>
      <c r="O304" s="1337" t="s">
        <v>1980</v>
      </c>
      <c r="P304" s="1330"/>
      <c r="Q304" s="1799">
        <f>'Part II-Development Team'!Q101</f>
        <v>2298349704</v>
      </c>
      <c r="R304" s="1799">
        <f>'Part II-Development Team'!R101</f>
        <v>0</v>
      </c>
      <c r="S304" s="1799">
        <f>'Part II-Development Team'!S101</f>
        <v>0</v>
      </c>
    </row>
    <row r="305" spans="1:19">
      <c r="A305" s="1336"/>
      <c r="B305" s="1336"/>
      <c r="C305" s="1336"/>
      <c r="D305" s="1336"/>
      <c r="E305" s="1337" t="s">
        <v>4253</v>
      </c>
      <c r="F305" s="1330"/>
      <c r="G305" s="1330"/>
      <c r="H305" s="1799">
        <f>'Part II-Development Team'!H102</f>
        <v>2292427562</v>
      </c>
      <c r="I305" s="1799">
        <f>'Part II-Development Team'!I102</f>
        <v>0</v>
      </c>
      <c r="J305" s="1344">
        <f>'Part II-Development Team'!J102</f>
        <v>0</v>
      </c>
      <c r="K305" s="1334" t="s">
        <v>1985</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 xml:space="preserve">Frank Gudger </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2705</v>
      </c>
      <c r="L309" s="1330" t="str">
        <f>'Part II-Development Team'!L106</f>
        <v>www.aprio.com</v>
      </c>
      <c r="M309" s="1330">
        <f>'Part II-Development Team'!M106</f>
        <v>0</v>
      </c>
      <c r="N309" s="1330">
        <f>'Part II-Development Team'!N106</f>
        <v>0</v>
      </c>
      <c r="O309" s="1337" t="s">
        <v>1721</v>
      </c>
      <c r="P309" s="1330"/>
      <c r="Q309" s="1799">
        <f>'Part II-Development Team'!Q106</f>
        <v>4048988244</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GA</v>
      </c>
      <c r="I310" s="1330"/>
      <c r="J310" s="1330"/>
      <c r="K310" s="1334" t="s">
        <v>2230</v>
      </c>
      <c r="L310" s="1798">
        <f>'Part II-Development Team'!L107</f>
        <v>303286132</v>
      </c>
      <c r="M310" s="1798">
        <f>'Part II-Development Team'!M107</f>
        <v>0</v>
      </c>
      <c r="N310" s="1330"/>
      <c r="O310" s="1337" t="s">
        <v>1980</v>
      </c>
      <c r="P310" s="1330"/>
      <c r="Q310" s="1799">
        <f>'Part II-Development Team'!Q107</f>
        <v>6783620453</v>
      </c>
      <c r="R310" s="1799">
        <f>'Part II-Development Team'!R107</f>
        <v>0</v>
      </c>
      <c r="S310" s="1799">
        <f>'Part II-Development Team'!S107</f>
        <v>0</v>
      </c>
    </row>
    <row r="311" spans="1:19">
      <c r="A311" s="1336"/>
      <c r="B311" s="1336"/>
      <c r="C311" s="1336"/>
      <c r="D311" s="1336"/>
      <c r="E311" s="1337" t="s">
        <v>4253</v>
      </c>
      <c r="F311" s="1330"/>
      <c r="G311" s="1330"/>
      <c r="H311" s="1799">
        <f>'Part II-Development Team'!H108</f>
        <v>4048988244</v>
      </c>
      <c r="I311" s="1799">
        <f>'Part II-Development Team'!I108</f>
        <v>0</v>
      </c>
      <c r="J311" s="1344">
        <f>'Part II-Development Team'!J108</f>
        <v>0</v>
      </c>
      <c r="K311" s="1334" t="s">
        <v>1985</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Martin Riley Associates - Architect,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Mike Riley</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Partner</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2705</v>
      </c>
      <c r="L315" s="1330" t="str">
        <f>'Part II-Development Team'!L112</f>
        <v>www.martinriley.com</v>
      </c>
      <c r="M315" s="1330">
        <f>'Part II-Development Team'!M112</f>
        <v>0</v>
      </c>
      <c r="N315" s="1330">
        <f>'Part II-Development Team'!N112</f>
        <v>0</v>
      </c>
      <c r="O315" s="1337" t="s">
        <v>1721</v>
      </c>
      <c r="P315" s="1330"/>
      <c r="Q315" s="1799">
        <f>'Part II-Development Team'!Q112</f>
        <v>4043752800</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GA</v>
      </c>
      <c r="I316" s="1330"/>
      <c r="J316" s="1330"/>
      <c r="K316" s="1334" t="s">
        <v>2230</v>
      </c>
      <c r="L316" s="1798">
        <f>'Part II-Development Team'!L113</f>
        <v>300303330</v>
      </c>
      <c r="M316" s="1798">
        <f>'Part II-Development Team'!M113</f>
        <v>0</v>
      </c>
      <c r="N316" s="1330"/>
      <c r="O316" s="1337" t="s">
        <v>1980</v>
      </c>
      <c r="P316" s="1330"/>
      <c r="Q316" s="1799">
        <f>'Part II-Development Team'!Q113</f>
        <v>4042903390</v>
      </c>
      <c r="R316" s="1799">
        <f>'Part II-Development Team'!R113</f>
        <v>0</v>
      </c>
      <c r="S316" s="1799">
        <f>'Part II-Development Team'!S113</f>
        <v>0</v>
      </c>
    </row>
    <row r="317" spans="1:19">
      <c r="A317" s="1330"/>
      <c r="B317" s="1330"/>
      <c r="C317" s="1330"/>
      <c r="D317" s="1382"/>
      <c r="E317" s="1337" t="s">
        <v>4253</v>
      </c>
      <c r="F317" s="1330"/>
      <c r="G317" s="1330"/>
      <c r="H317" s="1799">
        <f>'Part II-Development Team'!H114</f>
        <v>4043732800</v>
      </c>
      <c r="I317" s="1799">
        <f>'Part II-Development Team'!I114</f>
        <v>0</v>
      </c>
      <c r="J317" s="1344">
        <f>'Part II-Development Team'!J114</f>
        <v>0</v>
      </c>
      <c r="K317" s="1334" t="s">
        <v>1985</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1984</v>
      </c>
      <c r="C320" s="1311" t="s">
        <v>4492</v>
      </c>
      <c r="D320" s="1330"/>
      <c r="E320" s="1330"/>
      <c r="F320" s="1330"/>
      <c r="G320" s="1330"/>
      <c r="H320" s="1330">
        <f>'Part II-Development Team'!H117</f>
        <v>0</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c r="A322" s="1330"/>
      <c r="B322" s="1330"/>
      <c r="C322" s="1330"/>
      <c r="D322" s="1382"/>
      <c r="E322" s="1337" t="s">
        <v>1799</v>
      </c>
      <c r="F322" s="1330"/>
      <c r="G322" s="1330"/>
      <c r="H322" s="1337">
        <f>'Part II-Development Team'!H119</f>
        <v>0</v>
      </c>
      <c r="I322" s="1334" t="s">
        <v>2230</v>
      </c>
      <c r="J322" s="1798">
        <f>'Part II-Development Team'!J119</f>
        <v>0</v>
      </c>
      <c r="K322" s="1798">
        <f>'Part II-Development Team'!K119</f>
        <v>0</v>
      </c>
      <c r="L322" s="1334" t="s">
        <v>1985</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1986</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2511</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2837</v>
      </c>
      <c r="E325" s="1365"/>
      <c r="F325" s="1812" t="str">
        <f>'Part II-Development Team'!F122</f>
        <v>Yes</v>
      </c>
      <c r="G325" s="1573" t="str">
        <f>'Part II-Development Team'!G122</f>
        <v>William J. Rea, Jr. owns a 45% interest in the Contractor (Great Southern, LLC) and 58% of the principal Developer (Rea Ventures Group, LLC).</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2878</v>
      </c>
      <c r="E327" s="1365"/>
      <c r="F327" s="1812" t="str">
        <f>'Part II-Development Team'!F124</f>
        <v>Yes</v>
      </c>
      <c r="G327" s="1573" t="str">
        <f>'Part II-Development Team'!G124</f>
        <v>William J. Rea, Jr. owns a 45% interest in the Contractor (Great Southern, LLC) and 58% of the General Partner's uppier tier managing entity (Rea GP Holdings Group II,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3467</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Select</v>
      </c>
      <c r="G332" s="1573">
        <f>'Part II-Development Team'!G130</f>
        <v>0</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t="str">
        <f>'Part II-Development Team'!L145</f>
        <v>N/A</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t="str">
        <f>'Part II-Development Team'!L146</f>
        <v>N/A</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No</v>
      </c>
      <c r="J349" s="1812" t="str">
        <f>'Part II-Development Team'!J147</f>
        <v>No</v>
      </c>
      <c r="K349" s="1813" t="str">
        <f>'Part II-Development Team'!K147</f>
        <v>Nonprofit</v>
      </c>
      <c r="L349" s="1814" t="str">
        <f>'Part II-Development Team'!L147</f>
        <v>N/A</v>
      </c>
      <c r="M349" s="1812" t="str">
        <f>'Part II-Development Team'!M147</f>
        <v>No</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f>'Part II-Development Team'!K150</f>
        <v>0</v>
      </c>
      <c r="L352" s="1814" t="str">
        <f>'Part II-Development Team'!L150</f>
        <v>N/A</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f>'Part II-Development Team'!K151</f>
        <v>0</v>
      </c>
      <c r="L353" s="1814" t="str">
        <f>'Part II-Development Team'!L151</f>
        <v>N/A</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All development team members are experienced in multifamily LIHTC housing.   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information required at pre-application for experience determination is resubmitted under Tab 19 of this application.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2019-078 Abbington Sound, Kingsland, Camden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2411</v>
      </c>
      <c r="D368" s="1330"/>
      <c r="E368" s="1393"/>
      <c r="F368" s="1393"/>
      <c r="G368" s="1393"/>
      <c r="H368" s="1334">
        <f>'Part III-Sources of Funds'!L11</f>
        <v>0</v>
      </c>
      <c r="I368" s="1337" t="s">
        <v>1537</v>
      </c>
      <c r="J368" s="1393"/>
      <c r="K368" s="1393"/>
      <c r="L368" s="1334">
        <f>'Part III-Sources of Funds'!B11</f>
        <v>0</v>
      </c>
      <c r="M368" s="1330" t="s">
        <v>3884</v>
      </c>
      <c r="N368" s="1393"/>
      <c r="O368" s="1393"/>
      <c r="P368" s="1393"/>
      <c r="Q368" s="1393"/>
    </row>
    <row r="369" spans="1:17" ht="13.5">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2602</v>
      </c>
      <c r="N369" s="1393"/>
      <c r="O369" s="1393"/>
      <c r="P369" s="1393"/>
      <c r="Q369" s="1393"/>
    </row>
    <row r="370" spans="1:17" ht="13.5">
      <c r="A370" s="1330"/>
      <c r="B370" s="1334">
        <f>'Part III-Sources of Funds'!E14</f>
        <v>0</v>
      </c>
      <c r="C370" s="1337" t="s">
        <v>3881</v>
      </c>
      <c r="D370" s="1393"/>
      <c r="E370" s="1393"/>
      <c r="F370" s="1449">
        <f>'Part III-Sources of Funds'!I14</f>
        <v>0</v>
      </c>
      <c r="G370" s="1449">
        <f>'Part III-Sources of Funds'!J14</f>
        <v>0</v>
      </c>
      <c r="H370" s="1334">
        <f>'Part III-Sources of Funds'!L13</f>
        <v>0</v>
      </c>
      <c r="I370" s="1337" t="s">
        <v>3678</v>
      </c>
      <c r="J370" s="1393"/>
      <c r="K370" s="1393"/>
      <c r="L370" s="1334">
        <f>'Part III-Sources of Funds'!B8</f>
        <v>0</v>
      </c>
      <c r="M370" s="1337" t="s">
        <v>2603</v>
      </c>
      <c r="N370" s="1393"/>
      <c r="O370" s="1393"/>
      <c r="P370" s="1393"/>
      <c r="Q370" s="1393"/>
    </row>
    <row r="371" spans="1:17" ht="13.5">
      <c r="A371" s="1328"/>
      <c r="B371" s="1334">
        <f>'Part III-Sources of Funds'!B14</f>
        <v>0</v>
      </c>
      <c r="C371" s="1337" t="s">
        <v>1803</v>
      </c>
      <c r="D371" s="1330"/>
      <c r="E371" s="1393"/>
      <c r="F371" s="1393"/>
      <c r="G371" s="1393"/>
      <c r="H371" s="1334">
        <f>'Part III-Sources of Funds'!L14</f>
        <v>0</v>
      </c>
      <c r="I371" s="1330" t="s">
        <v>2611</v>
      </c>
      <c r="J371" s="1393"/>
      <c r="K371" s="1393"/>
      <c r="L371" s="1334">
        <f>'Part III-Sources of Funds'!B9</f>
        <v>0</v>
      </c>
      <c r="M371" s="1337" t="s">
        <v>3683</v>
      </c>
      <c r="N371" s="1393"/>
      <c r="O371" s="1393"/>
      <c r="P371" s="1393"/>
      <c r="Q371" s="1393"/>
    </row>
    <row r="372" spans="1:17" ht="13.5">
      <c r="A372" s="1328"/>
      <c r="B372" s="1334">
        <f>'Part III-Sources of Funds'!B7</f>
        <v>0</v>
      </c>
      <c r="C372" s="1337" t="s">
        <v>551</v>
      </c>
      <c r="D372" s="1393"/>
      <c r="E372" s="1393"/>
      <c r="F372" s="1393"/>
      <c r="G372" s="1393"/>
      <c r="H372" s="1334">
        <f>'Part III-Sources of Funds'!B12</f>
        <v>0</v>
      </c>
      <c r="I372" s="1330" t="s">
        <v>2609</v>
      </c>
      <c r="J372" s="1393"/>
      <c r="K372" s="1393"/>
      <c r="L372" s="1334">
        <f>'Part III-Sources of Funds'!B10</f>
        <v>0</v>
      </c>
      <c r="M372" s="1337" t="s">
        <v>2610</v>
      </c>
      <c r="N372" s="1393"/>
      <c r="O372" s="1393"/>
      <c r="P372" s="1393"/>
      <c r="Q372" s="1393"/>
    </row>
    <row r="373" spans="1:17" ht="13.5">
      <c r="A373" s="1328"/>
      <c r="B373" s="1334">
        <f>'Part III-Sources of Funds'!L5</f>
        <v>0</v>
      </c>
      <c r="C373" s="1337" t="s">
        <v>3882</v>
      </c>
      <c r="D373" s="1393"/>
      <c r="E373" s="1393"/>
      <c r="F373" s="1393"/>
      <c r="G373" s="1394"/>
      <c r="H373" s="1334">
        <f>'Part III-Sources of Funds'!B13</f>
        <v>0</v>
      </c>
      <c r="I373" s="1330" t="s">
        <v>3717</v>
      </c>
      <c r="J373" s="1365"/>
      <c r="K373" s="1365"/>
      <c r="L373" s="1334">
        <f>'Part III-Sources of Funds'!E9</f>
        <v>0</v>
      </c>
      <c r="M373" s="1337" t="s">
        <v>3719</v>
      </c>
      <c r="N373" s="1393"/>
      <c r="O373" s="1393">
        <f>'Part III-Sources of Funds'!H9</f>
        <v>0</v>
      </c>
      <c r="P373" s="1393">
        <f>'Part III-Sources of Funds'!I9</f>
        <v>0</v>
      </c>
      <c r="Q373" s="1393">
        <f>'Part III-Sources of Funds'!J9</f>
        <v>0</v>
      </c>
    </row>
    <row r="374" spans="1:17" ht="13.5">
      <c r="A374" s="1328"/>
      <c r="B374" s="1334">
        <f>'Part III-Sources of Funds'!E5</f>
        <v>0</v>
      </c>
      <c r="C374" s="1337" t="s">
        <v>4498</v>
      </c>
      <c r="D374" s="1330"/>
      <c r="E374" s="1815">
        <f>'Part III-Sources of Funds'!H5</f>
        <v>0</v>
      </c>
      <c r="F374" s="1794">
        <f>'Part III-Sources of Funds'!I5</f>
        <v>0</v>
      </c>
      <c r="G374" s="1393"/>
      <c r="H374" s="1334">
        <f>'Part III-Sources of Funds'!L6</f>
        <v>0</v>
      </c>
      <c r="I374" s="1330" t="s">
        <v>3722</v>
      </c>
      <c r="J374" s="1393"/>
      <c r="K374" s="1393"/>
      <c r="L374" s="1334">
        <f>'Part III-Sources of Funds'!L9</f>
        <v>0</v>
      </c>
      <c r="M374" s="1330" t="s">
        <v>3617</v>
      </c>
      <c r="N374" s="1393"/>
      <c r="O374" s="1393"/>
      <c r="P374" s="1393"/>
      <c r="Q374" s="1393"/>
    </row>
    <row r="375" spans="1:17" ht="13.5">
      <c r="A375" s="1328"/>
      <c r="B375" s="1334">
        <f>'Part III-Sources of Funds'!E6</f>
        <v>0</v>
      </c>
      <c r="C375" s="1337" t="s">
        <v>4499</v>
      </c>
      <c r="D375" s="1393"/>
      <c r="E375" s="1815">
        <f>'Part III-Sources of Funds'!H6</f>
        <v>0</v>
      </c>
      <c r="F375" s="1794">
        <f>'Part III-Sources of Funds'!I6</f>
        <v>0</v>
      </c>
      <c r="G375" s="1393"/>
      <c r="H375" s="1334">
        <f>'Part III-Sources of Funds'!L7</f>
        <v>0</v>
      </c>
      <c r="I375" s="1375" t="s">
        <v>2797</v>
      </c>
      <c r="J375" s="1375"/>
      <c r="K375" s="1375"/>
      <c r="L375" s="1334">
        <f>'Part III-Sources of Funds'!E12</f>
        <v>0</v>
      </c>
      <c r="M375" s="1393">
        <f>'Part III-Sources of Funds'!F12</f>
        <v>0</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3718</v>
      </c>
      <c r="D376" s="1393"/>
      <c r="E376" s="1393" t="str">
        <f>'Part III-Sources of Funds'!H7</f>
        <v>Specify Other HOME Source here</v>
      </c>
      <c r="F376" s="1393">
        <f>'Part III-Sources of Funds'!I7</f>
        <v>0</v>
      </c>
      <c r="G376" s="1393">
        <f>'Part III-Sources of Funds'!J7</f>
        <v>0</v>
      </c>
      <c r="H376" s="1334">
        <f>'Part III-Sources of Funds'!L8</f>
        <v>0</v>
      </c>
      <c r="I376" s="1337" t="s">
        <v>3883</v>
      </c>
      <c r="J376" s="1375"/>
      <c r="K376" s="1375"/>
      <c r="L376" s="1393"/>
      <c r="M376" s="1393">
        <f>'Part III-Sources of Funds'!F13</f>
        <v>0</v>
      </c>
      <c r="N376" s="1393">
        <f>'Part III-Sources of Funds'!G13</f>
        <v>0</v>
      </c>
      <c r="O376" s="1393">
        <f>'Part III-Sources of Funds'!H13</f>
        <v>0</v>
      </c>
      <c r="P376" s="1393">
        <f>'Part III-Sources of Funds'!I13</f>
        <v>0</v>
      </c>
      <c r="Q376" s="1393">
        <f>'Part III-Sources of Funds'!J13</f>
        <v>0</v>
      </c>
    </row>
    <row r="377" spans="1:17" ht="13.5">
      <c r="A377" s="1328"/>
      <c r="B377" s="1393" t="s">
        <v>3684</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38.25">
      <c r="A382" s="1330"/>
      <c r="B382" s="1330" t="s">
        <v>1591</v>
      </c>
      <c r="C382" s="1330"/>
      <c r="D382" s="1330"/>
      <c r="E382" s="1330"/>
      <c r="F382" s="1330"/>
      <c r="G382" s="1330"/>
      <c r="H382" s="1386" t="str">
        <f>'Part III-Sources of Funds'!H20</f>
        <v>CDBG-DR Construction-to-Perm Loan</v>
      </c>
      <c r="I382" s="1386">
        <f>'Part III-Sources of Funds'!I20</f>
        <v>0</v>
      </c>
      <c r="J382" s="1386">
        <f>'Part III-Sources of Funds'!J20</f>
        <v>0</v>
      </c>
      <c r="K382" s="1386">
        <f>'Part III-Sources of Funds'!K20</f>
        <v>0</v>
      </c>
      <c r="L382" s="1412">
        <f>'Part III-Sources of Funds'!L20</f>
        <v>4150000</v>
      </c>
      <c r="M382" s="1412">
        <f>'Part III-Sources of Funds'!M20</f>
        <v>0</v>
      </c>
      <c r="N382" s="1395">
        <f>'Part III-Sources of Funds'!N20</f>
        <v>0.01</v>
      </c>
      <c r="O382" s="1395">
        <f>'Part III-Sources of Funds'!O20</f>
        <v>0</v>
      </c>
      <c r="P382" s="1467">
        <f>'Part III-Sources of Funds'!P20</f>
        <v>24</v>
      </c>
      <c r="Q382" s="1467">
        <f>'Part III-Sources of Funds'!Q20</f>
        <v>0</v>
      </c>
    </row>
    <row r="383" spans="1:17" ht="51">
      <c r="A383" s="1330"/>
      <c r="B383" s="1330" t="s">
        <v>1592</v>
      </c>
      <c r="C383" s="1330"/>
      <c r="D383" s="1330"/>
      <c r="E383" s="1330"/>
      <c r="F383" s="1330"/>
      <c r="G383" s="1330"/>
      <c r="H383" s="1386" t="str">
        <f>'Part III-Sources of Funds'!H21</f>
        <v>Churchill Stateside - Constructon Bridge Loan</v>
      </c>
      <c r="I383" s="1386">
        <f>'Part III-Sources of Funds'!I21</f>
        <v>0</v>
      </c>
      <c r="J383" s="1386">
        <f>'Part III-Sources of Funds'!J21</f>
        <v>0</v>
      </c>
      <c r="K383" s="1386">
        <f>'Part III-Sources of Funds'!K21</f>
        <v>0</v>
      </c>
      <c r="L383" s="1412">
        <f>'Part III-Sources of Funds'!L21</f>
        <v>6399799.9199999999</v>
      </c>
      <c r="M383" s="1412">
        <f>'Part III-Sources of Funds'!M21</f>
        <v>0</v>
      </c>
      <c r="N383" s="1395">
        <f>'Part III-Sources of Funds'!N21</f>
        <v>6.5000000000000002E-2</v>
      </c>
      <c r="O383" s="1395">
        <f>'Part III-Sources of Funds'!O21</f>
        <v>0</v>
      </c>
      <c r="P383" s="1467">
        <f>'Part III-Sources of Funds'!P21</f>
        <v>24</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38.25">
      <c r="A388" s="1330"/>
      <c r="B388" s="1330" t="s">
        <v>802</v>
      </c>
      <c r="C388" s="1330"/>
      <c r="D388" s="1330"/>
      <c r="E388" s="1330"/>
      <c r="F388" s="1393"/>
      <c r="G388" s="1393"/>
      <c r="H388" s="1386" t="str">
        <f>'Part III-Sources of Funds'!H26</f>
        <v>Federal Investor - Churchill Stateside</v>
      </c>
      <c r="I388" s="1386">
        <f>'Part III-Sources of Funds'!I26</f>
        <v>0</v>
      </c>
      <c r="J388" s="1386">
        <f>'Part III-Sources of Funds'!J26</f>
        <v>0</v>
      </c>
      <c r="K388" s="1386">
        <f>'Part III-Sources of Funds'!K26</f>
        <v>0</v>
      </c>
      <c r="L388" s="1412">
        <f>'Part III-Sources of Funds'!L26</f>
        <v>3531646</v>
      </c>
      <c r="M388" s="1412">
        <f>'Part III-Sources of Funds'!M26</f>
        <v>0</v>
      </c>
      <c r="N388" s="1330"/>
      <c r="O388" s="1330"/>
      <c r="P388" s="1330"/>
      <c r="Q388" s="1330"/>
    </row>
    <row r="389" spans="1:17" ht="38.25">
      <c r="A389" s="1330"/>
      <c r="B389" s="1330" t="s">
        <v>803</v>
      </c>
      <c r="C389" s="1330"/>
      <c r="D389" s="1330"/>
      <c r="E389" s="1330"/>
      <c r="F389" s="1393"/>
      <c r="G389" s="1393"/>
      <c r="H389" s="1386" t="str">
        <f>'Part III-Sources of Funds'!H27</f>
        <v>State Investor - Churchill Stateside</v>
      </c>
      <c r="I389" s="1386">
        <f>'Part III-Sources of Funds'!I27</f>
        <v>0</v>
      </c>
      <c r="J389" s="1386">
        <f>'Part III-Sources of Funds'!J27</f>
        <v>0</v>
      </c>
      <c r="K389" s="1386">
        <f>'Part III-Sources of Funds'!K27</f>
        <v>0</v>
      </c>
      <c r="L389" s="1412">
        <f>'Part III-Sources of Funds'!L27</f>
        <v>1942405</v>
      </c>
      <c r="M389" s="1412">
        <f>'Part III-Sources of Funds'!M27</f>
        <v>0</v>
      </c>
      <c r="N389" s="1330"/>
      <c r="O389" s="1393"/>
      <c r="P389" s="1393"/>
      <c r="Q389" s="1330"/>
    </row>
    <row r="390" spans="1:17" ht="13.5">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16023850.92</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 ca="1">'Part III-Sources of Funds'!L32</f>
        <v>13537516</v>
      </c>
      <c r="M394" s="1396">
        <f>'Part III-Sources of Funds'!M32</f>
        <v>0</v>
      </c>
      <c r="N394" s="1341"/>
      <c r="O394" s="1393"/>
      <c r="P394" s="1393"/>
      <c r="Q394" s="1393"/>
    </row>
    <row r="395" spans="1:17" ht="13.5">
      <c r="A395" s="1330"/>
      <c r="B395" s="1337" t="s">
        <v>2158</v>
      </c>
      <c r="C395" s="1330"/>
      <c r="D395" s="1330"/>
      <c r="E395" s="1330"/>
      <c r="F395" s="1330"/>
      <c r="G395" s="1330"/>
      <c r="H395" s="1330"/>
      <c r="I395" s="1330"/>
      <c r="J395" s="1393"/>
      <c r="K395" s="1393"/>
      <c r="L395" s="1397">
        <f ca="1">L393-L394</f>
        <v>2486334.92</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51">
      <c r="A400" s="1330"/>
      <c r="B400" s="1330" t="s">
        <v>2615</v>
      </c>
      <c r="C400" s="1330"/>
      <c r="D400" s="1330"/>
      <c r="E400" s="1386" t="str">
        <f>'Part III-Sources of Funds'!E38</f>
        <v>CDBG-DR Construction-to-Perm Loan</v>
      </c>
      <c r="F400" s="1386">
        <f>'Part III-Sources of Funds'!F38</f>
        <v>0</v>
      </c>
      <c r="G400" s="1386">
        <f>'Part III-Sources of Funds'!G38</f>
        <v>0</v>
      </c>
      <c r="H400" s="1386">
        <f>'Part III-Sources of Funds'!H38</f>
        <v>0</v>
      </c>
      <c r="I400" s="1462">
        <f>'Part III-Sources of Funds'!I38</f>
        <v>4150000</v>
      </c>
      <c r="J400" s="1330">
        <f>'Part III-Sources of Funds'!J38</f>
        <v>0</v>
      </c>
      <c r="K400" s="1399">
        <f>'Part III-Sources of Funds'!K38</f>
        <v>0.01</v>
      </c>
      <c r="L400" s="1334">
        <f>'Part III-Sources of Funds'!L38</f>
        <v>20</v>
      </c>
      <c r="M400" s="1334">
        <f>'Part III-Sources of Funds'!M38</f>
        <v>20</v>
      </c>
      <c r="N400" s="1400">
        <f>'Part III-Sources of Funds'!P38</f>
        <v>229027.36486498272</v>
      </c>
      <c r="O400" s="1400">
        <f>'Part III-Sources of Funds'!Q38</f>
        <v>0</v>
      </c>
      <c r="P400" s="1330" t="str">
        <f>'Part III-Sources of Funds'!N38</f>
        <v>Amortizing</v>
      </c>
      <c r="Q400" s="1330">
        <f>'Part III-Sources of Funds'!O38</f>
        <v>0</v>
      </c>
    </row>
    <row r="401" spans="1:17">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76.5">
      <c r="A405" s="1330"/>
      <c r="B405" s="1330" t="s">
        <v>228</v>
      </c>
      <c r="C405" s="1330"/>
      <c r="D405" s="1401">
        <f>'Part III-Sources of Funds'!D43</f>
        <v>0.44761444444444443</v>
      </c>
      <c r="E405" s="1386" t="str">
        <f>'Part III-Sources of Funds'!E43</f>
        <v>Rea Ventures Group / Brady Development</v>
      </c>
      <c r="F405" s="1386">
        <f>'Part III-Sources of Funds'!F43</f>
        <v>0</v>
      </c>
      <c r="G405" s="1386">
        <f>'Part III-Sources of Funds'!G43</f>
        <v>0</v>
      </c>
      <c r="H405" s="1386">
        <f>'Part III-Sources of Funds'!H43</f>
        <v>0</v>
      </c>
      <c r="I405" s="1462">
        <f>'Part III-Sources of Funds'!I43</f>
        <v>805706</v>
      </c>
      <c r="J405" s="1330">
        <f>'Part III-Sources of Funds'!J43</f>
        <v>0</v>
      </c>
      <c r="K405" s="1399">
        <f>'Part III-Sources of Funds'!K43</f>
        <v>0</v>
      </c>
      <c r="L405" s="1334">
        <f>'Part III-Sources of Funds'!L43</f>
        <v>0</v>
      </c>
      <c r="M405" s="1334">
        <f>'Part III-Sources of Funds'!M43</f>
        <v>0</v>
      </c>
      <c r="N405" s="1400" t="str">
        <f>'Part III-Sources of Funds'!P43</f>
        <v/>
      </c>
      <c r="O405" s="1400">
        <f>'Part III-Sources of Funds'!Q43</f>
        <v>0</v>
      </c>
      <c r="P405" s="1330">
        <f>'Part III-Sources of Funds'!N43</f>
        <v>0</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4180</v>
      </c>
      <c r="C407" s="1330"/>
      <c r="D407" s="1393"/>
      <c r="E407" s="1393" t="s">
        <v>4082</v>
      </c>
      <c r="F407" s="1402" t="e">
        <f>'Part III-Sources of Funds'!F45</f>
        <v>#N/A</v>
      </c>
      <c r="G407" s="1393"/>
      <c r="H407" s="1394" t="s">
        <v>4179</v>
      </c>
      <c r="I407" s="1402" t="e">
        <f>'Part III-Sources of Funds'!I45</f>
        <v>#N/A</v>
      </c>
      <c r="J407" s="1393"/>
      <c r="K407" s="1399"/>
      <c r="L407" s="1334"/>
      <c r="M407" s="1334"/>
      <c r="N407" s="1817"/>
      <c r="O407" s="1817"/>
      <c r="P407" s="1334"/>
      <c r="Q407" s="1334"/>
    </row>
    <row r="408" spans="1:17" ht="13.5">
      <c r="A408" s="1330"/>
      <c r="B408" s="1393" t="s">
        <v>4500</v>
      </c>
      <c r="C408" s="1330"/>
      <c r="D408" s="1401"/>
      <c r="E408" s="1393"/>
      <c r="F408" s="1403" t="e">
        <f>'Part III-Sources of Funds'!#REF!</f>
        <v>#REF!</v>
      </c>
      <c r="G408" s="1403" t="e">
        <f>'Part III-Sources of Funds'!#REF!</f>
        <v>#REF!</v>
      </c>
      <c r="H408" s="1394" t="s">
        <v>4181</v>
      </c>
      <c r="I408" s="1403" t="e">
        <f>'Part III-Sources of Funds'!L45</f>
        <v>#N/A</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1">
      <c r="A412" s="1330"/>
      <c r="B412" s="1330" t="s">
        <v>802</v>
      </c>
      <c r="C412" s="1330"/>
      <c r="D412" s="1330"/>
      <c r="E412" s="1386" t="str">
        <f>'Part III-Sources of Funds'!E49</f>
        <v>Federal Investor - Churchill Stateside</v>
      </c>
      <c r="F412" s="1386">
        <f>'Part III-Sources of Funds'!F49</f>
        <v>0</v>
      </c>
      <c r="G412" s="1386">
        <f>'Part III-Sources of Funds'!G49</f>
        <v>0</v>
      </c>
      <c r="H412" s="1386">
        <f>'Part III-Sources of Funds'!H49</f>
        <v>0</v>
      </c>
      <c r="I412" s="1462">
        <f>'Part III-Sources of Funds'!I49</f>
        <v>7063293</v>
      </c>
      <c r="J412" s="1330">
        <f>'Part III-Sources of Funds'!J49</f>
        <v>0</v>
      </c>
      <c r="K412" s="1393"/>
      <c r="L412" s="1406">
        <f ca="1">'Part IV-A-Uses of Funds'!$J$175*10*'Part IV-A-Uses of Funds'!$N$168</f>
        <v>7064000</v>
      </c>
      <c r="M412" s="1406"/>
      <c r="N412" s="1407">
        <f ca="1">I412-L412</f>
        <v>-707</v>
      </c>
      <c r="O412" s="1407"/>
      <c r="P412" s="1408" t="s">
        <v>2561</v>
      </c>
      <c r="Q412" s="1330"/>
    </row>
    <row r="413" spans="1:17" ht="51">
      <c r="A413" s="1330"/>
      <c r="B413" s="1330" t="s">
        <v>803</v>
      </c>
      <c r="C413" s="1330"/>
      <c r="D413" s="1330"/>
      <c r="E413" s="1386" t="str">
        <f>'Part III-Sources of Funds'!E50</f>
        <v>State Investor - Churchill Stateside</v>
      </c>
      <c r="F413" s="1386">
        <f>'Part III-Sources of Funds'!F50</f>
        <v>0</v>
      </c>
      <c r="G413" s="1386">
        <f>'Part III-Sources of Funds'!G50</f>
        <v>0</v>
      </c>
      <c r="H413" s="1386">
        <f>'Part III-Sources of Funds'!H50</f>
        <v>0</v>
      </c>
      <c r="I413" s="1462">
        <f>'Part III-Sources of Funds'!I50</f>
        <v>3884811</v>
      </c>
      <c r="J413" s="1330">
        <f>'Part III-Sources of Funds'!J50</f>
        <v>0</v>
      </c>
      <c r="K413" s="1393"/>
      <c r="L413" s="1406">
        <f ca="1">'Part IV-A-Uses of Funds'!$J$175*10*'Part IV-A-Uses of Funds'!$Q$168</f>
        <v>3885200</v>
      </c>
      <c r="M413" s="1406"/>
      <c r="N413" s="1407">
        <f ca="1">I413-L413</f>
        <v>-389</v>
      </c>
      <c r="O413" s="1407"/>
      <c r="P413" s="1409">
        <f ca="1">I412/I422</f>
        <v>0.44412584343050354</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 ca="1">I413/I422</f>
        <v>0.24426920445507469</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 ca="1">SUM(P413:P414)</f>
        <v>0.68839504788557826</v>
      </c>
      <c r="Q415" s="1330"/>
    </row>
    <row r="416" spans="1:17" ht="13.5">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5">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2217</v>
      </c>
      <c r="C421" s="1330"/>
      <c r="D421" s="1330"/>
      <c r="E421" s="1330"/>
      <c r="F421" s="1330"/>
      <c r="G421" s="1330"/>
      <c r="H421" s="1393"/>
      <c r="I421" s="1396">
        <f>SUM(I400:J405)+SUM(I410:J420)</f>
        <v>15903810</v>
      </c>
      <c r="J421" s="1396"/>
      <c r="K421" s="1330"/>
      <c r="L421" s="1334"/>
      <c r="M421" s="1386"/>
      <c r="N421" s="1386"/>
      <c r="O421" s="1386"/>
      <c r="P421" s="1386"/>
      <c r="Q421" s="1330"/>
    </row>
    <row r="422" spans="1:17" ht="13.5">
      <c r="A422" s="1330"/>
      <c r="B422" s="1337" t="s">
        <v>2218</v>
      </c>
      <c r="C422" s="1330"/>
      <c r="D422" s="1330"/>
      <c r="E422" s="1330"/>
      <c r="F422" s="1330"/>
      <c r="G422" s="1330"/>
      <c r="H422" s="1393"/>
      <c r="I422" s="1396">
        <f ca="1">'Part IV-A-Uses of Funds'!$G$132</f>
        <v>15903809.932432491</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 ca="1">I421-I422</f>
        <v>6.7567508667707443E-2</v>
      </c>
      <c r="J423" s="1397"/>
      <c r="K423" s="1330"/>
      <c r="L423" s="1334"/>
      <c r="M423" s="1386"/>
      <c r="N423" s="1386"/>
      <c r="O423" s="1386"/>
      <c r="P423" s="1386"/>
      <c r="Q423" s="1330"/>
    </row>
    <row r="424" spans="1:17">
      <c r="A424" s="1330" t="s">
        <v>3468</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 xml:space="preserve">Churchill Stateside Group has executed a LOI to be the Federal Investor at a syndication rate of $0.80 for an allocation of 99.99% ($823,917 annually) of the Federal Credits.
Churchill Stateside Group has executed a LOI to be the State Investor at a syndication rate of $0.44 for an allocation of 100% ($824,000 annually) of the State Credits.
Federal and State Equity included in in Construction Financing above are equal to the first two contributions.
Churchill Stateside Group has executed a Commitment for Construction and Permanent Financing.
</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2019-078 Abbington Sound,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2019-078 Abbington Sound,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2001</v>
      </c>
      <c r="C444" s="1330"/>
      <c r="D444" s="1330"/>
      <c r="E444" s="1330"/>
      <c r="F444" s="1330"/>
      <c r="G444" s="1412">
        <f>'Part IV-A-Uses of Funds'!G8</f>
        <v>7500</v>
      </c>
      <c r="H444" s="1412">
        <f>'Part IV-A-Uses of Funds'!H8</f>
        <v>0</v>
      </c>
      <c r="I444" s="1330"/>
      <c r="J444" s="1412">
        <f>'Part IV-A-Uses of Funds'!J8</f>
        <v>7500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7500</v>
      </c>
      <c r="H445" s="1412">
        <f>'Part IV-A-Uses of Funds'!H9</f>
        <v>0</v>
      </c>
      <c r="I445" s="1330"/>
      <c r="J445" s="1412">
        <f>'Part IV-A-Uses of Funds'!J9</f>
        <v>7500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20000</v>
      </c>
      <c r="H446" s="1412">
        <f>'Part IV-A-Uses of Funds'!H10</f>
        <v>0</v>
      </c>
      <c r="I446" s="1330"/>
      <c r="J446" s="1412">
        <f>'Part IV-A-Uses of Funds'!J10</f>
        <v>20000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2501</v>
      </c>
      <c r="C448" s="1330"/>
      <c r="D448" s="1330"/>
      <c r="E448" s="1330"/>
      <c r="F448" s="1330"/>
      <c r="G448" s="1412">
        <f>'Part IV-A-Uses of Funds'!G12</f>
        <v>12000</v>
      </c>
      <c r="H448" s="1412">
        <f>'Part IV-A-Uses of Funds'!H12</f>
        <v>0</v>
      </c>
      <c r="I448" s="1330"/>
      <c r="J448" s="1412">
        <f>'Part IV-A-Uses of Funds'!J12</f>
        <v>12000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1000</v>
      </c>
      <c r="H449" s="1412">
        <f>'Part IV-A-Uses of Funds'!H13</f>
        <v>0</v>
      </c>
      <c r="I449" s="1330"/>
      <c r="J449" s="1412">
        <f>'Part IV-A-Uses of Funds'!J13</f>
        <v>1000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63000</v>
      </c>
      <c r="H453" s="1412"/>
      <c r="I453" s="1330"/>
      <c r="J453" s="1412">
        <f>SUM(J444:K452)</f>
        <v>63000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2199</v>
      </c>
      <c r="C455" s="1330"/>
      <c r="D455" s="1330"/>
      <c r="E455" s="1330"/>
      <c r="F455" s="1330"/>
      <c r="G455" s="1412">
        <f>'Part IV-A-Uses of Funds'!G19</f>
        <v>575000</v>
      </c>
      <c r="H455" s="1412">
        <f>'Part IV-A-Uses of Funds'!H19</f>
        <v>0</v>
      </c>
      <c r="I455" s="1330"/>
      <c r="J455" s="1347"/>
      <c r="K455" s="1412"/>
      <c r="L455" s="1347"/>
      <c r="M455" s="1347"/>
      <c r="N455" s="1412"/>
      <c r="O455" s="1330"/>
      <c r="P455" s="1347"/>
      <c r="Q455" s="1412"/>
      <c r="R455" s="1330"/>
      <c r="S455" s="1412">
        <f>'Part IV-A-Uses of Funds'!S19</f>
        <v>575000</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575000</v>
      </c>
      <c r="H459" s="1412"/>
      <c r="I459" s="1330"/>
      <c r="J459" s="1347"/>
      <c r="K459" s="1412"/>
      <c r="L459" s="1347"/>
      <c r="M459" s="1412">
        <f>SUM(M457:N458)</f>
        <v>0</v>
      </c>
      <c r="N459" s="1412"/>
      <c r="O459" s="1330"/>
      <c r="P459" s="1347"/>
      <c r="Q459" s="1412"/>
      <c r="R459" s="1330"/>
      <c r="S459" s="1412">
        <f>SUM(S455:T458)</f>
        <v>575000</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3724</v>
      </c>
      <c r="F461" s="1419">
        <f>IF('Part I-Project Information'!$O$37="","",G461/'Part I-Project Information'!$O$37)</f>
        <v>185977.85977859778</v>
      </c>
      <c r="G461" s="1412">
        <f>'Part IV-A-Uses of Funds'!G25</f>
        <v>1512000</v>
      </c>
      <c r="H461" s="1412">
        <f>'Part IV-A-Uses of Funds'!H25</f>
        <v>0</v>
      </c>
      <c r="I461" s="1330"/>
      <c r="J461" s="1412">
        <f>'Part IV-A-Uses of Funds'!J25</f>
        <v>1512000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350000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350000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1862000</v>
      </c>
      <c r="H463" s="1412"/>
      <c r="I463" s="1330"/>
      <c r="J463" s="1412">
        <f>SUM(J461:K462)</f>
        <v>1512000</v>
      </c>
      <c r="K463" s="1412"/>
      <c r="L463" s="1347"/>
      <c r="M463" s="1412">
        <f>M461</f>
        <v>0</v>
      </c>
      <c r="N463" s="1412"/>
      <c r="O463" s="1330"/>
      <c r="P463" s="1412">
        <f>P461</f>
        <v>0</v>
      </c>
      <c r="Q463" s="1412"/>
      <c r="R463" s="1330"/>
      <c r="S463" s="1412">
        <f>SUM(S461:T462)</f>
        <v>350000</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7644000</v>
      </c>
      <c r="H465" s="1412">
        <f>'Part IV-A-Uses of Funds'!H29</f>
        <v>0</v>
      </c>
      <c r="I465" s="1330"/>
      <c r="J465" s="1412">
        <f>'Part IV-A-Uses of Funds'!J29</f>
        <v>7644000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2781</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7644000</v>
      </c>
      <c r="H469" s="1412"/>
      <c r="I469" s="1330"/>
      <c r="J469" s="1412">
        <f>SUM(J465:K468)</f>
        <v>7644000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2344</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2345</v>
      </c>
      <c r="C471" s="1330"/>
      <c r="D471" s="1425">
        <f>'DCA Underwriting Assumptions'!$R$73</f>
        <v>0.06</v>
      </c>
      <c r="E471" s="1426">
        <f>D471*(G463+G469)</f>
        <v>570360</v>
      </c>
      <c r="F471" s="1425" t="e">
        <f>IF(($G$27+$G$33)=0,0,G471/($G$27+$G$33))</f>
        <v>#VALUE!</v>
      </c>
      <c r="G471" s="1412">
        <f>'Part IV-A-Uses of Funds'!G35</f>
        <v>570360</v>
      </c>
      <c r="H471" s="1412">
        <f>'Part IV-A-Uses of Funds'!H35</f>
        <v>0</v>
      </c>
      <c r="I471" s="1336"/>
      <c r="J471" s="1412">
        <f>'Part IV-A-Uses of Funds'!J35</f>
        <v>570360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2737</v>
      </c>
      <c r="C472" s="1330"/>
      <c r="D472" s="1425">
        <f>'DCA Underwriting Assumptions'!$R$74</f>
        <v>0.02</v>
      </c>
      <c r="E472" s="1426">
        <f>D472*(G463+G469)</f>
        <v>190120</v>
      </c>
      <c r="F472" s="1425" t="e">
        <f>IF(($G$27+$G$33)=0,0,G472/($G$27+$G$33))</f>
        <v>#VALUE!</v>
      </c>
      <c r="G472" s="1412">
        <f>'Part IV-A-Uses of Funds'!G36</f>
        <v>190120</v>
      </c>
      <c r="H472" s="1412">
        <f>'Part IV-A-Uses of Funds'!H36</f>
        <v>0</v>
      </c>
      <c r="I472" s="1336"/>
      <c r="J472" s="1412">
        <f>'Part IV-A-Uses of Funds'!J36</f>
        <v>190120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2738</v>
      </c>
      <c r="C473" s="1330"/>
      <c r="D473" s="1425">
        <f>'DCA Underwriting Assumptions'!$R$75</f>
        <v>0.06</v>
      </c>
      <c r="E473" s="1426">
        <f>D473*(G463+G469)</f>
        <v>570360</v>
      </c>
      <c r="F473" s="1425" t="e">
        <f>IF(($G$27+$G$33)=0,0,G473/($G$27+$G$33))</f>
        <v>#VALUE!</v>
      </c>
      <c r="G473" s="1412">
        <f>'Part IV-A-Uses of Funds'!G37</f>
        <v>570360</v>
      </c>
      <c r="H473" s="1412">
        <f>'Part IV-A-Uses of Funds'!H37</f>
        <v>0</v>
      </c>
      <c r="I473" s="1336"/>
      <c r="J473" s="1412">
        <f>'Part IV-A-Uses of Funds'!J37</f>
        <v>570360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3729</v>
      </c>
      <c r="C474" s="1330"/>
      <c r="D474" s="1423">
        <f>SUM(D471:D473)</f>
        <v>0.14000000000000001</v>
      </c>
      <c r="E474" s="1427">
        <f>SUM(E471:E473)</f>
        <v>1330840</v>
      </c>
      <c r="F474" s="1416" t="s">
        <v>191</v>
      </c>
      <c r="G474" s="1412">
        <f>SUM(G471:H473)</f>
        <v>1330840</v>
      </c>
      <c r="H474" s="1412"/>
      <c r="I474" s="1330"/>
      <c r="J474" s="1412">
        <f>SUM(J471:K473)</f>
        <v>1330840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2745</v>
      </c>
      <c r="F479" s="1430">
        <f>B480/'Part VI-Revenues &amp; Expenses'!$O$65</f>
        <v>129010</v>
      </c>
      <c r="G479" s="1431" t="s">
        <v>4503</v>
      </c>
      <c r="H479" s="1330"/>
      <c r="I479" s="1330"/>
      <c r="J479" s="1432">
        <f>B480/'Part VI-Revenues &amp; Expenses'!$O$67</f>
        <v>129010</v>
      </c>
      <c r="K479" s="1432"/>
      <c r="L479" s="1330"/>
      <c r="M479" s="1433" t="s">
        <v>1402</v>
      </c>
      <c r="N479" s="1433"/>
      <c r="O479" s="1330"/>
      <c r="P479" s="1432">
        <f>B480/'Part I-Project Information'!$P$75</f>
        <v>115.51902782219379</v>
      </c>
      <c r="Q479" s="1432"/>
      <c r="R479" s="1330"/>
      <c r="S479" s="1354" t="s">
        <v>2779</v>
      </c>
      <c r="T479" s="1354"/>
      <c r="U479" s="1330"/>
      <c r="V479" s="1418"/>
      <c r="W479" s="1203">
        <f>'Part IV-A-Uses of Funds'!W43</f>
        <v>0</v>
      </c>
      <c r="X479" s="1203">
        <f>'Part IV-A-Uses of Funds'!X43</f>
        <v>0</v>
      </c>
    </row>
    <row r="480" spans="1:24">
      <c r="A480" s="1330"/>
      <c r="B480" s="1434">
        <f>G463+G469+G474+G477</f>
        <v>10836840</v>
      </c>
      <c r="C480" s="1434"/>
      <c r="D480" s="1330"/>
      <c r="E480" s="1329"/>
      <c r="F480" s="1430">
        <f>B480/'Part VI-Revenues &amp; Expenses'!$O$154</f>
        <v>120.0093023255814</v>
      </c>
      <c r="G480" s="1354" t="s">
        <v>4504</v>
      </c>
      <c r="H480" s="1330"/>
      <c r="I480" s="1330"/>
      <c r="J480" s="1432">
        <f>B480/'Part VI-Revenues &amp; Expenses'!$O$156</f>
        <v>120.0093023255814</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1962</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541842</v>
      </c>
      <c r="F483" s="1438">
        <f>G483/B480</f>
        <v>0.05</v>
      </c>
      <c r="G483" s="1412">
        <f>'Part IV-A-Uses of Funds'!G47</f>
        <v>541842</v>
      </c>
      <c r="H483" s="1412">
        <f>'Part IV-A-Uses of Funds'!H47</f>
        <v>0</v>
      </c>
      <c r="I483" s="1330"/>
      <c r="J483" s="1412">
        <f>'Part IV-A-Uses of Funds'!J47</f>
        <v>541842</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2347</v>
      </c>
      <c r="C490" s="1330"/>
      <c r="D490" s="1330"/>
      <c r="E490" s="1330"/>
      <c r="F490" s="1330"/>
      <c r="G490" s="1412">
        <f>'Part IV-A-Uses of Funds'!G54</f>
        <v>63998</v>
      </c>
      <c r="H490" s="1412">
        <f>'Part IV-A-Uses of Funds'!H54</f>
        <v>0</v>
      </c>
      <c r="I490" s="1330"/>
      <c r="J490" s="1412">
        <f>'Part IV-A-Uses of Funds'!J54</f>
        <v>63998</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2348</v>
      </c>
      <c r="C491" s="1330"/>
      <c r="D491" s="1330"/>
      <c r="E491" s="1330"/>
      <c r="F491" s="1330"/>
      <c r="G491" s="1412">
        <f>'Part IV-A-Uses of Funds'!G55</f>
        <v>313207</v>
      </c>
      <c r="H491" s="1412">
        <f>'Part IV-A-Uses of Funds'!H55</f>
        <v>0</v>
      </c>
      <c r="I491" s="1330"/>
      <c r="J491" s="1412">
        <f>'Part IV-A-Uses of Funds'!J55</f>
        <v>208519</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104688</v>
      </c>
      <c r="T491" s="1412">
        <f>'Part IV-A-Uses of Funds'!T55</f>
        <v>0</v>
      </c>
      <c r="U491" s="1330"/>
      <c r="V491" s="1418"/>
      <c r="W491" s="1203"/>
      <c r="X491" s="1203"/>
    </row>
    <row r="492" spans="1:24">
      <c r="A492" s="1330"/>
      <c r="B492" s="1330" t="s">
        <v>2349</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2688</v>
      </c>
      <c r="C493" s="1330"/>
      <c r="D493" s="1330"/>
      <c r="E493" s="1330"/>
      <c r="F493" s="1330"/>
      <c r="G493" s="1412">
        <f>'Part IV-A-Uses of Funds'!G57</f>
        <v>15000</v>
      </c>
      <c r="H493" s="1412">
        <f>'Part IV-A-Uses of Funds'!H57</f>
        <v>0</v>
      </c>
      <c r="I493" s="1330"/>
      <c r="J493" s="1412">
        <f>'Part IV-A-Uses of Funds'!J57</f>
        <v>15000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10000</v>
      </c>
      <c r="H494" s="1412">
        <f>'Part IV-A-Uses of Funds'!H58</f>
        <v>0</v>
      </c>
      <c r="I494" s="1330"/>
      <c r="J494" s="1412">
        <f>'Part IV-A-Uses of Funds'!J58</f>
        <v>10000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2350</v>
      </c>
      <c r="C495" s="1330"/>
      <c r="D495" s="1330"/>
      <c r="E495" s="1330"/>
      <c r="F495" s="1330"/>
      <c r="G495" s="1412">
        <f>'Part IV-A-Uses of Funds'!G59</f>
        <v>49705</v>
      </c>
      <c r="H495" s="1412">
        <f>'Part IV-A-Uses of Funds'!H59</f>
        <v>0</v>
      </c>
      <c r="I495" s="1330"/>
      <c r="J495" s="1412">
        <f>'Part IV-A-Uses of Funds'!J59</f>
        <v>49705</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c r="A496" s="1330"/>
      <c r="B496" s="1330" t="s">
        <v>1276</v>
      </c>
      <c r="C496" s="1330"/>
      <c r="D496" s="1330"/>
      <c r="E496" s="1330"/>
      <c r="F496" s="1330"/>
      <c r="G496" s="1412">
        <f>'Part IV-A-Uses of Funds'!G60</f>
        <v>80000</v>
      </c>
      <c r="H496" s="1412">
        <f>'Part IV-A-Uses of Funds'!H60</f>
        <v>0</v>
      </c>
      <c r="I496" s="1330"/>
      <c r="J496" s="1412">
        <f>'Part IV-A-Uses of Funds'!J60</f>
        <v>8000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72000</v>
      </c>
      <c r="T496" s="1412">
        <f>'Part IV-A-Uses of Funds'!T60</f>
        <v>0</v>
      </c>
      <c r="U496" s="1330"/>
      <c r="V496" s="1418"/>
      <c r="W496" s="1203"/>
      <c r="X496" s="1203"/>
    </row>
    <row r="497" spans="1:24">
      <c r="A497" s="1330"/>
      <c r="B497" s="1439" t="s">
        <v>1153</v>
      </c>
      <c r="C497" s="1330"/>
      <c r="D497" s="1438"/>
      <c r="E497" s="1438"/>
      <c r="F497" s="1440"/>
      <c r="G497" s="1412">
        <f>'Part IV-A-Uses of Funds'!G61</f>
        <v>63184</v>
      </c>
      <c r="H497" s="1412">
        <f>'Part IV-A-Uses of Funds'!H61</f>
        <v>0</v>
      </c>
      <c r="I497" s="1336"/>
      <c r="J497" s="1412">
        <f>'Part IV-A-Uses of Funds'!J61</f>
        <v>63184</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620094</v>
      </c>
      <c r="H500" s="1412"/>
      <c r="I500" s="1330"/>
      <c r="J500" s="1412">
        <f>SUM(J488:K499)</f>
        <v>443406</v>
      </c>
      <c r="K500" s="1412"/>
      <c r="L500" s="1347"/>
      <c r="M500" s="1412">
        <f>SUM(M488:N499)</f>
        <v>0</v>
      </c>
      <c r="N500" s="1412"/>
      <c r="O500" s="1330"/>
      <c r="P500" s="1412">
        <f>SUM(P488:Q499)</f>
        <v>0</v>
      </c>
      <c r="Q500" s="1412"/>
      <c r="R500" s="1330"/>
      <c r="S500" s="1412">
        <f>SUM(S488:T499)</f>
        <v>176688</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120000</v>
      </c>
      <c r="H502" s="1412">
        <f>'Part IV-A-Uses of Funds'!H66</f>
        <v>0</v>
      </c>
      <c r="I502" s="1330"/>
      <c r="J502" s="1412">
        <f>'Part IV-A-Uses of Funds'!J66</f>
        <v>120000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50000</v>
      </c>
      <c r="H503" s="1412">
        <f>'Part IV-A-Uses of Funds'!H67</f>
        <v>0</v>
      </c>
      <c r="I503" s="1330"/>
      <c r="J503" s="1412">
        <f>'Part IV-A-Uses of Funds'!J67</f>
        <v>50000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3844</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15000</v>
      </c>
      <c r="H505" s="1412">
        <f>'Part IV-A-Uses of Funds'!H69</f>
        <v>0</v>
      </c>
      <c r="I505" s="1330"/>
      <c r="J505" s="1412">
        <f>'Part IV-A-Uses of Funds'!J69</f>
        <v>15000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7500</v>
      </c>
      <c r="H506" s="1412">
        <f>'Part IV-A-Uses of Funds'!H70</f>
        <v>0</v>
      </c>
      <c r="I506" s="1330"/>
      <c r="J506" s="1412">
        <f>'Part IV-A-Uses of Funds'!J70</f>
        <v>7500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92400</v>
      </c>
      <c r="H508" s="1412">
        <f>'Part IV-A-Uses of Funds'!H72</f>
        <v>0</v>
      </c>
      <c r="I508" s="1330"/>
      <c r="J508" s="1412">
        <f>'Part IV-A-Uses of Funds'!J72</f>
        <v>92400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120000</v>
      </c>
      <c r="H509" s="1412">
        <f>'Part IV-A-Uses of Funds'!H73</f>
        <v>0</v>
      </c>
      <c r="I509" s="1330"/>
      <c r="J509" s="1412">
        <f>'Part IV-A-Uses of Funds'!J73</f>
        <v>120000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c r="A510" s="1330"/>
      <c r="B510" s="1330" t="s">
        <v>2050</v>
      </c>
      <c r="C510" s="1330"/>
      <c r="D510" s="1330"/>
      <c r="E510" s="1330"/>
      <c r="F510" s="1330"/>
      <c r="G510" s="1412">
        <f>'Part IV-A-Uses of Funds'!G74</f>
        <v>30000</v>
      </c>
      <c r="H510" s="1412">
        <f>'Part IV-A-Uses of Funds'!H74</f>
        <v>0</v>
      </c>
      <c r="I510" s="1330"/>
      <c r="J510" s="1412">
        <f>'Part IV-A-Uses of Funds'!J74</f>
        <v>30000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20000</v>
      </c>
      <c r="H511" s="1412">
        <f>'Part IV-A-Uses of Funds'!H75</f>
        <v>0</v>
      </c>
      <c r="I511" s="1330"/>
      <c r="J511" s="1412">
        <f>'Part IV-A-Uses of Funds'!J75</f>
        <v>20000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509900</v>
      </c>
      <c r="H513" s="1412"/>
      <c r="I513" s="1330"/>
      <c r="J513" s="1412">
        <f>SUM(J502:K512)</f>
        <v>509900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c r="A514" s="1330"/>
      <c r="B514" s="1311" t="s">
        <v>1269</v>
      </c>
      <c r="C514" s="1330"/>
      <c r="D514" s="1442" t="s">
        <v>3732</v>
      </c>
      <c r="E514" s="1443">
        <f>G519/'Part VI-Revenues &amp; Expenses'!$O$67</f>
        <v>3147.6190476190477</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25000</v>
      </c>
      <c r="H515" s="1412">
        <f>'Part IV-A-Uses of Funds'!H79</f>
        <v>0</v>
      </c>
      <c r="I515" s="1330"/>
      <c r="J515" s="1412">
        <f>'Part IV-A-Uses of Funds'!J79</f>
        <v>25000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100800</v>
      </c>
      <c r="H516" s="1412">
        <f>'Part IV-A-Uses of Funds'!H80</f>
        <v>0</v>
      </c>
      <c r="I516" s="1330"/>
      <c r="J516" s="1412">
        <f>'Part IV-A-Uses of Funds'!J80</f>
        <v>100800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37800</v>
      </c>
      <c r="H517" s="1412">
        <f>'Part IV-A-Uses of Funds'!H81</f>
        <v>0</v>
      </c>
      <c r="I517" s="1336"/>
      <c r="J517" s="1412">
        <f>'Part IV-A-Uses of Funds'!J81</f>
        <v>37800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100800</v>
      </c>
      <c r="H518" s="1412">
        <f>'Part IV-A-Uses of Funds'!H82</f>
        <v>0</v>
      </c>
      <c r="I518" s="1336"/>
      <c r="J518" s="1412">
        <f>'Part IV-A-Uses of Funds'!J82</f>
        <v>100800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264400</v>
      </c>
      <c r="H519" s="1412"/>
      <c r="I519" s="1330"/>
      <c r="J519" s="1412">
        <f>SUM(J515:K518)</f>
        <v>264400</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c r="A522" s="1330"/>
      <c r="B522" s="1330" t="s">
        <v>1275</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3946</v>
      </c>
      <c r="C534" s="1330"/>
      <c r="D534" s="1330"/>
      <c r="E534" s="1330"/>
      <c r="F534" s="1330"/>
      <c r="G534" s="1412">
        <f>'Part IV-A-Uses of Funds'!G98</f>
        <v>1500</v>
      </c>
      <c r="H534" s="1412">
        <f>'Part IV-A-Uses of Funds'!H98</f>
        <v>0</v>
      </c>
      <c r="I534" s="1330"/>
      <c r="J534" s="1347"/>
      <c r="K534" s="1347"/>
      <c r="L534" s="1445"/>
      <c r="M534" s="1347"/>
      <c r="N534" s="1347"/>
      <c r="O534" s="1330"/>
      <c r="P534" s="1347"/>
      <c r="Q534" s="1347"/>
      <c r="R534" s="1330"/>
      <c r="S534" s="1412">
        <f>'Part IV-A-Uses of Funds'!S98</f>
        <v>1500</v>
      </c>
      <c r="T534" s="1412">
        <f>'Part IV-A-Uses of Funds'!T98</f>
        <v>0</v>
      </c>
      <c r="U534" s="1330"/>
      <c r="V534" s="1418"/>
      <c r="W534" s="1203"/>
      <c r="X534" s="1203"/>
    </row>
    <row r="535" spans="1:24">
      <c r="A535" s="1330"/>
      <c r="B535" s="1330" t="s">
        <v>519</v>
      </c>
      <c r="C535" s="1330"/>
      <c r="D535" s="1330"/>
      <c r="E535" s="1446">
        <f ca="1">'DCA Underwriting Assumptions'!$Q$88*J611</f>
        <v>70640</v>
      </c>
      <c r="F535" s="1446"/>
      <c r="G535" s="1412">
        <f ca="1">'Part IV-A-Uses of Funds'!G99</f>
        <v>70640</v>
      </c>
      <c r="H535" s="1412">
        <f>'Part IV-A-Uses of Funds'!H99</f>
        <v>0</v>
      </c>
      <c r="I535" s="1330"/>
      <c r="J535" s="1447" t="str">
        <f ca="1">IF(E535&gt;G535,"WARNING!  LIHTC Allocation Fee proposed is below minimum required.","")</f>
        <v/>
      </c>
      <c r="K535" s="1347"/>
      <c r="L535" s="1347"/>
      <c r="M535" s="1347"/>
      <c r="N535" s="1347"/>
      <c r="O535" s="1330"/>
      <c r="P535" s="1347"/>
      <c r="Q535" s="1347"/>
      <c r="R535" s="1330"/>
      <c r="S535" s="1412">
        <f ca="1">'Part IV-A-Uses of Funds'!S99</f>
        <v>70640</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67200</v>
      </c>
      <c r="F536" s="1446"/>
      <c r="G536" s="1412">
        <f>'Part IV-A-Uses of Funds'!G100</f>
        <v>67200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67200</v>
      </c>
      <c r="T536" s="1412">
        <f>'Part IV-A-Uses of Funds'!T100</f>
        <v>0</v>
      </c>
      <c r="U536" s="1330"/>
      <c r="V536" s="1418"/>
      <c r="W536" s="1203"/>
      <c r="X536" s="1203"/>
    </row>
    <row r="537" spans="1:24">
      <c r="A537" s="1330"/>
      <c r="B537" s="1330" t="s">
        <v>4237</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 ca="1">SUM(G532:H540)</f>
        <v>151840</v>
      </c>
      <c r="H541" s="1412"/>
      <c r="I541" s="1330"/>
      <c r="J541" s="1347"/>
      <c r="K541" s="1347"/>
      <c r="L541" s="1347"/>
      <c r="M541" s="1347"/>
      <c r="N541" s="1347"/>
      <c r="O541" s="1330"/>
      <c r="P541" s="1347"/>
      <c r="Q541" s="1347"/>
      <c r="R541" s="1330"/>
      <c r="S541" s="1412">
        <f ca="1">SUM(S532:T540)</f>
        <v>151840</v>
      </c>
      <c r="T541" s="1412"/>
      <c r="U541" s="1330"/>
      <c r="V541" s="1418">
        <f>SUM(V532:V540)</f>
        <v>0</v>
      </c>
      <c r="W541" s="1521"/>
      <c r="X541" s="1521"/>
    </row>
    <row r="542" spans="1:24">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c r="A545" s="1330"/>
      <c r="B545" s="1330" t="s">
        <v>2387</v>
      </c>
      <c r="C545" s="1330"/>
      <c r="D545" s="1330"/>
      <c r="E545" s="1330"/>
      <c r="F545" s="1330"/>
      <c r="G545" s="1412">
        <f>'Part IV-A-Uses of Funds'!G109</f>
        <v>50000</v>
      </c>
      <c r="H545" s="1412">
        <f>'Part IV-A-Uses of Funds'!H109</f>
        <v>0</v>
      </c>
      <c r="I545" s="1330"/>
      <c r="J545" s="1412"/>
      <c r="K545" s="1412"/>
      <c r="L545" s="1347"/>
      <c r="M545" s="1412"/>
      <c r="N545" s="1412"/>
      <c r="O545" s="1330"/>
      <c r="P545" s="1412"/>
      <c r="Q545" s="1412"/>
      <c r="R545" s="1330"/>
      <c r="S545" s="1412">
        <f>'Part IV-A-Uses of Funds'!S109</f>
        <v>50000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50000</v>
      </c>
      <c r="H547" s="1412"/>
      <c r="I547" s="1330"/>
      <c r="J547" s="1412"/>
      <c r="K547" s="1412"/>
      <c r="L547" s="1347"/>
      <c r="M547" s="1412"/>
      <c r="N547" s="1412"/>
      <c r="O547" s="1330"/>
      <c r="P547" s="1412"/>
      <c r="Q547" s="1412"/>
      <c r="R547" s="1330"/>
      <c r="S547" s="1412">
        <f>SUM(S543:T546)</f>
        <v>50000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1861</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4193</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1862</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1854</v>
      </c>
      <c r="C553" s="1330"/>
      <c r="D553" s="1330"/>
      <c r="E553" s="1330"/>
      <c r="F553" s="1399">
        <f>IF($G$118=0,0,G553/$G$118)</f>
        <v>0</v>
      </c>
      <c r="G553" s="1412">
        <f>'Part IV-A-Uses of Funds'!G117</f>
        <v>1800000</v>
      </c>
      <c r="H553" s="1412">
        <f>'Part IV-A-Uses of Funds'!H117</f>
        <v>0</v>
      </c>
      <c r="I553" s="1330"/>
      <c r="J553" s="1412">
        <f>'Part IV-A-Uses of Funds'!J117</f>
        <v>1800000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41800</v>
      </c>
      <c r="H556" s="1412">
        <f>'Part IV-A-Uses of Funds'!H120</f>
        <v>0</v>
      </c>
      <c r="I556" s="1330"/>
      <c r="J556" s="1445"/>
      <c r="K556" s="1445"/>
      <c r="L556" s="1445"/>
      <c r="M556" s="1445"/>
      <c r="N556" s="1445"/>
      <c r="O556" s="1330"/>
      <c r="P556" s="1445"/>
      <c r="Q556" s="1445"/>
      <c r="R556" s="1330"/>
      <c r="S556" s="1412">
        <f>'Part IV-A-Uses of Funds'!S120</f>
        <v>41800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83526.75</v>
      </c>
      <c r="G557" s="1412">
        <f>'Part IV-A-Uses of Funds'!G121</f>
        <v>83526.75</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83526.75</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281567.18243249139</v>
      </c>
      <c r="G558" s="1412">
        <f>'Part IV-A-Uses of Funds'!G122</f>
        <v>281567.18243249139</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281567.18243249139</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3566</v>
      </c>
      <c r="F560" s="1419">
        <f>IF('Part VI-Revenues &amp; Expenses'!$O$67=0,0,G560/'Part VI-Revenues &amp; Expenses'!$O$67)</f>
        <v>1000</v>
      </c>
      <c r="G560" s="1412">
        <f>'Part IV-A-Uses of Funds'!G124</f>
        <v>84000</v>
      </c>
      <c r="H560" s="1412">
        <f>'Part IV-A-Uses of Funds'!H124</f>
        <v>0</v>
      </c>
      <c r="I560" s="1330"/>
      <c r="J560" s="1412">
        <f>'Part IV-A-Uses of Funds'!J124</f>
        <v>84000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490893.93243249139</v>
      </c>
      <c r="H562" s="1412"/>
      <c r="I562" s="1330"/>
      <c r="J562" s="1412">
        <f>SUM(J560:K561)</f>
        <v>84000</v>
      </c>
      <c r="K562" s="1412"/>
      <c r="L562" s="1347"/>
      <c r="M562" s="1412">
        <f>SUM(M560:N561)</f>
        <v>0</v>
      </c>
      <c r="N562" s="1412"/>
      <c r="O562" s="1330"/>
      <c r="P562" s="1412">
        <f>SUM(P560:Q561)</f>
        <v>0</v>
      </c>
      <c r="Q562" s="1412"/>
      <c r="R562" s="1330"/>
      <c r="S562" s="1412">
        <f>SUM(S556:T561)</f>
        <v>406893.93243249139</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4507</v>
      </c>
      <c r="C568" s="1330"/>
      <c r="D568" s="1330"/>
      <c r="E568" s="1330"/>
      <c r="F568" s="1330"/>
      <c r="G568" s="1454">
        <f ca="1">G453+G459+G463+G469+G474+G477+G483+G500+G513+G519+G527+G541+G547+G554+G562+G566</f>
        <v>15903809.932432491</v>
      </c>
      <c r="H568" s="1454"/>
      <c r="I568" s="1330"/>
      <c r="J568" s="1454">
        <f>J453+J459+J463+J469+J474+J477+J483+J500+J513+J519+J527+J541+J547+J554+J562+J566</f>
        <v>14193388</v>
      </c>
      <c r="K568" s="1454"/>
      <c r="L568" s="1330"/>
      <c r="M568" s="1454">
        <f>M453+M459+M463+M469+M474+M477+M483+M500+M513+M519+M527+M541+M547+M554+M562+M566</f>
        <v>0</v>
      </c>
      <c r="N568" s="1454"/>
      <c r="O568" s="1330"/>
      <c r="P568" s="1454">
        <f>P453+P459+P463+P469+P474+P477+P483+P500+P513+P519+P527+P541+P547+P554+P562+P566</f>
        <v>0</v>
      </c>
      <c r="Q568" s="1454"/>
      <c r="R568" s="1330"/>
      <c r="S568" s="1454">
        <f ca="1">S453+S459+S463+S469+S474+S477+S483+S500+S513+S519+S527+S541+S547+S554+S562+S566</f>
        <v>1710421.9324324913</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4508</v>
      </c>
      <c r="C570" s="1429"/>
      <c r="D570" s="1456">
        <f ca="1">IF('Part VI-Revenues &amp; Expenses'!$O$67=0,0,G568/'Part VI-Revenues &amp; Expenses'!$O$67)</f>
        <v>189331.07062419632</v>
      </c>
      <c r="E570" s="1456"/>
      <c r="F570" s="1457" t="s">
        <v>2764</v>
      </c>
      <c r="G570" s="1456">
        <f ca="1">IF('Part I-Project Information'!$P$75=0,0,G568/'Part I-Project Information'!$P$75)</f>
        <v>169.53213871050519</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14193388</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2222</v>
      </c>
      <c r="C587" s="1330"/>
      <c r="D587" s="1330"/>
      <c r="E587" s="1330"/>
      <c r="F587" s="1330"/>
      <c r="G587" s="1330"/>
      <c r="H587" s="1330"/>
      <c r="I587" s="1330"/>
      <c r="J587" s="1462">
        <f>J585-J586</f>
        <v>14193388</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2055</v>
      </c>
      <c r="C589" s="1330"/>
      <c r="D589" s="1330"/>
      <c r="E589" s="1330"/>
      <c r="F589" s="1330"/>
      <c r="G589" s="1330"/>
      <c r="H589" s="1330"/>
      <c r="I589" s="1330"/>
      <c r="J589" s="1462">
        <f>J587*J588</f>
        <v>18451404.400000002</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2046</v>
      </c>
      <c r="C591" s="1330"/>
      <c r="D591" s="1330"/>
      <c r="E591" s="1330"/>
      <c r="F591" s="1330"/>
      <c r="G591" s="1330"/>
      <c r="H591" s="1330"/>
      <c r="I591" s="1330"/>
      <c r="J591" s="1462">
        <f>J589*J590</f>
        <v>18451404.400000002</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2543</v>
      </c>
      <c r="C593" s="1330"/>
      <c r="D593" s="1330"/>
      <c r="E593" s="1330"/>
      <c r="F593" s="1330"/>
      <c r="G593" s="1330"/>
      <c r="H593" s="1330"/>
      <c r="I593" s="1330"/>
      <c r="J593" s="1462">
        <f>J591*J592</f>
        <v>1660626.3960000002</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1660626.3960000002</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 ca="1">IF(J599&gt;J598,"TDC exceeds QAP PUCL!","")</f>
        <v/>
      </c>
      <c r="H598" s="1424"/>
      <c r="I598" s="1424"/>
      <c r="J598" s="1467">
        <f>'Part VIII-Threshold Criteria'!$P$63</f>
        <v>15915972</v>
      </c>
      <c r="K598" s="1467"/>
      <c r="L598" s="1467"/>
      <c r="M598" s="1468" t="s">
        <v>2747</v>
      </c>
      <c r="N598" s="1468"/>
      <c r="O598" s="1468"/>
      <c r="P598" s="1468"/>
      <c r="Q598" s="1468"/>
      <c r="R598" s="1468"/>
      <c r="S598" s="1468" t="s">
        <v>3672</v>
      </c>
      <c r="T598" s="1468"/>
      <c r="U598" s="1330"/>
      <c r="V598" s="1418"/>
      <c r="W598" s="1203"/>
      <c r="X598" s="1203"/>
    </row>
    <row r="599" spans="1:24">
      <c r="A599" s="1330"/>
      <c r="B599" s="1330" t="s">
        <v>4510</v>
      </c>
      <c r="C599" s="1330"/>
      <c r="D599" s="1330"/>
      <c r="E599" s="1330"/>
      <c r="F599" s="1330"/>
      <c r="G599" s="1330"/>
      <c r="H599" s="1330"/>
      <c r="I599" s="1330"/>
      <c r="J599" s="1462">
        <f ca="1">'Part IV-A-Uses of Funds'!J163</f>
        <v>15903809.932432491</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4150000</v>
      </c>
      <c r="K600" s="1462"/>
      <c r="L600" s="1462"/>
      <c r="M600" s="1468"/>
      <c r="N600" s="1468"/>
      <c r="O600" s="1468"/>
      <c r="P600" s="1468"/>
      <c r="Q600" s="1468"/>
      <c r="R600" s="1468"/>
      <c r="S600" s="1468"/>
      <c r="T600" s="1468"/>
      <c r="U600" s="1330"/>
      <c r="V600" s="1418"/>
      <c r="W600" s="1203"/>
      <c r="X600" s="1203"/>
    </row>
    <row r="601" spans="1:24" ht="13.5">
      <c r="A601" s="1330"/>
      <c r="B601" s="1330" t="s">
        <v>2233</v>
      </c>
      <c r="C601" s="1330"/>
      <c r="D601" s="1330"/>
      <c r="E601" s="1330"/>
      <c r="F601" s="1330"/>
      <c r="G601" s="1330"/>
      <c r="H601" s="1330"/>
      <c r="I601" s="1330"/>
      <c r="J601" s="1462">
        <f ca="1">+J599-J600</f>
        <v>11753809.932432491</v>
      </c>
      <c r="K601" s="1462"/>
      <c r="L601" s="1462"/>
      <c r="M601" s="1393" t="s">
        <v>2748</v>
      </c>
      <c r="N601" s="1393"/>
      <c r="O601" s="1469">
        <f>'Part III-Sources of Funds'!$I$42</f>
        <v>0</v>
      </c>
      <c r="P601" s="1469"/>
      <c r="Q601" s="1469"/>
      <c r="R601" s="1469"/>
      <c r="S601" s="1470" t="s">
        <v>1662</v>
      </c>
      <c r="T601" s="1820">
        <f>'Part IV-A-Uses of Funds'!T165</f>
        <v>0</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 ca="1">J601/10</f>
        <v>1175380.9932432491</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4511</v>
      </c>
      <c r="C604" s="1330"/>
      <c r="D604" s="1330"/>
      <c r="E604" s="1330"/>
      <c r="F604" s="1330"/>
      <c r="G604" s="1330"/>
      <c r="H604" s="1330"/>
      <c r="I604" s="1330"/>
      <c r="J604" s="1471">
        <f>N604+Q604</f>
        <v>1.24</v>
      </c>
      <c r="K604" s="1471"/>
      <c r="L604" s="1471"/>
      <c r="M604" s="1334" t="s">
        <v>1289</v>
      </c>
      <c r="N604" s="1821">
        <f>'Part IV-A-Uses of Funds'!N168</f>
        <v>0.8</v>
      </c>
      <c r="O604" s="1821">
        <f>'Part IV-A-Uses of Funds'!O168</f>
        <v>0</v>
      </c>
      <c r="P604" s="1334" t="s">
        <v>612</v>
      </c>
      <c r="Q604" s="1821">
        <f>'Part IV-A-Uses of Funds'!Q168</f>
        <v>0.44</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 ca="1">IF(J604=0,"",J603/J604)</f>
        <v>947887.89777681383</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4512</v>
      </c>
      <c r="C607" s="1330"/>
      <c r="D607" s="1330"/>
      <c r="E607" s="1330"/>
      <c r="F607" s="1330"/>
      <c r="G607" s="1330"/>
      <c r="H607" s="1330"/>
      <c r="I607" s="1330"/>
      <c r="J607" s="1397">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4513</v>
      </c>
      <c r="C609" s="1330"/>
      <c r="D609" s="1330"/>
      <c r="E609" s="1330"/>
      <c r="F609" s="1330"/>
      <c r="G609" s="1330"/>
      <c r="H609" s="1330"/>
      <c r="I609" s="1330"/>
      <c r="J609" s="1397">
        <f>'Part IV-A-Uses of Funds'!J173</f>
        <v>883000</v>
      </c>
      <c r="K609" s="1397">
        <f>'Part IV-A-Uses of Funds'!K173</f>
        <v>0</v>
      </c>
      <c r="L609" s="1397">
        <f>'Part IV-A-Uses of Funds'!L173</f>
        <v>0</v>
      </c>
      <c r="M609" s="1331" t="str">
        <f ca="1">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4514</v>
      </c>
      <c r="C611" s="1330"/>
      <c r="D611" s="1336"/>
      <c r="E611" s="1336"/>
      <c r="F611" s="1337"/>
      <c r="G611" s="1330"/>
      <c r="H611" s="1330"/>
      <c r="I611" s="1330"/>
      <c r="J611" s="1397">
        <f ca="1">IF(J609="",0,+MIN(J607,J609))</f>
        <v>883000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Hard Costs estimated by the construction company that has decades of experience building this type of mulitfamily housing.
Offsite Cost to extend the sewer is estimated by the contractor in the amount of $350,000 and is being excluded from basis.  The related contractors fees have been removed from basis as well.
Permit, Imapact, Water and Sewer Tap Fees were calculated based on current rates and verified by correspondence with the City of Kingsland Finance Director (See tab 1).  The meters referenced in the email are included in the construction contract.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75">
      <c r="A623" s="1474" t="str">
        <f>CONCATENATE("PART FOUR (b) -  OTHER COSTS","  -  ",'Part I-Project Information'!$O$6," - ",'Part I-Project Information'!$F$34,"  -  ",'Part I-Project Information'!$F$38,"  -  ",'Part I-Project Information'!$J$39,",  ","County")</f>
        <v>PART FOUR (b) -  OTHER COSTS  -  2019-078 - Abbington Sound  -  Kingsland  -  Camden,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3705</v>
      </c>
      <c r="B634" s="1483">
        <f>'Part IV-A-Uses of Funds'!$G$14</f>
        <v>0</v>
      </c>
      <c r="C634" s="1482" t="s">
        <v>1790</v>
      </c>
      <c r="D634" s="1483">
        <f>'Part IV-A-Uses of Funds'!$J$14+'Part IV-A-Uses of Funds'!$M$14+'Part IV-A-Uses of Funds'!$P$14</f>
        <v>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3705</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3705</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3705</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3705</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3705</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3705</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2019-078 Abbington Sound,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3801</v>
      </c>
    </row>
    <row r="716" spans="1:13" ht="51">
      <c r="A716" s="1324" t="s">
        <v>616</v>
      </c>
      <c r="B716" s="1324" t="s">
        <v>2228</v>
      </c>
      <c r="F716" s="638" t="s">
        <v>2520</v>
      </c>
      <c r="I716" s="1318" t="str">
        <f>'Part V-Utility Allowances'!I7</f>
        <v>Georgia DCA - South Region (Garden/Walkup)</v>
      </c>
      <c r="J716" s="1318"/>
      <c r="K716" s="1318"/>
      <c r="L716" s="1318"/>
      <c r="M716" s="1318"/>
    </row>
    <row r="717" spans="1:13">
      <c r="A717" s="1324"/>
      <c r="F717" s="638" t="s">
        <v>636</v>
      </c>
      <c r="I717" s="1826">
        <f>'Part V-Utility Allowances'!I8</f>
        <v>43220</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4</v>
      </c>
      <c r="K721" s="1320">
        <f>'Part V-Utility Allowances'!K12</f>
        <v>5</v>
      </c>
      <c r="L721" s="1320">
        <f>'Part V-Utility Allowances'!L12</f>
        <v>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13</v>
      </c>
      <c r="L724" s="1320">
        <f>'Part V-Utility Allowances'!L15</f>
        <v>16</v>
      </c>
      <c r="M724" s="1320">
        <f>'Part V-Utility Allowances'!M15</f>
        <v>0</v>
      </c>
    </row>
    <row r="725" spans="1:13">
      <c r="B725" s="638" t="s">
        <v>3798</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0</v>
      </c>
      <c r="J728" s="1320">
        <f>'Part V-Utility Allowances'!J19</f>
        <v>39</v>
      </c>
      <c r="K728" s="1320">
        <f>'Part V-Utility Allowances'!K19</f>
        <v>48</v>
      </c>
      <c r="L728" s="1320">
        <f>'Part V-Utility Allowances'!L19</f>
        <v>58</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94</v>
      </c>
      <c r="K730" s="1322">
        <f>IF(SUM(K721:K729)=0,0,IF(OR($D721="&lt;&lt;Select Fuel &gt;&gt;",$D722="&lt;&lt;Select Fuel &gt;&gt;",$D723="&lt;&lt;Select Fuel &gt;&gt;"),"Select Fuel",IF($E728="&lt;Select&gt;","Submeter?",SUM(K721:K729))))</f>
        <v>120</v>
      </c>
      <c r="L730" s="1322">
        <f>IF(SUM(L721:L729)=0,0,IF(OR($D721="&lt;&lt;Select Fuel &gt;&gt;",$D722="&lt;&lt;Select Fuel &gt;&gt;",$D723="&lt;&lt;Select Fuel &gt;&gt;"),"Select Fuel",IF($E728="&lt;Select&gt;","Submeter?",SUM(L721:L729))))</f>
        <v>147</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409.5">
      <c r="B750" s="1203" t="str">
        <f>'Part V-Utility Allowances'!B43</f>
        <v xml:space="preserve">Property will provide Range/Microwave and Refrigerator.  Utilty allowances confirmed most recent and in effect as of January 1, 2019 based on 2018 utility allowance map provided by Georgia Department of Community Affairs.  South Region DCA utility allowance was used (Garden/Walkup).  </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 customHeight="1">
      <c r="A758" s="1312" t="str">
        <f>CONCATENATE("PART SIX - PROJECTED REVENUES &amp; EXPENSES","  -  ",'Part I-Project Information'!$O$6," ",'Part I-Project Information'!$F$34,", ",'Part I-Project Information'!F802,", ",'Part I-Project Information'!J803," County")</f>
        <v>PART SIX - PROJECTED REVENUES &amp; EXPENSES  -  2019-078 Abbington Sound,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2019-078 Abbington Sound,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4" customHeight="1">
      <c r="A760" s="1312" t="s">
        <v>616</v>
      </c>
      <c r="B760" s="1312" t="s">
        <v>2367</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15" customHeight="1">
      <c r="A762" s="1494" t="str">
        <f>IF(A805&gt;0,"Finish Row!","")</f>
        <v/>
      </c>
      <c r="B762" s="1312" t="s">
        <v>1847</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15" customHeight="1">
      <c r="A763" s="1494"/>
      <c r="B763" s="1497" t="s">
        <v>1805</v>
      </c>
      <c r="E763" s="1312"/>
      <c r="F763" s="1320" t="str">
        <f>'Part VI-Revenues &amp; Expenses'!F6</f>
        <v>No</v>
      </c>
      <c r="G763" s="1495" t="s">
        <v>3662</v>
      </c>
      <c r="H763" s="1491" t="s">
        <v>3885</v>
      </c>
      <c r="I763" s="1495" t="s">
        <v>799</v>
      </c>
      <c r="J763" s="1495" t="s">
        <v>3665</v>
      </c>
      <c r="K763" s="1319"/>
      <c r="L763" s="1319"/>
      <c r="M763" s="1498" t="str">
        <f>'Part I-Project Information'!$O$40</f>
        <v>Camden Co.</v>
      </c>
      <c r="N763" s="1498"/>
      <c r="O763" s="1499">
        <f>VLOOKUP('Part I-Project Information'!$O$40,'DCA Underwriting Assumptions'!$C$158:$D$268,2)</f>
        <v>63800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3846</v>
      </c>
      <c r="J764" s="1495" t="s">
        <v>3666</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4522</v>
      </c>
      <c r="K765" s="1503" t="s">
        <v>145</v>
      </c>
      <c r="L765" s="1503"/>
      <c r="M765" s="1495" t="s">
        <v>2368</v>
      </c>
      <c r="N765" s="1495" t="s">
        <v>532</v>
      </c>
      <c r="O765" s="1495" t="s">
        <v>383</v>
      </c>
      <c r="P765" s="1491"/>
      <c r="Q765" s="1503" t="s">
        <v>3573</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3366</v>
      </c>
      <c r="FH765" s="1318" t="s">
        <v>3366</v>
      </c>
      <c r="FI765" s="1318" t="s">
        <v>3366</v>
      </c>
      <c r="FJ765" s="1318" t="s">
        <v>3366</v>
      </c>
      <c r="FK765" s="1318" t="s">
        <v>3366</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0</v>
      </c>
      <c r="C774" s="1829">
        <f>'Part VI-Revenues &amp; Expenses'!C17</f>
        <v>0</v>
      </c>
      <c r="D774" s="1830">
        <f>'Part VI-Revenues &amp; Expenses'!D17</f>
        <v>0</v>
      </c>
      <c r="E774" s="1831">
        <f>'Part VI-Revenues &amp; Expenses'!E17</f>
        <v>0</v>
      </c>
      <c r="F774" s="1831">
        <f>'Part VI-Revenues &amp; Expenses'!F17</f>
        <v>0</v>
      </c>
      <c r="G774" s="1831">
        <f>'Part VI-Revenues &amp; Expenses'!G17</f>
        <v>0</v>
      </c>
      <c r="H774" s="1831">
        <f>'Part VI-Revenues &amp; Expenses'!H17</f>
        <v>0</v>
      </c>
      <c r="I774" s="1831">
        <f>'Part VI-Revenues &amp; Expenses'!I17</f>
        <v>0</v>
      </c>
      <c r="J774" s="1832">
        <f>'Part VI-Revenues &amp; Expenses'!J17</f>
        <v>0</v>
      </c>
      <c r="K774" s="1505">
        <f t="shared" si="1"/>
        <v>0</v>
      </c>
      <c r="L774" s="1505">
        <f t="shared" si="2"/>
        <v>0</v>
      </c>
      <c r="M774" s="1816">
        <f>'Part VI-Revenues &amp; Expenses'!M17</f>
        <v>0</v>
      </c>
      <c r="N774" s="1816">
        <f>'Part VI-Revenues &amp; Expenses'!N17</f>
        <v>0</v>
      </c>
      <c r="O774" s="1816">
        <f>'Part VI-Revenues &amp; Expenses'!O17</f>
        <v>0</v>
      </c>
      <c r="P774" s="1316">
        <f>'Part VI-Revenues &amp; Expenses'!P17</f>
        <v>0</v>
      </c>
      <c r="Q774" s="1506" t="str">
        <f>'Part VI-Revenues &amp; Expenses'!Q17</f>
        <v/>
      </c>
      <c r="R774" s="1507" t="str">
        <f>'Part VI-Revenues &amp; Expenses'!R17</f>
        <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0</v>
      </c>
      <c r="C775" s="1829">
        <f>'Part VI-Revenues &amp; Expenses'!C18</f>
        <v>0</v>
      </c>
      <c r="D775" s="1830">
        <f>'Part VI-Revenues &amp; Expenses'!D18</f>
        <v>0</v>
      </c>
      <c r="E775" s="1831">
        <f>'Part VI-Revenues &amp; Expenses'!E18</f>
        <v>0</v>
      </c>
      <c r="F775" s="1831">
        <f>'Part VI-Revenues &amp; Expenses'!F18</f>
        <v>0</v>
      </c>
      <c r="G775" s="1831">
        <f>'Part VI-Revenues &amp; Expenses'!G18</f>
        <v>0</v>
      </c>
      <c r="H775" s="1831">
        <f>'Part VI-Revenues &amp; Expenses'!H18</f>
        <v>0</v>
      </c>
      <c r="I775" s="1831">
        <f>'Part VI-Revenues &amp; Expenses'!I18</f>
        <v>0</v>
      </c>
      <c r="J775" s="1832">
        <f>'Part VI-Revenues &amp; Expenses'!J18</f>
        <v>0</v>
      </c>
      <c r="K775" s="1505">
        <f t="shared" si="1"/>
        <v>0</v>
      </c>
      <c r="L775" s="1505">
        <f t="shared" si="2"/>
        <v>0</v>
      </c>
      <c r="M775" s="1816">
        <f>'Part VI-Revenues &amp; Expenses'!M18</f>
        <v>0</v>
      </c>
      <c r="N775" s="1816">
        <f>'Part VI-Revenues &amp; Expenses'!N18</f>
        <v>0</v>
      </c>
      <c r="O775" s="1816">
        <f>'Part VI-Revenues &amp; Expenses'!O18</f>
        <v>0</v>
      </c>
      <c r="P775" s="1316">
        <f>'Part VI-Revenues &amp; Expenses'!P18</f>
        <v>0</v>
      </c>
      <c r="Q775" s="1506" t="str">
        <f>'Part VI-Revenues &amp; Expenses'!Q18</f>
        <v/>
      </c>
      <c r="R775" s="1507" t="str">
        <f>'Part VI-Revenues &amp; Expenses'!R18</f>
        <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0</v>
      </c>
      <c r="C776" s="1829">
        <f>'Part VI-Revenues &amp; Expenses'!C19</f>
        <v>0</v>
      </c>
      <c r="D776" s="1830">
        <f>'Part VI-Revenues &amp; Expenses'!D19</f>
        <v>0</v>
      </c>
      <c r="E776" s="1831">
        <f>'Part VI-Revenues &amp; Expenses'!E19</f>
        <v>0</v>
      </c>
      <c r="F776" s="1831">
        <f>'Part VI-Revenues &amp; Expenses'!F19</f>
        <v>0</v>
      </c>
      <c r="G776" s="1831">
        <f>'Part VI-Revenues &amp; Expenses'!G19</f>
        <v>0</v>
      </c>
      <c r="H776" s="1831">
        <f>'Part VI-Revenues &amp; Expenses'!H19</f>
        <v>0</v>
      </c>
      <c r="I776" s="1831">
        <f>'Part VI-Revenues &amp; Expenses'!I19</f>
        <v>0</v>
      </c>
      <c r="J776" s="1832">
        <f>'Part VI-Revenues &amp; Expenses'!J19</f>
        <v>0</v>
      </c>
      <c r="K776" s="1505">
        <f t="shared" si="1"/>
        <v>0</v>
      </c>
      <c r="L776" s="1505">
        <f t="shared" si="2"/>
        <v>0</v>
      </c>
      <c r="M776" s="1816">
        <f>'Part VI-Revenues &amp; Expenses'!M19</f>
        <v>0</v>
      </c>
      <c r="N776" s="1816">
        <f>'Part VI-Revenues &amp; Expenses'!N19</f>
        <v>0</v>
      </c>
      <c r="O776" s="1816">
        <f>'Part VI-Revenues &amp; Expenses'!O19</f>
        <v>0</v>
      </c>
      <c r="P776" s="1316">
        <f>'Part VI-Revenues &amp; Expenses'!P19</f>
        <v>0</v>
      </c>
      <c r="Q776" s="1506" t="str">
        <f>'Part VI-Revenues &amp; Expenses'!Q19</f>
        <v/>
      </c>
      <c r="R776" s="1507" t="str">
        <f>'Part VI-Revenues &amp; Expenses'!R19</f>
        <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0</v>
      </c>
      <c r="C777" s="1829">
        <f>'Part VI-Revenues &amp; Expenses'!C20</f>
        <v>0</v>
      </c>
      <c r="D777" s="1830">
        <f>'Part VI-Revenues &amp; Expenses'!D20</f>
        <v>0</v>
      </c>
      <c r="E777" s="1831">
        <f>'Part VI-Revenues &amp; Expenses'!E20</f>
        <v>0</v>
      </c>
      <c r="F777" s="1831">
        <f>'Part VI-Revenues &amp; Expenses'!F20</f>
        <v>0</v>
      </c>
      <c r="G777" s="1831">
        <f>'Part VI-Revenues &amp; Expenses'!G20</f>
        <v>0</v>
      </c>
      <c r="H777" s="1831">
        <f>'Part VI-Revenues &amp; Expenses'!H20</f>
        <v>0</v>
      </c>
      <c r="I777" s="1831">
        <f>'Part VI-Revenues &amp; Expenses'!I20</f>
        <v>0</v>
      </c>
      <c r="J777" s="1832">
        <f>'Part VI-Revenues &amp; Expenses'!J20</f>
        <v>0</v>
      </c>
      <c r="K777" s="1505">
        <f t="shared" si="1"/>
        <v>0</v>
      </c>
      <c r="L777" s="1505">
        <f t="shared" si="2"/>
        <v>0</v>
      </c>
      <c r="M777" s="1816">
        <f>'Part VI-Revenues &amp; Expenses'!M20</f>
        <v>0</v>
      </c>
      <c r="N777" s="1816">
        <f>'Part VI-Revenues &amp; Expenses'!N20</f>
        <v>0</v>
      </c>
      <c r="O777" s="1816">
        <f>'Part VI-Revenues &amp; Expenses'!O20</f>
        <v>0</v>
      </c>
      <c r="P777" s="1316">
        <f>'Part VI-Revenues &amp; Expenses'!P20</f>
        <v>0</v>
      </c>
      <c r="Q777" s="1506" t="str">
        <f>'Part VI-Revenues &amp; Expenses'!Q20</f>
        <v/>
      </c>
      <c r="R777" s="1507" t="str">
        <f>'Part VI-Revenues &amp; Expenses'!R20</f>
        <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0</v>
      </c>
      <c r="C778" s="1829">
        <f>'Part VI-Revenues &amp; Expenses'!C21</f>
        <v>0</v>
      </c>
      <c r="D778" s="1830">
        <f>'Part VI-Revenues &amp; Expenses'!D21</f>
        <v>0</v>
      </c>
      <c r="E778" s="1831">
        <f>'Part VI-Revenues &amp; Expenses'!E21</f>
        <v>0</v>
      </c>
      <c r="F778" s="1831">
        <f>'Part VI-Revenues &amp; Expenses'!F21</f>
        <v>0</v>
      </c>
      <c r="G778" s="1831">
        <f>'Part VI-Revenues &amp; Expenses'!G21</f>
        <v>0</v>
      </c>
      <c r="H778" s="1831">
        <f>'Part VI-Revenues &amp; Expenses'!H21</f>
        <v>0</v>
      </c>
      <c r="I778" s="1831">
        <f>'Part VI-Revenues &amp; Expenses'!I21</f>
        <v>0</v>
      </c>
      <c r="J778" s="1832">
        <f>'Part VI-Revenues &amp; Expenses'!J21</f>
        <v>0</v>
      </c>
      <c r="K778" s="1505">
        <f t="shared" si="1"/>
        <v>0</v>
      </c>
      <c r="L778" s="1505">
        <f t="shared" si="2"/>
        <v>0</v>
      </c>
      <c r="M778" s="1816">
        <f>'Part VI-Revenues &amp; Expenses'!M21</f>
        <v>0</v>
      </c>
      <c r="N778" s="1816">
        <f>'Part VI-Revenues &amp; Expenses'!N21</f>
        <v>0</v>
      </c>
      <c r="O778" s="1816">
        <f>'Part VI-Revenues &amp; Expenses'!O21</f>
        <v>0</v>
      </c>
      <c r="P778" s="1316">
        <f>'Part VI-Revenues &amp; Expenses'!P21</f>
        <v>0</v>
      </c>
      <c r="Q778" s="1506" t="str">
        <f>'Part VI-Revenues &amp; Expenses'!Q21</f>
        <v/>
      </c>
      <c r="R778" s="1507" t="str">
        <f>'Part VI-Revenues &amp; Expenses'!R21</f>
        <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0</v>
      </c>
      <c r="C779" s="1829">
        <f>'Part VI-Revenues &amp; Expenses'!C22</f>
        <v>0</v>
      </c>
      <c r="D779" s="1830">
        <f>'Part VI-Revenues &amp; Expenses'!D22</f>
        <v>0</v>
      </c>
      <c r="E779" s="1831">
        <f>'Part VI-Revenues &amp; Expenses'!E22</f>
        <v>0</v>
      </c>
      <c r="F779" s="1831">
        <f>'Part VI-Revenues &amp; Expenses'!F22</f>
        <v>0</v>
      </c>
      <c r="G779" s="1831">
        <f>'Part VI-Revenues &amp; Expenses'!G22</f>
        <v>0</v>
      </c>
      <c r="H779" s="1831">
        <f>'Part VI-Revenues &amp; Expenses'!H22</f>
        <v>0</v>
      </c>
      <c r="I779" s="1831">
        <f>'Part VI-Revenues &amp; Expenses'!I22</f>
        <v>0</v>
      </c>
      <c r="J779" s="1832">
        <f>'Part VI-Revenues &amp; Expenses'!J22</f>
        <v>0</v>
      </c>
      <c r="K779" s="1505">
        <f t="shared" si="1"/>
        <v>0</v>
      </c>
      <c r="L779" s="1505">
        <f t="shared" si="2"/>
        <v>0</v>
      </c>
      <c r="M779" s="1816">
        <f>'Part VI-Revenues &amp; Expenses'!M22</f>
        <v>0</v>
      </c>
      <c r="N779" s="1816">
        <f>'Part VI-Revenues &amp; Expenses'!N22</f>
        <v>0</v>
      </c>
      <c r="O779" s="1816">
        <f>'Part VI-Revenues &amp; Expenses'!O22</f>
        <v>0</v>
      </c>
      <c r="P779" s="1316">
        <f>'Part VI-Revenues &amp; Expenses'!P22</f>
        <v>0</v>
      </c>
      <c r="Q779" s="1506" t="str">
        <f>'Part VI-Revenues &amp; Expenses'!Q22</f>
        <v/>
      </c>
      <c r="R779" s="1507" t="str">
        <f>'Part VI-Revenues &amp; Expenses'!R22</f>
        <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1</v>
      </c>
      <c r="D780" s="1830">
        <f>'Part VI-Revenues &amp; Expenses'!D23</f>
        <v>1</v>
      </c>
      <c r="E780" s="1831">
        <f>'Part VI-Revenues &amp; Expenses'!E23</f>
        <v>9</v>
      </c>
      <c r="F780" s="1831">
        <f>'Part VI-Revenues &amp; Expenses'!F23</f>
        <v>730</v>
      </c>
      <c r="G780" s="1831">
        <f>'Part VI-Revenues &amp; Expenses'!G23</f>
        <v>718</v>
      </c>
      <c r="H780" s="1831">
        <f>'Part VI-Revenues &amp; Expenses'!H23</f>
        <v>668</v>
      </c>
      <c r="I780" s="1831">
        <f>'Part VI-Revenues &amp; Expenses'!I23</f>
        <v>94</v>
      </c>
      <c r="J780" s="1832">
        <f>'Part VI-Revenues &amp; Expenses'!J23</f>
        <v>0</v>
      </c>
      <c r="K780" s="1505">
        <f t="shared" si="1"/>
        <v>574</v>
      </c>
      <c r="L780" s="1505">
        <f t="shared" si="2"/>
        <v>5166</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26720</v>
      </c>
      <c r="R780" s="1507">
        <f>'Part VI-Revenues &amp; Expenses'!R23</f>
        <v>0.55841170323928946</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9</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f t="shared" si="134"/>
        <v>9</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f t="shared" si="199"/>
        <v>9</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9</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50</v>
      </c>
      <c r="C781" s="1829">
        <f>'Part VI-Revenues &amp; Expenses'!C24</f>
        <v>1</v>
      </c>
      <c r="D781" s="1830">
        <f>'Part VI-Revenues &amp; Expenses'!D24</f>
        <v>1</v>
      </c>
      <c r="E781" s="1831">
        <f>'Part VI-Revenues &amp; Expenses'!E24</f>
        <v>3</v>
      </c>
      <c r="F781" s="1831">
        <f>'Part VI-Revenues &amp; Expenses'!F24</f>
        <v>730</v>
      </c>
      <c r="G781" s="1831">
        <f>'Part VI-Revenues &amp; Expenses'!G24</f>
        <v>598</v>
      </c>
      <c r="H781" s="1831">
        <f>'Part VI-Revenues &amp; Expenses'!H24</f>
        <v>548</v>
      </c>
      <c r="I781" s="1831">
        <f>'Part VI-Revenues &amp; Expenses'!I24</f>
        <v>94</v>
      </c>
      <c r="J781" s="1832">
        <f>'Part VI-Revenues &amp; Expenses'!J24</f>
        <v>0</v>
      </c>
      <c r="K781" s="1505">
        <f t="shared" si="1"/>
        <v>454</v>
      </c>
      <c r="L781" s="1505">
        <f t="shared" si="2"/>
        <v>1362</v>
      </c>
      <c r="M781" s="1816" t="str">
        <f>'Part VI-Revenues &amp; Expenses'!M24</f>
        <v>No</v>
      </c>
      <c r="N781" s="1816" t="str">
        <f>'Part VI-Revenues &amp; Expenses'!N24</f>
        <v>2-Story Walkup</v>
      </c>
      <c r="O781" s="1816" t="str">
        <f>'Part VI-Revenues &amp; Expenses'!O24</f>
        <v>New Construction</v>
      </c>
      <c r="P781" s="1316" t="str">
        <f>'Part VI-Revenues &amp; Expenses'!P24</f>
        <v>No</v>
      </c>
      <c r="Q781" s="1506">
        <f>'Part VI-Revenues &amp; Expenses'!Q24</f>
        <v>21920</v>
      </c>
      <c r="R781" s="1507">
        <f>'Part VI-Revenues &amp; Expenses'!R24</f>
        <v>0.45809822361546498</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f t="shared" si="89"/>
        <v>3</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f t="shared" si="134"/>
        <v>3</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f t="shared" si="199"/>
        <v>3</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3</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60</v>
      </c>
      <c r="C785" s="1829">
        <f>'Part VI-Revenues &amp; Expenses'!C28</f>
        <v>2</v>
      </c>
      <c r="D785" s="1830">
        <f>'Part VI-Revenues &amp; Expenses'!D28</f>
        <v>2</v>
      </c>
      <c r="E785" s="1831">
        <f>'Part VI-Revenues &amp; Expenses'!E28</f>
        <v>27</v>
      </c>
      <c r="F785" s="1831">
        <f>'Part VI-Revenues &amp; Expenses'!F28</f>
        <v>1056</v>
      </c>
      <c r="G785" s="1831">
        <f>'Part VI-Revenues &amp; Expenses'!G28</f>
        <v>862</v>
      </c>
      <c r="H785" s="1831">
        <f>'Part VI-Revenues &amp; Expenses'!H28</f>
        <v>787</v>
      </c>
      <c r="I785" s="1831">
        <f>'Part VI-Revenues &amp; Expenses'!I28</f>
        <v>120</v>
      </c>
      <c r="J785" s="1832">
        <f>'Part VI-Revenues &amp; Expenses'!J28</f>
        <v>0</v>
      </c>
      <c r="K785" s="1505">
        <f t="shared" si="1"/>
        <v>667</v>
      </c>
      <c r="L785" s="1505">
        <f t="shared" si="2"/>
        <v>18009</v>
      </c>
      <c r="M785" s="1816" t="str">
        <f>'Part VI-Revenues &amp; Expenses'!M28</f>
        <v>No</v>
      </c>
      <c r="N785" s="1816" t="str">
        <f>'Part VI-Revenues &amp; Expenses'!N28</f>
        <v>2-Story Walkup</v>
      </c>
      <c r="O785" s="1816" t="str">
        <f>'Part VI-Revenues &amp; Expenses'!O28</f>
        <v>New Construction</v>
      </c>
      <c r="P785" s="1316" t="str">
        <f>'Part VI-Revenues &amp; Expenses'!P28</f>
        <v>No</v>
      </c>
      <c r="Q785" s="1506">
        <f>'Part VI-Revenues &amp; Expenses'!Q28</f>
        <v>31480</v>
      </c>
      <c r="R785" s="1507">
        <f>'Part VI-Revenues &amp; Expenses'!R28</f>
        <v>0.54824103099965171</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f t="shared" si="90"/>
        <v>27</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f t="shared" si="135"/>
        <v>27</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f t="shared" si="200"/>
        <v>27</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27</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50</v>
      </c>
      <c r="C786" s="1829">
        <f>'Part VI-Revenues &amp; Expenses'!C29</f>
        <v>2</v>
      </c>
      <c r="D786" s="1830">
        <f>'Part VI-Revenues &amp; Expenses'!D29</f>
        <v>2</v>
      </c>
      <c r="E786" s="1831">
        <f>'Part VI-Revenues &amp; Expenses'!E29</f>
        <v>9</v>
      </c>
      <c r="F786" s="1831">
        <f>'Part VI-Revenues &amp; Expenses'!F29</f>
        <v>1056</v>
      </c>
      <c r="G786" s="1831">
        <f>'Part VI-Revenues &amp; Expenses'!G29</f>
        <v>718</v>
      </c>
      <c r="H786" s="1831">
        <f>'Part VI-Revenues &amp; Expenses'!H29</f>
        <v>643</v>
      </c>
      <c r="I786" s="1831">
        <f>'Part VI-Revenues &amp; Expenses'!I29</f>
        <v>120</v>
      </c>
      <c r="J786" s="1832">
        <f>'Part VI-Revenues &amp; Expenses'!J29</f>
        <v>0</v>
      </c>
      <c r="K786" s="1505">
        <f t="shared" si="1"/>
        <v>523</v>
      </c>
      <c r="L786" s="1505">
        <f t="shared" si="2"/>
        <v>4707</v>
      </c>
      <c r="M786" s="1816" t="str">
        <f>'Part VI-Revenues &amp; Expenses'!M29</f>
        <v>No</v>
      </c>
      <c r="N786" s="1816" t="str">
        <f>'Part VI-Revenues &amp; Expenses'!N29</f>
        <v>2-Story Walkup</v>
      </c>
      <c r="O786" s="1816" t="str">
        <f>'Part VI-Revenues &amp; Expenses'!O29</f>
        <v>New Construction</v>
      </c>
      <c r="P786" s="1316" t="str">
        <f>'Part VI-Revenues &amp; Expenses'!P29</f>
        <v>No</v>
      </c>
      <c r="Q786" s="1506">
        <f>'Part VI-Revenues &amp; Expenses'!Q29</f>
        <v>25720</v>
      </c>
      <c r="R786" s="1507">
        <f>'Part VI-Revenues &amp; Expenses'!R29</f>
        <v>0.44792755137582724</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f t="shared" si="90"/>
        <v>9</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f t="shared" si="135"/>
        <v>9</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f t="shared" si="200"/>
        <v>9</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9</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60</v>
      </c>
      <c r="C790" s="1829">
        <f>'Part VI-Revenues &amp; Expenses'!C33</f>
        <v>3</v>
      </c>
      <c r="D790" s="1830">
        <f>'Part VI-Revenues &amp; Expenses'!D33</f>
        <v>2</v>
      </c>
      <c r="E790" s="1831">
        <f>'Part VI-Revenues &amp; Expenses'!E33</f>
        <v>27</v>
      </c>
      <c r="F790" s="1831">
        <f>'Part VI-Revenues &amp; Expenses'!F33</f>
        <v>1209</v>
      </c>
      <c r="G790" s="1831">
        <f>'Part VI-Revenues &amp; Expenses'!G33</f>
        <v>996</v>
      </c>
      <c r="H790" s="1831">
        <f>'Part VI-Revenues &amp; Expenses'!H33</f>
        <v>946</v>
      </c>
      <c r="I790" s="1831">
        <f>'Part VI-Revenues &amp; Expenses'!I33</f>
        <v>147</v>
      </c>
      <c r="J790" s="1832">
        <f>'Part VI-Revenues &amp; Expenses'!J33</f>
        <v>0</v>
      </c>
      <c r="K790" s="1505">
        <f t="shared" si="1"/>
        <v>799</v>
      </c>
      <c r="L790" s="1505">
        <f t="shared" si="2"/>
        <v>21573</v>
      </c>
      <c r="M790" s="1816" t="str">
        <f>'Part VI-Revenues &amp; Expenses'!M33</f>
        <v>No</v>
      </c>
      <c r="N790" s="1816" t="str">
        <f>'Part VI-Revenues &amp; Expenses'!N33</f>
        <v>2-Story Walkup</v>
      </c>
      <c r="O790" s="1816" t="str">
        <f>'Part VI-Revenues &amp; Expenses'!O33</f>
        <v>New Construction</v>
      </c>
      <c r="P790" s="1316" t="str">
        <f>'Part VI-Revenues &amp; Expenses'!P33</f>
        <v>No</v>
      </c>
      <c r="Q790" s="1506">
        <f>'Part VI-Revenues &amp; Expenses'!Q33</f>
        <v>37840</v>
      </c>
      <c r="R790" s="1507">
        <f>'Part VI-Revenues &amp; Expenses'!R33</f>
        <v>0.57029177718832891</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f t="shared" si="91"/>
        <v>27</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f t="shared" si="136"/>
        <v>27</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f t="shared" si="201"/>
        <v>27</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27</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50</v>
      </c>
      <c r="C791" s="1829">
        <f>'Part VI-Revenues &amp; Expenses'!C34</f>
        <v>3</v>
      </c>
      <c r="D791" s="1830">
        <f>'Part VI-Revenues &amp; Expenses'!D34</f>
        <v>2</v>
      </c>
      <c r="E791" s="1831">
        <f>'Part VI-Revenues &amp; Expenses'!E34</f>
        <v>9</v>
      </c>
      <c r="F791" s="1831">
        <f>'Part VI-Revenues &amp; Expenses'!F34</f>
        <v>1209</v>
      </c>
      <c r="G791" s="1831">
        <f>'Part VI-Revenues &amp; Expenses'!G34</f>
        <v>830</v>
      </c>
      <c r="H791" s="1831">
        <f>'Part VI-Revenues &amp; Expenses'!H34</f>
        <v>780</v>
      </c>
      <c r="I791" s="1831">
        <f>'Part VI-Revenues &amp; Expenses'!I34</f>
        <v>147</v>
      </c>
      <c r="J791" s="1832">
        <f>'Part VI-Revenues &amp; Expenses'!J34</f>
        <v>0</v>
      </c>
      <c r="K791" s="1505">
        <f t="shared" si="1"/>
        <v>633</v>
      </c>
      <c r="L791" s="1505">
        <f t="shared" si="2"/>
        <v>5697</v>
      </c>
      <c r="M791" s="1816" t="str">
        <f>'Part VI-Revenues &amp; Expenses'!M34</f>
        <v>No</v>
      </c>
      <c r="N791" s="1816" t="str">
        <f>'Part VI-Revenues &amp; Expenses'!N34</f>
        <v>2-Story Walkup</v>
      </c>
      <c r="O791" s="1816" t="str">
        <f>'Part VI-Revenues &amp; Expenses'!O34</f>
        <v>New Construction</v>
      </c>
      <c r="P791" s="1316" t="str">
        <f>'Part VI-Revenues &amp; Expenses'!P34</f>
        <v>No</v>
      </c>
      <c r="Q791" s="1506">
        <f>'Part VI-Revenues &amp; Expenses'!Q34</f>
        <v>31200</v>
      </c>
      <c r="R791" s="1507">
        <f>'Part VI-Revenues &amp; Expenses'!R34</f>
        <v>0.47021943573667713</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f t="shared" si="91"/>
        <v>9</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f t="shared" si="136"/>
        <v>9</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f t="shared" si="201"/>
        <v>9</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9</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84</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90300</v>
      </c>
      <c r="G805" s="458"/>
      <c r="H805" s="458"/>
      <c r="I805" s="458"/>
      <c r="J805" s="458"/>
      <c r="K805" s="1511" t="s">
        <v>1302</v>
      </c>
      <c r="L805" s="1509">
        <f>SUM(L767:L804)</f>
        <v>56514</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12</v>
      </c>
      <c r="DF805" s="1323">
        <f t="shared" si="259"/>
        <v>36</v>
      </c>
      <c r="DG805" s="1323">
        <f t="shared" si="259"/>
        <v>36</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12</v>
      </c>
      <c r="EY805" s="1323">
        <f t="shared" si="260"/>
        <v>36</v>
      </c>
      <c r="EZ805" s="1323">
        <f t="shared" si="260"/>
        <v>36</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12</v>
      </c>
      <c r="HL805" s="1323">
        <f t="shared" si="261"/>
        <v>36</v>
      </c>
      <c r="HM805" s="1323">
        <f t="shared" si="261"/>
        <v>36</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12</v>
      </c>
      <c r="JJ805" s="1323">
        <f t="shared" si="261"/>
        <v>36</v>
      </c>
      <c r="JK805" s="1323">
        <f t="shared" si="261"/>
        <v>36</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678168</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6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65"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12</v>
      </c>
      <c r="L829" s="1516">
        <f>DF805</f>
        <v>36</v>
      </c>
      <c r="M829" s="1516">
        <f>DG805</f>
        <v>36</v>
      </c>
      <c r="N829" s="1516">
        <f>DH805</f>
        <v>0</v>
      </c>
      <c r="O829" s="1516">
        <f t="shared" ref="O829:O839" si="263">SUM(J829:N829)</f>
        <v>84</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12</v>
      </c>
      <c r="L831" s="1516">
        <f>SUM(L829:L830)+DP805</f>
        <v>36</v>
      </c>
      <c r="M831" s="1516">
        <f>SUM(M829:M830)+DQ805</f>
        <v>36</v>
      </c>
      <c r="N831" s="1516">
        <f>SUM(N829:N830)+DR805</f>
        <v>0</v>
      </c>
      <c r="O831" s="1516">
        <f t="shared" si="263"/>
        <v>84</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12</v>
      </c>
      <c r="L843" s="1516">
        <f t="shared" si="264"/>
        <v>36</v>
      </c>
      <c r="M843" s="1516">
        <f t="shared" si="264"/>
        <v>36</v>
      </c>
      <c r="N843" s="1516">
        <f t="shared" si="264"/>
        <v>0</v>
      </c>
      <c r="O843" s="1516">
        <f t="shared" si="264"/>
        <v>84</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12</v>
      </c>
      <c r="L848" s="1516">
        <f>HL805</f>
        <v>36</v>
      </c>
      <c r="M848" s="1516">
        <f>HM805</f>
        <v>36</v>
      </c>
      <c r="N848" s="1516">
        <f>HN805</f>
        <v>0</v>
      </c>
      <c r="O848" s="1516">
        <f t="shared" si="265"/>
        <v>84</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12</v>
      </c>
      <c r="L865" s="1516">
        <f t="shared" si="269"/>
        <v>36</v>
      </c>
      <c r="M865" s="1516">
        <f t="shared" si="269"/>
        <v>36</v>
      </c>
      <c r="N865" s="1516">
        <f t="shared" si="269"/>
        <v>0</v>
      </c>
      <c r="O865" s="1516">
        <f t="shared" si="267"/>
        <v>84</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 customHeight="1">
      <c r="A877" s="1324" t="s">
        <v>742</v>
      </c>
      <c r="B877" s="1324" t="s">
        <v>4527</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13563.36</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1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4" customHeight="1">
      <c r="B921" s="1314" t="s">
        <v>2197</v>
      </c>
      <c r="F921" s="1530">
        <f>'Part VI-Revenues &amp; Expenses'!F215</f>
        <v>48709</v>
      </c>
      <c r="G921" s="1530">
        <f>'Part VI-Revenues &amp; Expenses'!G215</f>
        <v>0</v>
      </c>
      <c r="I921" s="1314" t="s">
        <v>1378</v>
      </c>
      <c r="K921" s="1530">
        <f>'Part VI-Revenues &amp; Expenses'!K215</f>
        <v>0</v>
      </c>
      <c r="L921" s="1530">
        <f>'Part VI-Revenues &amp; Expenses'!L215</f>
        <v>0</v>
      </c>
      <c r="N921" s="1314" t="s">
        <v>929</v>
      </c>
      <c r="P921" s="1545">
        <f>'Part VI-Revenues &amp; Expenses'!P215</f>
        <v>71243</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4" customHeight="1">
      <c r="B922" s="1314" t="s">
        <v>1367</v>
      </c>
      <c r="F922" s="1530">
        <f>'Part VI-Revenues &amp; Expenses'!F216</f>
        <v>50789</v>
      </c>
      <c r="G922" s="1530">
        <f>'Part VI-Revenues &amp; Expenses'!G216</f>
        <v>0</v>
      </c>
      <c r="I922" s="1314" t="s">
        <v>1379</v>
      </c>
      <c r="K922" s="1530">
        <f>'Part VI-Revenues &amp; Expenses'!K216</f>
        <v>0</v>
      </c>
      <c r="L922" s="1530">
        <f>'Part VI-Revenues &amp; Expenses'!L216</f>
        <v>0</v>
      </c>
      <c r="N922" s="1314" t="s">
        <v>147</v>
      </c>
      <c r="P922" s="1545">
        <f>'Part VI-Revenues &amp; Expenses'!P216</f>
        <v>21600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4" customHeight="1">
      <c r="B923" s="1314" t="s">
        <v>1239</v>
      </c>
      <c r="F923" s="1530">
        <f>'Part VI-Revenues &amp; Expenses'!F217</f>
        <v>0</v>
      </c>
      <c r="G923" s="1530">
        <f>'Part VI-Revenues &amp; Expenses'!G217</f>
        <v>0</v>
      </c>
      <c r="J923" s="1544" t="s">
        <v>191</v>
      </c>
      <c r="K923" s="1530">
        <f>SUM(K921:L922)</f>
        <v>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4"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92843</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4" customHeight="1">
      <c r="C925" s="1544" t="s">
        <v>191</v>
      </c>
      <c r="F925" s="1530">
        <f>SUM(F921:G924)</f>
        <v>99498</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15" customHeight="1">
      <c r="B927" s="1312" t="s">
        <v>1291</v>
      </c>
      <c r="D927" s="1546"/>
      <c r="I927" s="1312" t="s">
        <v>1292</v>
      </c>
      <c r="N927" s="1312" t="s">
        <v>1380</v>
      </c>
      <c r="P927" s="1547">
        <f>IF(OR('Part VII-Pro Forma'!$B$21 = "Choose Mgt Fee",'Part VII-Pro Forma'!$B$21 = "Choose One!"), 0,- 'Part VII-Pro Forma'!$B$21)</f>
        <v>32166</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4" customHeight="1">
      <c r="B928" s="1314" t="s">
        <v>1372</v>
      </c>
      <c r="D928" s="1546"/>
      <c r="F928" s="1530">
        <f>'Part VI-Revenues &amp; Expenses'!F222</f>
        <v>6400</v>
      </c>
      <c r="G928" s="1530">
        <f>'Part VI-Revenues &amp; Expenses'!G222</f>
        <v>0</v>
      </c>
      <c r="I928" s="1314" t="s">
        <v>1602</v>
      </c>
      <c r="K928" s="1545">
        <f>'Part VI-Revenues &amp; Expenses'!K222</f>
        <v>2000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4" customHeight="1">
      <c r="B929" s="1314" t="s">
        <v>1373</v>
      </c>
      <c r="D929" s="1546"/>
      <c r="F929" s="1530">
        <f>'Part VI-Revenues &amp; Expenses'!F223</f>
        <v>5600</v>
      </c>
      <c r="G929" s="1530">
        <f>'Part VI-Revenues &amp; Expenses'!G223</f>
        <v>0</v>
      </c>
      <c r="I929" s="1314" t="s">
        <v>2050</v>
      </c>
      <c r="K929" s="1545">
        <f>'Part VI-Revenues &amp; Expenses'!K223</f>
        <v>8000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4" customHeight="1">
      <c r="B930" s="1314" t="s">
        <v>1374</v>
      </c>
      <c r="D930" s="1546"/>
      <c r="F930" s="1530">
        <f>'Part VI-Revenues &amp; Expenses'!F224</f>
        <v>2500</v>
      </c>
      <c r="G930" s="1530">
        <f>'Part VI-Revenues &amp; Expenses'!G224</f>
        <v>0</v>
      </c>
      <c r="I930" s="1314" t="s">
        <v>1603</v>
      </c>
      <c r="K930" s="1545">
        <f>'Part VI-Revenues &amp; Expenses'!K224</f>
        <v>2500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4" customHeight="1">
      <c r="B931" s="1314" t="s">
        <v>2342</v>
      </c>
      <c r="D931" s="1546"/>
      <c r="F931" s="1530">
        <f>'Part VI-Revenues &amp; Expenses'!F225</f>
        <v>0</v>
      </c>
      <c r="G931" s="1530">
        <f>'Part VI-Revenues &amp; Expenses'!G225</f>
        <v>0</v>
      </c>
      <c r="I931" s="1837">
        <f>'Part VI-Revenues &amp; Expenses'!I225</f>
        <v>0</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4" customHeight="1">
      <c r="B932" s="1314" t="s">
        <v>1600</v>
      </c>
      <c r="D932" s="1546"/>
      <c r="F932" s="1530">
        <f>'Part VI-Revenues &amp; Expenses'!F226</f>
        <v>0</v>
      </c>
      <c r="G932" s="1530">
        <f>'Part VI-Revenues &amp; Expenses'!G226</f>
        <v>0</v>
      </c>
      <c r="I932" s="1312"/>
      <c r="J932" s="1544" t="s">
        <v>191</v>
      </c>
      <c r="K932" s="1545">
        <f>SUM(K928:K931)</f>
        <v>12500</v>
      </c>
      <c r="L932" s="1545"/>
      <c r="M932" s="1551" t="str">
        <f>IF(P934="","",IF(P932&lt;P934, "WARNING! OE below required minimum.",""))</f>
        <v/>
      </c>
      <c r="N932" s="1312" t="s">
        <v>2187</v>
      </c>
      <c r="P932" s="1545">
        <f>F925+F934+F945+K923+K932+K942+P924+P927</f>
        <v>334107</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4"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4" customHeight="1">
      <c r="C934" s="1544" t="s">
        <v>191</v>
      </c>
      <c r="F934" s="1530">
        <f>SUM(F928:G933)</f>
        <v>14500</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3481</v>
      </c>
      <c r="O936" s="1312"/>
      <c r="P936" s="1838">
        <f>'Part VI-Revenues &amp; Expenses'!P230</f>
        <v>21000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4" customHeight="1">
      <c r="B937" s="1314" t="s">
        <v>1604</v>
      </c>
      <c r="D937" s="1546"/>
      <c r="F937" s="1530">
        <f>'Part VI-Revenues &amp; Expenses'!F231</f>
        <v>10000</v>
      </c>
      <c r="G937" s="1530">
        <f>'Part VI-Revenues &amp; Expenses'!G231</f>
        <v>0</v>
      </c>
      <c r="I937" s="1314" t="s">
        <v>1368</v>
      </c>
      <c r="J937" s="1419" t="e">
        <f>K937/12/O819</f>
        <v>#DIV/0!</v>
      </c>
      <c r="K937" s="1545">
        <f>'Part VI-Revenues &amp; Expenses'!K231</f>
        <v>13000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4" customHeight="1">
      <c r="B938" s="1314" t="s">
        <v>1605</v>
      </c>
      <c r="D938" s="1546"/>
      <c r="F938" s="1530">
        <f>'Part VI-Revenues &amp; Expenses'!F232</f>
        <v>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4" customHeight="1">
      <c r="B939" s="1314" t="s">
        <v>1606</v>
      </c>
      <c r="D939" s="1546"/>
      <c r="F939" s="1530">
        <f>'Part VI-Revenues &amp; Expenses'!F233</f>
        <v>18500</v>
      </c>
      <c r="G939" s="1530">
        <f>'Part VI-Revenues &amp; Expenses'!G233</f>
        <v>0</v>
      </c>
      <c r="I939" s="1314" t="s">
        <v>2353</v>
      </c>
      <c r="J939" s="1419" t="e">
        <f>K939/12/O819</f>
        <v>#DIV/0!</v>
      </c>
      <c r="K939" s="1545">
        <f>'Part VI-Revenues &amp; Expenses'!K233</f>
        <v>15000</v>
      </c>
      <c r="L939" s="1545">
        <f>'Part VI-Revenues &amp; Expenses'!L233</f>
        <v>0</v>
      </c>
      <c r="M939" s="1551"/>
      <c r="N939" s="1554" t="s">
        <v>2715</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4" customHeight="1">
      <c r="B940" s="1314" t="s">
        <v>1003</v>
      </c>
      <c r="D940" s="1546"/>
      <c r="F940" s="1530">
        <f>'Part VI-Revenues &amp; Expenses'!F234</f>
        <v>4200</v>
      </c>
      <c r="G940" s="1530">
        <f>'Part VI-Revenues &amp; Expenses'!G234</f>
        <v>0</v>
      </c>
      <c r="I940" s="1314" t="s">
        <v>1371</v>
      </c>
      <c r="K940" s="1545">
        <f>'Part VI-Revenues &amp; Expenses'!K234</f>
        <v>7200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4" customHeight="1">
      <c r="B941" s="1314" t="s">
        <v>1004</v>
      </c>
      <c r="D941" s="1546"/>
      <c r="F941" s="1530">
        <f>'Part VI-Revenues &amp; Expenses'!F235</f>
        <v>7500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4" customHeight="1">
      <c r="B942" s="1314" t="s">
        <v>1005</v>
      </c>
      <c r="D942" s="1546"/>
      <c r="F942" s="1530">
        <f>'Part VI-Revenues &amp; Expenses'!F236</f>
        <v>0</v>
      </c>
      <c r="G942" s="1530">
        <f>'Part VI-Revenues &amp; Expenses'!G236</f>
        <v>0</v>
      </c>
      <c r="J942" s="1544" t="s">
        <v>191</v>
      </c>
      <c r="K942" s="1545">
        <f>SUM(K937:K941)</f>
        <v>35200</v>
      </c>
      <c r="L942" s="1545"/>
      <c r="M942" s="1551"/>
      <c r="N942" s="1335" t="s">
        <v>3429</v>
      </c>
      <c r="O942" s="1557" t="str">
        <f>CONCATENATE(SUM(JH805:JL805)," units x $",'DCA Underwriting Assumptions'!$Q$65," =")</f>
        <v>84 units x $250 =</v>
      </c>
      <c r="P942" s="1557">
        <f>SUM(JH805:JL805)*'DCA Underwriting Assumptions'!$Q$65</f>
        <v>21000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4" customHeight="1">
      <c r="B943" s="1314" t="s">
        <v>868</v>
      </c>
      <c r="D943" s="1546"/>
      <c r="F943" s="1530">
        <f>'Part VI-Revenues &amp; Expenses'!F237</f>
        <v>7200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4"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4" customHeight="1">
      <c r="B945" s="1312"/>
      <c r="C945" s="1544" t="s">
        <v>191</v>
      </c>
      <c r="F945" s="1530">
        <f>SUM(F937:G944)</f>
        <v>47400</v>
      </c>
      <c r="G945" s="1530"/>
      <c r="J945" s="1516"/>
      <c r="N945" s="1511" t="s">
        <v>2718</v>
      </c>
      <c r="O945" s="1506">
        <f>SUM(JC805:JG805)+SUM(JH805:JL805)+SUM(JM805:JQ805)+O841</f>
        <v>84</v>
      </c>
      <c r="P945" s="1558">
        <f>SUM(P941:P944)</f>
        <v>21000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4" customHeight="1">
      <c r="B947" s="1312"/>
      <c r="C947" s="1544"/>
      <c r="F947" s="1516"/>
      <c r="G947" s="1516"/>
      <c r="J947" s="1516"/>
      <c r="N947" s="1312" t="s">
        <v>2188</v>
      </c>
      <c r="P947" s="1545">
        <f>P932+P936</f>
        <v>355107</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2018 rents for the Camden County limits. The utility allowances and rents utilized are the ones effective as of January 1, 2019, per the QAP.  Applicant is pursuing deeper targeting through 40% at 60% AMI minimum set aside to achieve an overall area median income targeting less than 58% AMI.  Actual AMI averages to 57.5% AMI.</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2019-078 Abbington Sound,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4531</v>
      </c>
    </row>
    <row r="961" spans="1:19" ht="12.75" customHeight="1">
      <c r="A961" s="638" t="s">
        <v>2189</v>
      </c>
      <c r="B961" s="1559">
        <v>0.02</v>
      </c>
      <c r="D961" s="1521" t="s">
        <v>4532</v>
      </c>
      <c r="E961" s="1521"/>
      <c r="F961" s="1521"/>
      <c r="G961" s="1839">
        <f>'Part VII-Pro Forma'!G5</f>
        <v>5000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0.05</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678168</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3111" t="s">
        <v>4183</v>
      </c>
    </row>
    <row r="971" spans="1:19">
      <c r="A971" s="638" t="s">
        <v>1016</v>
      </c>
      <c r="B971" s="1564">
        <f>MIN(B970*B965,'Part VI-Revenues &amp; Expenses'!$H$173)</f>
        <v>13563.36</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3111"/>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3111" t="s">
        <v>3879</v>
      </c>
      <c r="R972" s="3111" t="s">
        <v>4182</v>
      </c>
      <c r="S972" s="3111"/>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3111"/>
      <c r="R973" s="3111"/>
      <c r="S973" s="3111"/>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-301941</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53713.73333333333</v>
      </c>
      <c r="S975" s="454">
        <f>B986+R975</f>
        <v>100175.99513501726</v>
      </c>
    </row>
    <row r="976" spans="1:19">
      <c r="A976" s="638" t="s">
        <v>1115</v>
      </c>
      <c r="B976" s="1564">
        <f>IF(AND('Part VII-Pro Forma'!$G$8="Yes",'Part VII-Pro Forma'!$G$9="Yes"),"Choose One!",IF('Part VII-Pro Forma'!$G$8="Yes",ROUND((-$K$8*(1+'Part VII-Pro Forma'!$B$6)^('Part VII-Pro Forma'!B977-1)),),IF('Part VII-Pro Forma'!$G$9="Yes",ROUND((-(SUM(B970:B973)*'Part VII-Pro Forma'!$K$9)),),"Choose mgt fee")))</f>
        <v>-34587</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107427.46666666666</v>
      </c>
      <c r="S976" s="454">
        <f>SUM(B986:C986)+R976</f>
        <v>-133851.36972996546</v>
      </c>
    </row>
    <row r="977" spans="1:19">
      <c r="A977" s="638" t="s">
        <v>1202</v>
      </c>
      <c r="B977" s="1564">
        <f>-('Part VI-Revenues &amp; Expenses'!$P$230)</f>
        <v>-21000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161141.19999999998</v>
      </c>
      <c r="S977" s="454">
        <f>SUM(B986:D986)+R977</f>
        <v>-367878.73459494824</v>
      </c>
    </row>
    <row r="978" spans="1:19">
      <c r="A978" s="638" t="s">
        <v>1203</v>
      </c>
      <c r="B978" s="1564">
        <f t="shared" ref="B978:K978" si="284">SUM(B970:B977)</f>
        <v>334203.36</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214854.93333333332</v>
      </c>
      <c r="S978" s="454">
        <f>SUM(B986:E986)+R978</f>
        <v>-601906.09945993091</v>
      </c>
    </row>
    <row r="979" spans="1:19">
      <c r="A979" s="638" t="s">
        <v>1591</v>
      </c>
      <c r="B979" s="1564">
        <f>'Part VII-Pro Forma'!B25</f>
        <v>-229027.36486498272</v>
      </c>
      <c r="C979" s="1564">
        <f>'Part VII-Pro Forma'!C25</f>
        <v>-229027.36486498272</v>
      </c>
      <c r="D979" s="1564">
        <f>'Part VII-Pro Forma'!D25</f>
        <v>-229027.36486498272</v>
      </c>
      <c r="E979" s="1564">
        <f>'Part VII-Pro Forma'!E25</f>
        <v>-229027.36486498272</v>
      </c>
      <c r="F979" s="1564">
        <f>'Part VII-Pro Forma'!F25</f>
        <v>-229027.36486498272</v>
      </c>
      <c r="G979" s="1564">
        <f>'Part VII-Pro Forma'!G25</f>
        <v>-229027.36486498272</v>
      </c>
      <c r="H979" s="1564">
        <f>'Part VII-Pro Forma'!H25</f>
        <v>-229027.36486498272</v>
      </c>
      <c r="I979" s="1564">
        <f>'Part VII-Pro Forma'!I25</f>
        <v>-229027.36486498272</v>
      </c>
      <c r="J979" s="1564">
        <f>'Part VII-Pro Forma'!J25</f>
        <v>-229027.36486498272</v>
      </c>
      <c r="K979" s="1564">
        <f>'Part VII-Pro Forma'!K25</f>
        <v>-229027.36486498272</v>
      </c>
      <c r="Q979" s="453">
        <v>5</v>
      </c>
      <c r="R979" s="454">
        <f>-SUM(B985:F985)</f>
        <v>268568.66666666663</v>
      </c>
      <c r="S979" s="454">
        <f>SUM(B986:F986)+R979</f>
        <v>-835933.4643249138</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322282.39999999997</v>
      </c>
      <c r="S980" s="454">
        <f>SUM(B986:G986)+R980</f>
        <v>-1069960.8291898966</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375996.1333333333</v>
      </c>
      <c r="S981" s="454">
        <f>SUM(B986:H986)+R981</f>
        <v>-1303988.1940548792</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429709.86666666664</v>
      </c>
      <c r="S982" s="454">
        <f>SUM(B986:I986)+R982</f>
        <v>-1538015.5589198619</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483423.6</v>
      </c>
      <c r="S983" s="454">
        <f>SUM(B986:J986)+R983</f>
        <v>-1772042.9237848446</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537137.33333333326</v>
      </c>
      <c r="S984" s="454">
        <f>SUM(B986:K986)+R984</f>
        <v>-2006070.2886498275</v>
      </c>
    </row>
    <row r="985" spans="1:19">
      <c r="A985" s="638" t="s">
        <v>4080</v>
      </c>
      <c r="B985" s="1564">
        <f>'Part VII-Pro Forma'!B31</f>
        <v>-53713.73333333333</v>
      </c>
      <c r="C985" s="1564">
        <f>'Part VII-Pro Forma'!C31</f>
        <v>-53713.73333333333</v>
      </c>
      <c r="D985" s="1564">
        <f>'Part VII-Pro Forma'!D31</f>
        <v>-53713.73333333333</v>
      </c>
      <c r="E985" s="1564">
        <f>'Part VII-Pro Forma'!E31</f>
        <v>-53713.73333333333</v>
      </c>
      <c r="F985" s="1564">
        <f>'Part VII-Pro Forma'!F31</f>
        <v>-53713.73333333333</v>
      </c>
      <c r="G985" s="1564">
        <f>'Part VII-Pro Forma'!G31</f>
        <v>-53713.73333333333</v>
      </c>
      <c r="H985" s="1564">
        <f>'Part VII-Pro Forma'!H31</f>
        <v>-53713.73333333333</v>
      </c>
      <c r="I985" s="1564">
        <f>'Part VII-Pro Forma'!I31</f>
        <v>-53713.73333333333</v>
      </c>
      <c r="J985" s="1564">
        <f>'Part VII-Pro Forma'!J31</f>
        <v>-53713.73333333333</v>
      </c>
      <c r="K985" s="1564">
        <f>'Part VII-Pro Forma'!K31</f>
        <v>-53713.73333333333</v>
      </c>
      <c r="Q985" s="453">
        <v>11</v>
      </c>
      <c r="R985" s="454">
        <f>-SUM(B985:K985)-B1015</f>
        <v>590851.06666666653</v>
      </c>
      <c r="S985" s="454">
        <f>SUM(B986:K986)+B1016+R985</f>
        <v>-2240097.6535148104</v>
      </c>
    </row>
    <row r="986" spans="1:19">
      <c r="A986" s="638" t="s">
        <v>1164</v>
      </c>
      <c r="B986" s="1564">
        <f>SUM(B978:B985)</f>
        <v>46462.261801683933</v>
      </c>
      <c r="C986" s="1564">
        <f t="shared" ref="C986:K986" si="285">SUM(C978:C985)</f>
        <v>-287741.09819831606</v>
      </c>
      <c r="D986" s="1564">
        <f t="shared" si="285"/>
        <v>-287741.09819831606</v>
      </c>
      <c r="E986" s="1564">
        <f t="shared" si="285"/>
        <v>-287741.09819831606</v>
      </c>
      <c r="F986" s="1564">
        <f t="shared" si="285"/>
        <v>-287741.09819831606</v>
      </c>
      <c r="G986" s="1564">
        <f t="shared" si="285"/>
        <v>-287741.09819831606</v>
      </c>
      <c r="H986" s="1564">
        <f t="shared" si="285"/>
        <v>-287741.09819831606</v>
      </c>
      <c r="I986" s="1564">
        <f t="shared" si="285"/>
        <v>-287741.09819831606</v>
      </c>
      <c r="J986" s="1564">
        <f t="shared" si="285"/>
        <v>-287741.09819831606</v>
      </c>
      <c r="K986" s="1564">
        <f t="shared" si="285"/>
        <v>-287741.09819831606</v>
      </c>
      <c r="Q986" s="453">
        <v>12</v>
      </c>
      <c r="R986" s="454">
        <f>-SUM(B985:K985) - SUM(B1015:C1015)</f>
        <v>644564.79999999993</v>
      </c>
      <c r="S986" s="454">
        <f>SUM(B986:K986) + SUM(B60:C60)+R986</f>
        <v>-1898642.8219831609</v>
      </c>
    </row>
    <row r="987" spans="1:19">
      <c r="A987" s="638" t="str">
        <f>IF('Part III-Sources of Funds'!$E$38 = "Neither", "", "DCR Mortgage A")</f>
        <v>DCR Mortgage A</v>
      </c>
      <c r="B987" s="1565">
        <f t="shared" ref="B987:K987" si="286">IF(B979=0,"",-B978/B979)</f>
        <v>1.4592289449648128</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698278.53333333321</v>
      </c>
      <c r="S987" s="454">
        <f>SUM(B986:K986) + SUM(B1016:D1016)+R987</f>
        <v>-2708152.3832447757</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751992.2666666666</v>
      </c>
      <c r="S988" s="454">
        <f>SUM(B986:K986) + SUM(B1016:E1016)+R988</f>
        <v>-2942179.7481097584</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805705.99999999988</v>
      </c>
      <c r="S989" s="454">
        <f>SUM(B986:K986) + SUM(B1016:F1016)+R989</f>
        <v>-3176207.112974741</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805705.99999999988</v>
      </c>
      <c r="S990" s="454">
        <f>SUM(B986:K986) + SUM(B1016:G1016)+R990</f>
        <v>-3410234.4778397232</v>
      </c>
    </row>
    <row r="991" spans="1:19">
      <c r="A991" s="638" t="s">
        <v>3710</v>
      </c>
      <c r="B991" s="1565">
        <f t="shared" ref="B991:K991" si="290">IF(AND(B979=0,B980=0,B981=0,B982=0),"",-B978/(B979+B980+B981+B982))</f>
        <v>1.4592289449648128</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805705.99999999988</v>
      </c>
      <c r="S991" s="454">
        <f>SUM(B986:K986) + SUM(B1016:H1016)+R991</f>
        <v>-3644261.8427047059</v>
      </c>
    </row>
    <row r="992" spans="1:19">
      <c r="A992" s="638" t="s">
        <v>770</v>
      </c>
      <c r="B992" s="1566">
        <f t="shared" ref="B992:K992" si="291">IF(OR(B976="Choose mgt fee",B976="Choose One!"),"",(B970+B971+B972+B973+B974) / -(B975+B976+B977))</f>
        <v>1.9347613613479224</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805705.99999999988</v>
      </c>
      <c r="S992" s="454">
        <f>SUM(B986:K986) + SUM(B1016:I1016)+R992</f>
        <v>-3878289.2075696886</v>
      </c>
    </row>
    <row r="993" spans="1:19">
      <c r="A993" s="638" t="s">
        <v>2618</v>
      </c>
      <c r="B993" s="1564">
        <f>'Part VII-Pro Forma'!B39</f>
        <v>3961610.7427290343</v>
      </c>
      <c r="C993" s="1564">
        <f>'Part VII-Pro Forma'!C39</f>
        <v>3771328.9343479592</v>
      </c>
      <c r="D993" s="1564">
        <f>'Part VII-Pro Forma'!D39</f>
        <v>3579135.5623623459</v>
      </c>
      <c r="E993" s="1564">
        <f>'Part VII-Pro Forma'!E39</f>
        <v>3385011.4232789902</v>
      </c>
      <c r="F993" s="1564">
        <f>'Part VII-Pro Forma'!F39</f>
        <v>3188937.1206871457</v>
      </c>
      <c r="G993" s="1564">
        <f>'Part VII-Pro Forma'!G39</f>
        <v>2990893.0633204821</v>
      </c>
      <c r="H993" s="1564">
        <f>'Part VII-Pro Forma'!H39</f>
        <v>2790859.4630995747</v>
      </c>
      <c r="I993" s="1564">
        <f>'Part VII-Pro Forma'!I39</f>
        <v>2588816.3331547258</v>
      </c>
      <c r="J993" s="1564">
        <f>'Part VII-Pro Forma'!J39</f>
        <v>2384743.4858289277</v>
      </c>
      <c r="K993" s="1564">
        <f>'Part VII-Pro Forma'!K39</f>
        <v>2178620.5306607587</v>
      </c>
      <c r="Q993" s="453">
        <v>19</v>
      </c>
      <c r="R993" s="454">
        <f>-SUM(B985:K985) - SUM(B1015:J1015)</f>
        <v>805705.99999999988</v>
      </c>
      <c r="S993" s="454">
        <f>SUM(B986:K986) + SUM(B1016:J1016)+R993</f>
        <v>-4112316.5724346712</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805705.99999999988</v>
      </c>
      <c r="S994" s="454">
        <f>SUM(B986:K986) + SUM(B1016:K1016)+R994</f>
        <v>-4346343.9372996539</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751992.26666666672</v>
      </c>
      <c r="C997" s="1564">
        <f>'Part VII-Pro Forma'!C43</f>
        <v>698278.53333333344</v>
      </c>
      <c r="D997" s="1564">
        <f>'Part VII-Pro Forma'!D43</f>
        <v>644564.80000000016</v>
      </c>
      <c r="E997" s="1564">
        <f>'Part VII-Pro Forma'!E43</f>
        <v>590851.06666666688</v>
      </c>
      <c r="F997" s="1564">
        <f>'Part VII-Pro Forma'!F43</f>
        <v>537137.3333333336</v>
      </c>
      <c r="G997" s="1564">
        <f>'Part VII-Pro Forma'!G43</f>
        <v>483423.60000000027</v>
      </c>
      <c r="H997" s="1564">
        <f>'Part VII-Pro Forma'!H43</f>
        <v>429709.86666666693</v>
      </c>
      <c r="I997" s="1564">
        <f>'Part VII-Pro Forma'!I43</f>
        <v>375996.13333333359</v>
      </c>
      <c r="J997" s="1564">
        <f>'Part VII-Pro Forma'!J43</f>
        <v>322282.40000000026</v>
      </c>
      <c r="K997" s="1564">
        <f>'Part VII-Pro Forma'!K43</f>
        <v>268568.66666666692</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-229027.36486498272</v>
      </c>
      <c r="C1009" s="1564">
        <f>'Part VII-Pro Forma'!C57</f>
        <v>-229027.36486498272</v>
      </c>
      <c r="D1009" s="1564">
        <f>'Part VII-Pro Forma'!D57</f>
        <v>-229027.36486498272</v>
      </c>
      <c r="E1009" s="1564">
        <f>'Part VII-Pro Forma'!E57</f>
        <v>-229027.36486498272</v>
      </c>
      <c r="F1009" s="1564">
        <f>'Part VII-Pro Forma'!F57</f>
        <v>-229027.36486498272</v>
      </c>
      <c r="G1009" s="1564">
        <f>'Part VII-Pro Forma'!G57</f>
        <v>-229027.36486498272</v>
      </c>
      <c r="H1009" s="1564">
        <f>'Part VII-Pro Forma'!H57</f>
        <v>-229027.36486498272</v>
      </c>
      <c r="I1009" s="1564">
        <f>'Part VII-Pro Forma'!I57</f>
        <v>-229027.36486498272</v>
      </c>
      <c r="J1009" s="1564">
        <f>'Part VII-Pro Forma'!J57</f>
        <v>-229027.36486498272</v>
      </c>
      <c r="K1009" s="1564">
        <f>'Part VII-Pro Forma'!K57</f>
        <v>-229027.36486498272</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4080</v>
      </c>
      <c r="B1015" s="1564">
        <f>'Part VII-Pro Forma'!B63</f>
        <v>-53713.73333333333</v>
      </c>
      <c r="C1015" s="1564">
        <f>'Part VII-Pro Forma'!C63</f>
        <v>-53713.73333333333</v>
      </c>
      <c r="D1015" s="1564">
        <f>'Part VII-Pro Forma'!D63</f>
        <v>-53713.73333333333</v>
      </c>
      <c r="E1015" s="1564">
        <f>'Part VII-Pro Forma'!E63</f>
        <v>-53713.73333333333</v>
      </c>
      <c r="F1015" s="1564">
        <f>'Part VII-Pro Forma'!F63</f>
        <v>-53713.73333333333</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-287741.09819831606</v>
      </c>
      <c r="C1016" s="1564">
        <f t="shared" ref="C1016:K1016" si="299">SUM(C1008:C1015)</f>
        <v>-287741.09819831606</v>
      </c>
      <c r="D1016" s="1564">
        <f t="shared" si="299"/>
        <v>-287741.09819831606</v>
      </c>
      <c r="E1016" s="1564">
        <f t="shared" si="299"/>
        <v>-287741.09819831606</v>
      </c>
      <c r="F1016" s="1564">
        <f t="shared" si="299"/>
        <v>-287741.09819831606</v>
      </c>
      <c r="G1016" s="1564">
        <f t="shared" si="299"/>
        <v>-234027.36486498272</v>
      </c>
      <c r="H1016" s="1564">
        <f t="shared" si="299"/>
        <v>-234027.36486498272</v>
      </c>
      <c r="I1016" s="1564">
        <f t="shared" si="299"/>
        <v>-234027.36486498272</v>
      </c>
      <c r="J1016" s="1564">
        <f t="shared" si="299"/>
        <v>-234027.36486498272</v>
      </c>
      <c r="K1016" s="1564">
        <f t="shared" si="299"/>
        <v>-234027.36486498272</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1970426.8723470203</v>
      </c>
      <c r="C1023" s="1564">
        <f>'Part VII-Pro Forma'!C71</f>
        <v>1760141.7086849029</v>
      </c>
      <c r="D1023" s="1564">
        <f>'Part VII-Pro Forma'!D71</f>
        <v>1547744.0284934815</v>
      </c>
      <c r="E1023" s="1564">
        <f>'Part VII-Pro Forma'!E71</f>
        <v>1333212.6095143291</v>
      </c>
      <c r="F1023" s="1564">
        <f>'Part VII-Pro Forma'!F71</f>
        <v>1116526.0162910409</v>
      </c>
      <c r="G1023" s="1564">
        <f>'Part VII-Pro Forma'!G71</f>
        <v>897662.59802745515</v>
      </c>
      <c r="H1023" s="1564">
        <f>'Part VII-Pro Forma'!H71</f>
        <v>676600.48642435879</v>
      </c>
      <c r="I1023" s="1564">
        <f>'Part VII-Pro Forma'!I71</f>
        <v>453317.59349446022</v>
      </c>
      <c r="J1023" s="1564">
        <f>'Part VII-Pro Forma'!J71</f>
        <v>227791.60935541132</v>
      </c>
      <c r="K1023" s="1564">
        <f>'Part VII-Pro Forma'!K71</f>
        <v>6.5864878706634045E-7</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214854.93333333358</v>
      </c>
      <c r="C1027" s="1564">
        <f>'Part VII-Pro Forma'!C75</f>
        <v>161141.20000000024</v>
      </c>
      <c r="D1027" s="1564">
        <f>'Part VII-Pro Forma'!D75</f>
        <v>107427.46666666691</v>
      </c>
      <c r="E1027" s="1564">
        <f>'Part VII-Pro Forma'!E75</f>
        <v>53713.733333333577</v>
      </c>
      <c r="F1027" s="1564">
        <f>'Part VII-Pro Forma'!F75</f>
        <v>2.4738255888223648E-10</v>
      </c>
      <c r="G1027" s="1564">
        <f>'Part VII-Pro Forma'!G75</f>
        <v>2.4738255888223648E-10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6.6526554701959787E-7</v>
      </c>
      <c r="C1052" s="1564">
        <f>'Part VII-Pro Forma'!C102</f>
        <v>6.7194877868454555E-7</v>
      </c>
      <c r="D1052" s="1564">
        <f>'Part VII-Pro Forma'!D102</f>
        <v>6.7869914983339926E-7</v>
      </c>
      <c r="E1052" s="1564">
        <f>'Part VII-Pro Forma'!E102</f>
        <v>6.8551733494678826E-7</v>
      </c>
      <c r="F1052" s="1564">
        <f>'Part VII-Pro Forma'!F102</f>
        <v>6.9240401528114801E-7</v>
      </c>
      <c r="G1052" s="1564">
        <f>'Part VII-Pro Forma'!G102</f>
        <v>6.9935987893678918E-7</v>
      </c>
      <c r="H1052" s="1564">
        <f>'Part VII-Pro Forma'!H102</f>
        <v>7.0638562092665146E-7</v>
      </c>
      <c r="I1052" s="1564">
        <f>'Part VII-Pro Forma'!I102</f>
        <v>7.1348194324574741E-7</v>
      </c>
      <c r="J1052" s="1564">
        <f>'Part VII-Pro Forma'!J102</f>
        <v>7.206495549413038E-7</v>
      </c>
      <c r="K1052" s="1564">
        <f>'Part VII-Pro Forma'!K102</f>
        <v>7.2788917218360821E-7</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7.3520151833756695E-7</v>
      </c>
      <c r="C1080" s="1564">
        <f>'Part VII-Pro Forma'!C132</f>
        <v>7.4258732403498189E-7</v>
      </c>
      <c r="D1080" s="1564">
        <f>'Part VII-Pro Forma'!D132</f>
        <v>7.5004732724755339E-7</v>
      </c>
      <c r="E1080" s="1564">
        <f>'Part VII-Pro Forma'!E132</f>
        <v>7.5758227336061668E-7</v>
      </c>
      <c r="F1080" s="1564">
        <f>'Part VII-Pro Forma'!F132</f>
        <v>7.6519291524761878E-7</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 xml:space="preserve">Debt service coverage ratio is at or above 1.20 through Year 15. </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2019-078 Abbington Sound,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409.5">
      <c r="A1126" s="1583" t="str">
        <f>'Part VIII-Threshold Criteria'!A32</f>
        <v>The Applicant has submitted an proposal which conforms to the 2019 QAP and requirements of the CDBG-DR NOFA.   All costs for Development and Construction have been carefully underwritten by experienced estimators.  Federal ($0.80) and State ($0.44)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relative to 2018 maximum allowable rents as these were what was in effect on January 1, 2019 (per DCA instructions) but the most current utility allowances from DCA for the South Region have been used as those have been confirmed to be in effect on January 1, 2019.  Total Developer Fee and Deferred Developer Fee are within 2019 QAP limits.  This property is ideally situated for a market starving for workforce housing and is located within a disaster recovery location (Zip Code 31548) in great need for new affordable housing stock.</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2716</v>
      </c>
      <c r="H1131" s="1424"/>
      <c r="I1131" s="1577"/>
      <c r="J1131" s="1314"/>
      <c r="K1131" s="1577" t="s">
        <v>3632</v>
      </c>
      <c r="L1131" s="1577"/>
      <c r="M1131" s="1577"/>
      <c r="N1131" s="1577"/>
    </row>
    <row r="1132" spans="1:17" ht="13.5">
      <c r="A1132" s="1585"/>
      <c r="B1132" s="1585"/>
      <c r="C1132" s="1585"/>
      <c r="D1132" s="1585"/>
      <c r="E1132" s="1585"/>
      <c r="F1132" s="1585"/>
      <c r="G1132" s="1424" t="s">
        <v>346</v>
      </c>
      <c r="H1132" s="1424"/>
      <c r="I1132" s="1577"/>
      <c r="J1132" s="1314"/>
      <c r="K1132" s="457" t="s">
        <v>3633</v>
      </c>
      <c r="L1132" s="457"/>
      <c r="M1132" s="457"/>
      <c r="N1132" s="457"/>
      <c r="P1132" s="1436" t="s">
        <v>2736</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Valdosta</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 ca="1">'Part VIII-Threshold Criteria'!P45</f>
        <v>15903809.932432491</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2441</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12</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12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2442</v>
      </c>
      <c r="E1151" s="1578">
        <v>2</v>
      </c>
      <c r="F1151" s="1590">
        <f>'Part VI-Revenues &amp; Expenses'!$L$139</f>
        <v>36</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36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2443</v>
      </c>
      <c r="E1152" s="1578">
        <v>3</v>
      </c>
      <c r="F1152" s="1590">
        <f>'Part VI-Revenues &amp; Expenses'!$M$139</f>
        <v>36</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36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3368</v>
      </c>
      <c r="E1154" s="1596"/>
      <c r="F1154" s="1597">
        <f>SUM(F1149:F1153)</f>
        <v>84</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15915972</v>
      </c>
      <c r="Q1157" s="1609">
        <f>'Part VIII-Threshold Criteria'!Q63</f>
        <v>0</v>
      </c>
    </row>
    <row r="1158" spans="1:17" ht="12.75" customHeight="1">
      <c r="C1158" s="1314"/>
      <c r="D1158" s="1589" t="s">
        <v>2442</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3369</v>
      </c>
      <c r="B1163" s="1314"/>
      <c r="C1163" s="1314"/>
      <c r="D1163" s="1314"/>
      <c r="E1163" s="1317"/>
      <c r="F1163" s="1613">
        <f>F1140+F1147+F1154+F1161</f>
        <v>84</v>
      </c>
      <c r="G1163" s="1381"/>
      <c r="H1163" s="1614">
        <f>'Part VIII-Threshold Criteria'!H69</f>
        <v>15915972</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1867</v>
      </c>
      <c r="L1164" s="1495"/>
      <c r="M1164" s="1495"/>
      <c r="N1164" s="1495"/>
      <c r="O1164" s="1495"/>
      <c r="P1164" s="1495"/>
      <c r="Q1164" s="1495"/>
    </row>
    <row r="1165" spans="1:17" ht="405">
      <c r="A1165" s="1583" t="str">
        <f>'Part VIII-Threshold Criteria'!A71</f>
        <v>The property consists of four (4) residential walk-up buildings and one (1) non-residential clubhouse.  Hard costs were determined by an experienced contractor and are within 2018 HUD cost limits as these were in effect on January 1, 2019 per DCA instructions.  Project total development costs do not exceed the HUD cost limits for its type.</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1867</v>
      </c>
      <c r="L1168" s="1495"/>
      <c r="M1168" s="1495"/>
      <c r="N1168" s="1495"/>
      <c r="O1168" s="1495"/>
      <c r="P1168" s="1495"/>
      <c r="Q1168" s="1495"/>
    </row>
    <row r="1169" spans="1:17" ht="56.25">
      <c r="A1169" s="1583" t="str">
        <f>'Part VIII-Threshold Criteria'!A75</f>
        <v>This application is for family development.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1986</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3898</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t="str">
        <f>'Part VIII-Threshold Criteria'!L86</f>
        <v>Not Applicable</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1867</v>
      </c>
      <c r="L1181" s="1495"/>
      <c r="M1181" s="1495"/>
      <c r="N1181" s="1495"/>
      <c r="O1181" s="1495"/>
      <c r="P1181" s="1495"/>
      <c r="Q1181" s="1495"/>
    </row>
    <row r="1182" spans="1:17" ht="270">
      <c r="A1182" s="1583" t="str">
        <f>'Part VIII-Threshold Criteria'!A90</f>
        <v>Tenants will also be encouraged to utilize the community spaces for daily functions in addition to the above programs and enrichment classes.  Tenants will be encouraged to utilize on-site seminars, fitness center, and garden.</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Real Property Research Group</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6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0.96699999999999997</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3891</v>
      </c>
      <c r="D1189" s="1550"/>
      <c r="E1189" s="1550"/>
      <c r="F1189" s="1550"/>
      <c r="L1189" s="1620" t="s">
        <v>3892</v>
      </c>
      <c r="M1189" s="1844">
        <f>'Part VIII-Threshold Criteria'!M97</f>
        <v>0.14499999999999999</v>
      </c>
      <c r="N1189" s="1622"/>
      <c r="O1189" s="1623" t="s">
        <v>4123</v>
      </c>
      <c r="P1189" s="1691" t="str">
        <f>'Part VIII-Threshold Criteria'!P97</f>
        <v>N / A</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2016-003</v>
      </c>
      <c r="E1192" s="1577" t="str">
        <f>'Part VIII-Threshold Criteria'!E100</f>
        <v>The Village at Winding Road</v>
      </c>
      <c r="F1192" s="1577">
        <f>'Part VIII-Threshold Criteria'!F100</f>
        <v>0</v>
      </c>
      <c r="G1192" s="1577">
        <f>'Part VIII-Threshold Criteria'!G100</f>
        <v>0</v>
      </c>
      <c r="H1192" s="1620" t="s">
        <v>1739</v>
      </c>
      <c r="I1192" s="1621" t="str">
        <f>'Part VIII-Threshold Criteria'!I100</f>
        <v>1996-010</v>
      </c>
      <c r="J1192" s="1577" t="str">
        <f>'Part VIII-Threshold Criteria'!J100</f>
        <v>Reserve at Sugar Mill</v>
      </c>
      <c r="K1192" s="1577">
        <f>'Part VIII-Threshold Criteria'!K100</f>
        <v>0</v>
      </c>
      <c r="L1192" s="1577">
        <f>'Part VIII-Threshold Criteria'!L100</f>
        <v>0</v>
      </c>
      <c r="M1192" s="1620" t="s">
        <v>1549</v>
      </c>
      <c r="N1192" s="1621" t="str">
        <f>'Part VIII-Threshold Criteria'!N100</f>
        <v>1998-022</v>
      </c>
      <c r="O1192" s="1577" t="str">
        <f>'Part VIII-Threshold Criteria'!O100</f>
        <v>Ashton Cove</v>
      </c>
      <c r="P1192" s="1577">
        <f>'Part VIII-Threshold Criteria'!P100</f>
        <v>0</v>
      </c>
      <c r="Q1192" s="1577">
        <f>'Part VIII-Threshold Criteria'!Q100</f>
        <v>0</v>
      </c>
    </row>
    <row r="1193" spans="1:17">
      <c r="C1193" s="1620" t="s">
        <v>1738</v>
      </c>
      <c r="D1193" s="1621" t="str">
        <f>'Part VIII-Threshold Criteria'!D101</f>
        <v>2016-010</v>
      </c>
      <c r="E1193" s="1577" t="str">
        <f>'Part VIII-Threshold Criteria'!E101</f>
        <v>The Preserve at Newport</v>
      </c>
      <c r="F1193" s="1577">
        <f>'Part VIII-Threshold Criteria'!F101</f>
        <v>0</v>
      </c>
      <c r="G1193" s="1577">
        <f>'Part VIII-Threshold Criteria'!G101</f>
        <v>0</v>
      </c>
      <c r="H1193" s="1620" t="s">
        <v>2366</v>
      </c>
      <c r="I1193" s="1621" t="str">
        <f>'Part VIII-Threshold Criteria'!I101</f>
        <v>1998-022</v>
      </c>
      <c r="J1193" s="1577" t="str">
        <f>'Part VIII-Threshold Criteria'!J101</f>
        <v>Royal Point</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2511</v>
      </c>
    </row>
    <row r="1196" spans="1:17" ht="12.75" customHeight="1">
      <c r="A1196" s="1616" t="s">
        <v>1948</v>
      </c>
      <c r="B1196" s="1583" t="s">
        <v>3610</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3370</v>
      </c>
      <c r="B1197" s="1583" t="s">
        <v>2731</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315">
      <c r="A1201" s="1583" t="str">
        <f>'Part VIII-Threshold Criteria'!A104</f>
        <v>Projected demand for affordable product is high and capture rates are low.  There is one affordable development in the primary market area that has not yet reached stabilization.  The Village at Winding Road is still under construction, although 45 units have been leased.</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146.25">
      <c r="A1219" s="1583" t="str">
        <f>'Part VIII-Threshold Criteria'!A124</f>
        <v>An appraisal is not required because there is not an identity of interest between the buyer and seller of the property.</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3634</v>
      </c>
      <c r="D1224" s="1550"/>
      <c r="E1224" s="1550"/>
      <c r="F1224" s="1550"/>
      <c r="G1224" s="1550"/>
      <c r="H1224" s="1550"/>
      <c r="I1224" s="1314"/>
      <c r="J1224" s="1314"/>
      <c r="K1224" s="1620" t="s">
        <v>1984</v>
      </c>
      <c r="L1224" s="1503" t="str">
        <f>'Part VIII-Threshold Criteria'!L129</f>
        <v>Geotechnical &amp; Environmental Consultants, Inc. (GEC)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Geotechnical &amp; Environmental Consultants, Inc. (GEC)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70</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Yes</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3842</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No</v>
      </c>
      <c r="M1246" s="1621">
        <f>'Part VIII-Threshold Criteria'!M149</f>
        <v>0</v>
      </c>
      <c r="O1246" s="1620"/>
    </row>
    <row r="1247" spans="1:17">
      <c r="A1247" s="457"/>
      <c r="B1247" s="1620" t="s">
        <v>2894</v>
      </c>
      <c r="C1247" s="457" t="s">
        <v>2805</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Yes</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Yes</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Racially mixed</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409.5">
      <c r="A1259" s="1583" t="str">
        <f>'Part VIII-Threshold Criteria'!A160</f>
        <v>No wetlands or 100-year floodplain were identified on the property.  Noise levels were projected above the 65 dB mitigation level but below the 75 dB avoidane level.  All recommended mitigation measures will be followed and no outdoor amenities will be located within the 65 dB noise line on the property.  Phase 1 site assessment was conducted to HOME/HUD standards.</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4537</v>
      </c>
      <c r="D1265" s="457"/>
      <c r="E1265" s="457"/>
      <c r="F1265" s="457"/>
      <c r="G1265" s="457"/>
      <c r="I1265" s="457" t="s">
        <v>2708</v>
      </c>
      <c r="K1265" s="1845">
        <f>'Part VIII-Threshold Criteria'!K166</f>
        <v>43861</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Kingsland Abbington Sound,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2882</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371.25">
      <c r="A1270" s="1583" t="str">
        <f>'Part VIII-Threshold Criteria'!A170</f>
        <v>The ownership entity has been assigned the contract for the development site.  Site control is provided through November 30, 2019 in the form of a valid purchase contract.  There is no identity of interest between the buyer and seller.  HOME pre-contract agreement is included in site control documentation.</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3740</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3635</v>
      </c>
      <c r="C1276" s="1583"/>
      <c r="D1276" s="1583"/>
      <c r="E1276" s="1583"/>
      <c r="F1276" s="1583"/>
      <c r="G1276" s="1583"/>
      <c r="H1276" s="1583"/>
      <c r="I1276" s="1583"/>
      <c r="J1276" s="1583"/>
      <c r="K1276" s="1583"/>
      <c r="L1276" s="1583"/>
      <c r="M1276" s="1583"/>
      <c r="N1276" s="1583"/>
      <c r="O1276" s="1627" t="s">
        <v>1986</v>
      </c>
      <c r="P1276" s="1628" t="str">
        <f>'Part VIII-Threshold Criteria'!P176</f>
        <v>N/Ap</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t="str">
        <f>'Part VIII-Threshold Criteria'!P178</f>
        <v>N/Ap</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225">
      <c r="A1280" s="1583" t="str">
        <f>'Part VIII-Threshold Criteria'!A180</f>
        <v>The site is already accessible by paved public roads (Winding Road and Laurel Island Parkway).  No documentation is needed evidencing approval to pave any additional roads.</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ht="270">
      <c r="A1297" s="1583" t="str">
        <f>'Part VIII-Threshold Criteria'!A197</f>
        <v>The site is zoned appropriately for its intended use.  The site is zoned C-2 (Highway Commerical).  Multi-family residential is a permitted use within this district and the conditions do not impede the proposed development.</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247.5">
      <c r="A1304" s="1583" t="str">
        <f>'Part VIII-Threshold Criteria'!A205</f>
        <v xml:space="preserve">No Gas will be utilitzed on the subject development as the property will be all electric.  A letter from Georgia Power (signed and on letterhead) is included in the application to verify electricity service and capacity.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City of Kingsland</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 xml:space="preserve">City of Kingsland  </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2116</v>
      </c>
      <c r="B1315" s="457" t="s">
        <v>3900</v>
      </c>
      <c r="D1315" s="457"/>
      <c r="E1315" s="457"/>
      <c r="F1315" s="457"/>
      <c r="G1315" s="457"/>
      <c r="H1315" s="457"/>
      <c r="I1315" s="457"/>
      <c r="J1315" s="457"/>
      <c r="K1315" s="1314"/>
      <c r="L1315" s="457"/>
      <c r="M1315" s="457"/>
      <c r="O1315" s="1620" t="s">
        <v>2116</v>
      </c>
      <c r="P1315" s="1621" t="str">
        <f>'Part VIII-Threshold Criteria'!P213</f>
        <v>No</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ht="409.5">
      <c r="A1317" s="1583" t="str">
        <f>'Part VIII-Threshold Criteria'!A215</f>
        <v>City of Kingsland will provide public water and sewer to the development.  Existing water and sewer lines are located in the public right away along Laurel Island Parkway which is adjacent to the site.  The cost of connecting to this existing water and sewer is included in the developmnt budget as an offsite expense.  The City has verified that sufficient capacity exists to support the development.</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4539</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ht="13.5">
      <c r="A1325" s="1618"/>
      <c r="B1325" s="1620" t="s">
        <v>1738</v>
      </c>
      <c r="C1325" s="1524" t="s">
        <v>2724</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45">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3.75">
      <c r="A1331" s="1621"/>
      <c r="B1331" s="1620" t="s">
        <v>1738</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t="str">
        <f>'Part VIII-Threshold Criteria'!P240</f>
        <v>No</v>
      </c>
      <c r="Q1339" s="1621">
        <f>'Part VIII-Threshold Criteria'!Q240</f>
        <v>0</v>
      </c>
    </row>
    <row r="1340" spans="1:17">
      <c r="A1340" s="1618" t="s">
        <v>2116</v>
      </c>
      <c r="B1340" s="457" t="s">
        <v>3660</v>
      </c>
      <c r="C1340" s="457"/>
      <c r="E1340" s="457"/>
      <c r="F1340" s="457"/>
      <c r="G1340" s="457"/>
      <c r="H1340" s="457"/>
      <c r="I1340" s="457"/>
      <c r="J1340" s="457"/>
      <c r="K1340" s="1314"/>
      <c r="L1340" s="457"/>
      <c r="M1340" s="457"/>
      <c r="O1340" s="1620" t="s">
        <v>2116</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146.25">
      <c r="A1344" s="1583" t="str">
        <f>'Part VIII-Threshold Criteria'!A245</f>
        <v>The amenities are appropriatly geared towards a family tenancy.  Property will include a fenced community garden.</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3902</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2366</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ht="112.5">
      <c r="A1363" s="1583" t="str">
        <f>'Part VIII-Threshold Criteria'!A272</f>
        <v>Site is new construction and therefore will not involve rehabilitation of existing structures.</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3904</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3754</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4116</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180">
      <c r="A1376" s="1583" t="str">
        <f>'Part VIII-Threshold Criteria'!A284</f>
        <v>Site plan shows all relevant information required by QAP and are produced by Martin Riley Associates.  This is a perfect use for this particular property.</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1986</v>
      </c>
      <c r="B1392" s="1488" t="s">
        <v>3872</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3790</v>
      </c>
      <c r="K1393" s="1638"/>
      <c r="L1393" s="1638"/>
      <c r="M1393" s="1644" t="s">
        <v>3760</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c r="A1395" s="1333"/>
      <c r="B1395" s="1330"/>
      <c r="C1395" s="1583"/>
      <c r="D1395" s="1583"/>
      <c r="E1395" s="1583"/>
      <c r="F1395" s="1583"/>
      <c r="G1395" s="1583"/>
      <c r="H1395" s="1583"/>
      <c r="I1395" s="457" t="s">
        <v>4118</v>
      </c>
      <c r="J1395" s="1330"/>
      <c r="K1395" s="1846">
        <f>'Part VIII-Threshold Criteria'!K306</f>
        <v>5</v>
      </c>
      <c r="L1395" s="1331" t="str">
        <f>IF(K1395&lt;M1395,"Check!!!","")</f>
        <v/>
      </c>
      <c r="M1395" s="1645">
        <f>'Part VIII-Threshold Criteria'!M306</f>
        <v>5</v>
      </c>
      <c r="N1395" s="1646">
        <f>'DCA Underwriting Assumptions'!$Q$139</f>
        <v>0.05</v>
      </c>
      <c r="O1395" s="1620" t="s">
        <v>3636</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3873</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3759</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2366</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247.5">
      <c r="A1410" s="1583" t="str">
        <f>'Part VIII-Threshold Criteria'!A320</f>
        <v>Accessibility and Fair Housing for disabled tenants continues to be an important role and focus of our development team.  The development will be in full compliance with ADA requirements and standards.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1984</v>
      </c>
      <c r="P1417" s="1628" t="str">
        <f>'Part VIII-Threshold Criteria'!P327</f>
        <v>No</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409.5">
      <c r="A1427" s="1583" t="str">
        <f>'Part VIII-Threshold Criteria'!A337</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3909</v>
      </c>
      <c r="O1431" s="1627" t="s">
        <v>1984</v>
      </c>
      <c r="P1431" s="1621" t="str">
        <f>'Part VIII-Threshold Criteria'!P341</f>
        <v>Yes</v>
      </c>
      <c r="Q1431" s="1621">
        <f>'Part VIII-Threshold Criteria'!Q341</f>
        <v>0</v>
      </c>
    </row>
    <row r="1432" spans="1:17">
      <c r="A1432" s="1616" t="s">
        <v>1986</v>
      </c>
      <c r="B1432" s="1051" t="s">
        <v>4085</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3838</v>
      </c>
      <c r="O1434" s="1620" t="s">
        <v>2116</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409.5">
      <c r="A1438" s="1583" t="str">
        <f>'Part VIII-Threshold Criteria'!A348</f>
        <v>Original project team was deemed "Qualified" by DCA on April 26, 2019 for PA19-057 Abbington Sound and all original team members are still a part of this project team.  Re-application for CDBG-DR NOFA added Paladin, Inc. to the development and ownership team, an entity which itself was also deemed "Qualified" by DCA in prior rounds.  All required Qualification Determination documentation is included in Tab 19 for Information.  William J. Rea, Jr. will serve as the Certifying entity for both the General Partner and Developer entities.</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3654</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3847</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360">
      <c r="A1446" s="1583" t="str">
        <f>'Part VIII-Threshold Criteria'!A356</f>
        <v>Applicant provided current compliance history summary, along with good standing letters for all out of state projects and role/interest letters on all projects claimed for experience, in its 2019 pre-application submittal to DCA.  DCA determined Rea Ventures and Paladin project teams to be "Qualified" for 2019.</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4077</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4078</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4069</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4072</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90">
      <c r="A1462" s="1583" t="str">
        <f>'Part VIII-Threshold Criteria'!A372</f>
        <v xml:space="preserve">Applicant is not requesting consideration under the non-profit set aside.         </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883000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3592</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ht="101.25">
      <c r="A1481" s="1583" t="str">
        <f>'Part VIII-Threshold Criteria'!A394</f>
        <v xml:space="preserve">Applicant is not requesting consideration under the rural HOME preservation set aside.       </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3464</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3695</v>
      </c>
      <c r="G1490" s="1517"/>
      <c r="H1490" s="1517"/>
      <c r="I1490" s="1517"/>
      <c r="J1490" s="1524" t="s">
        <v>3696</v>
      </c>
      <c r="L1490" s="1517"/>
      <c r="M1490" s="1653">
        <f>'Part III-Sources of Funds'!E1105</f>
        <v>0</v>
      </c>
      <c r="N1490" s="1653"/>
      <c r="O1490" s="1620" t="s">
        <v>2116</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78.75">
      <c r="A1492" s="1583" t="str">
        <f>'Part VIII-Threshold Criteria'!A405</f>
        <v xml:space="preserve">Applicant is not requesting consideration under the CHDO set aside. </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t="str">
        <f>'Part VIII-Threshold Criteria'!P410</f>
        <v>No</v>
      </c>
      <c r="Q1497" s="1621">
        <f>'Part VIII-Threshold Criteria'!Q410</f>
        <v>0</v>
      </c>
    </row>
    <row r="1498" spans="1:17">
      <c r="A1498" s="1618" t="s">
        <v>1986</v>
      </c>
      <c r="B1498" s="457" t="s">
        <v>3582</v>
      </c>
      <c r="D1498" s="1583"/>
      <c r="E1498" s="1583"/>
      <c r="O1498" s="1620" t="s">
        <v>1986</v>
      </c>
      <c r="P1498" s="1621" t="str">
        <f>'Part VIII-Threshold Criteria'!P411</f>
        <v>No</v>
      </c>
      <c r="Q1498" s="1621">
        <f>'Part VIII-Threshold Criteria'!Q411</f>
        <v>0</v>
      </c>
    </row>
    <row r="1499" spans="1:17">
      <c r="A1499" s="1618" t="s">
        <v>749</v>
      </c>
      <c r="B1499" s="457" t="s">
        <v>4075</v>
      </c>
      <c r="D1499" s="1583"/>
      <c r="E1499" s="1583"/>
      <c r="O1499" s="1620" t="s">
        <v>749</v>
      </c>
      <c r="P1499" s="1621" t="str">
        <f>'Part VIII-Threshold Criteria'!P412</f>
        <v>No</v>
      </c>
      <c r="Q1499" s="1621">
        <f>'Part VIII-Threshold Criteria'!Q412</f>
        <v>0</v>
      </c>
    </row>
    <row r="1500" spans="1:17">
      <c r="A1500" s="1618" t="s">
        <v>2116</v>
      </c>
      <c r="B1500" s="457" t="s">
        <v>3583</v>
      </c>
      <c r="E1500" s="1604"/>
      <c r="O1500" s="1620" t="s">
        <v>2116</v>
      </c>
      <c r="P1500" s="1621" t="str">
        <f>'Part VIII-Threshold Criteria'!P413</f>
        <v>No</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ht="78.75">
      <c r="A1503" s="1583" t="str">
        <f>'Part VIII-Threshold Criteria'!A416</f>
        <v>There are no required legal opinions for this development.</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3476</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157.5">
      <c r="A1522" s="1583" t="str">
        <f>'Part VIII-Threshold Criteria'!A440</f>
        <v xml:space="preserve">There are no structures on this development site and no displacements would occur as a result of this development.    </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1984</v>
      </c>
      <c r="B1528" s="1583" t="s">
        <v>3933</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3931</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3938</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213.75">
      <c r="A1539" s="1583" t="str">
        <f>'Part VIII-Threshold Criteria'!A457</f>
        <v>Our team has and will continue to facilitie AFFH.  We have evidence of our commitment to AFFH throughout the many states we work in and our consistent track record.</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405">
      <c r="A1545" s="1583" t="str">
        <f>'Part VIII-Threshold Criteria'!A480</f>
        <v>The development would provide 100% of its units at affordable rates of 60% AMI or less.  The use of DCA resources was minimized through incorporation of CDBG-DR debt.  The development would be an excellent opportunity to leverage resources to meet the housing needs of Kingsland, Georgia in a disaster recovery zone (Zip Code 31548).</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2019-078 Abbington Sound,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3646</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4551</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3590</v>
      </c>
      <c r="I1599" s="1468"/>
      <c r="J1599" s="1680">
        <f>'Part VI-Revenues &amp; Expenses'!$O$65</f>
        <v>84</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1984</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5">
      <c r="A1602" s="1686"/>
      <c r="B1602" s="1687" t="s">
        <v>1987</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2</v>
      </c>
      <c r="P1602" s="1685">
        <f>'Part IX Scoring Criteria'!P52</f>
        <v>0</v>
      </c>
      <c r="Q1602" s="1689"/>
      <c r="R1602" s="1689"/>
      <c r="S1602" s="1689"/>
      <c r="T1602" s="1689"/>
      <c r="U1602" s="1689"/>
      <c r="V1602" s="1689"/>
      <c r="W1602" s="1689"/>
      <c r="X1602" s="1689"/>
      <c r="Y1602" s="1689"/>
      <c r="Z1602" s="1689"/>
    </row>
    <row r="1603" spans="1:26" ht="15">
      <c r="A1603" s="1621" t="s">
        <v>3344</v>
      </c>
      <c r="B1603" s="1687" t="s">
        <v>1989</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4553</v>
      </c>
      <c r="C1605" s="1689"/>
      <c r="D1605" s="1689"/>
      <c r="E1605" s="1638"/>
      <c r="F1605" s="1689"/>
      <c r="G1605" s="1689"/>
      <c r="H1605" s="1550" t="s">
        <v>3650</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1987</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1989</v>
      </c>
      <c r="C1607" s="1647" t="s">
        <v>3952</v>
      </c>
      <c r="D1607" s="1689"/>
      <c r="E1607" s="1693"/>
      <c r="F1607" s="1647"/>
      <c r="G1607" s="1689"/>
      <c r="H1607" s="1689"/>
      <c r="I1607" s="1654"/>
      <c r="J1607" s="1654"/>
      <c r="K1607" s="1654"/>
      <c r="L1607" s="1654"/>
      <c r="M1607" s="1654"/>
      <c r="N1607" s="1684" t="s">
        <v>1989</v>
      </c>
      <c r="O1607" s="1621" t="str">
        <f>'Part IX Scoring Criteria'!O57</f>
        <v>No</v>
      </c>
      <c r="P1607" s="1621">
        <f>'Part IX Scoring Criteria'!P57</f>
        <v>0</v>
      </c>
      <c r="Q1607" s="1689"/>
      <c r="R1607" s="1689"/>
      <c r="S1607" s="1689"/>
      <c r="T1607" s="1689"/>
      <c r="U1607" s="1689"/>
      <c r="V1607" s="1689"/>
      <c r="W1607" s="1689"/>
      <c r="X1607" s="1689"/>
      <c r="Y1607" s="1689"/>
      <c r="Z1607" s="1689"/>
    </row>
    <row r="1608" spans="1:26" ht="15">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3851</v>
      </c>
      <c r="C1613" s="1659"/>
      <c r="D1613" s="1314"/>
      <c r="E1613" s="1659"/>
      <c r="F1613" s="1659"/>
      <c r="G1613" s="1659"/>
      <c r="H1613" s="1659"/>
      <c r="I1613" s="1659"/>
      <c r="J1613" s="1659"/>
      <c r="K1613" s="1659"/>
      <c r="L1613" s="1659"/>
      <c r="M1613" s="1659"/>
      <c r="N1613" s="1620"/>
      <c r="O1613" s="1621">
        <f>'Part IX Scoring Criteria'!O63</f>
        <v>0</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4554</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6.5">
      <c r="A1615" s="1508" t="s">
        <v>1986</v>
      </c>
      <c r="B1615" s="1503" t="s">
        <v>3840</v>
      </c>
      <c r="C1615" s="1659"/>
      <c r="D1615" s="1695"/>
      <c r="E1615" s="1659"/>
      <c r="F1615" s="1700"/>
      <c r="G1615" s="1335" t="s">
        <v>3981</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5">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5">
      <c r="A1617" s="1583" t="str">
        <f>'Part IX Scoring Criteria'!A67</f>
        <v xml:space="preserve">Abbington Sound is located within a 2.0-mile driving/walking distance (Rural) of the following amenities: Walmart Supercenter (retail and grocery); Dollar General; Wasabi Sushi Restaurant; SE Georgia Camden Campus Hospital; ABC Pediatrics and Family Care; Walgreens Pharmacy; Krayons Academy licensed child care; Sugarmill Elementary School; Camden County Park and Soccer Complex; St Marys Fire Station; Pineland Bank; and St John Missionary Baptist Church.  Of these amenities, one is also located within a half-mile walking/driving distance from the development site.  Therefore, Abbington Sound is eligible for a total of 15 desirable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at Ormewood Park is Walmart Supercenter supermarket located 1.4 miles from the site.  There are no undesirable activities or characterisitics observed within a 0.25-mile radius from the site.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5">
      <c r="A1622" s="1660"/>
      <c r="B1622" s="1317" t="s">
        <v>3955</v>
      </c>
      <c r="C1622" s="1659"/>
      <c r="D1622" s="1695"/>
      <c r="E1622" s="1659"/>
      <c r="F1622" s="1659"/>
      <c r="G1622" s="1659"/>
      <c r="H1622" s="1503" t="s">
        <v>2795</v>
      </c>
      <c r="I1622" s="1531"/>
      <c r="J1622" s="1503" t="str">
        <f>'Part I-Project Information'!$H$105</f>
        <v>Rural</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5">
      <c r="A1623" s="1660"/>
      <c r="B1623" s="1704" t="s">
        <v>1987</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5">
      <c r="A1624" s="1660"/>
      <c r="B1624" s="1704" t="s">
        <v>1989</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5">
      <c r="A1625" s="1660"/>
      <c r="B1625" s="1704" t="s">
        <v>2535</v>
      </c>
      <c r="C1625" s="1051" t="s">
        <v>3954</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3961</v>
      </c>
      <c r="C1627" s="1659"/>
      <c r="D1627" s="1695"/>
      <c r="E1627" s="1659"/>
      <c r="F1627" s="1317" t="s">
        <v>3714</v>
      </c>
      <c r="G1627" s="1317"/>
      <c r="H1627" s="1317"/>
      <c r="I1627" s="1317"/>
      <c r="J1627" s="1317" t="s">
        <v>3715</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5">
      <c r="A1628" s="1660"/>
      <c r="B1628" s="1659"/>
      <c r="C1628" s="1317" t="s">
        <v>3960</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3962</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2786</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3744</v>
      </c>
      <c r="C1634" s="1659"/>
      <c r="D1634" s="1695"/>
      <c r="E1634" s="1659"/>
      <c r="F1634" s="1677" t="s">
        <v>4558</v>
      </c>
      <c r="G1634" s="1659"/>
      <c r="H1634" s="1659"/>
      <c r="I1634" s="1710" t="s">
        <v>4559</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4560</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4561</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3745</v>
      </c>
      <c r="D1637" s="1604"/>
      <c r="E1637" s="1604"/>
      <c r="F1637" s="1604"/>
      <c r="G1637" s="1620" t="s">
        <v>4088</v>
      </c>
      <c r="H1637" s="1612" t="str">
        <f>'Part I-Project Information'!$H$82</f>
        <v>Family</v>
      </c>
      <c r="I1637" s="1573" t="str">
        <f>'Part IX Scoring Criteria'!I92</f>
        <v>Coastal Regional Coaches</v>
      </c>
      <c r="J1637" s="1573">
        <f>'Part IX Scoring Criteria'!J92</f>
        <v>0</v>
      </c>
      <c r="K1637" s="1573">
        <f>'Part IX Scoring Criteria'!K92</f>
        <v>0</v>
      </c>
      <c r="L1637" s="1848" t="str">
        <f>'Part IX Scoring Criteria'!L92</f>
        <v>&lt;Enter phone here&gt;</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5">
      <c r="A1638" s="1619" t="s">
        <v>1986</v>
      </c>
      <c r="B1638" s="1714" t="s">
        <v>3746</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4563</v>
      </c>
      <c r="D1639" s="1550"/>
      <c r="E1639" s="1550"/>
      <c r="F1639" s="1550"/>
      <c r="G1639" s="1550"/>
      <c r="H1639" s="1550"/>
      <c r="I1639" s="1573" t="str">
        <f>'Part IX Scoring Criteria'!I96</f>
        <v>https://www.co.camden.ga.us/845/Transportation</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4565</v>
      </c>
      <c r="D1641" s="1583"/>
      <c r="E1641" s="1583"/>
      <c r="F1641" s="1583"/>
      <c r="G1641" s="1583"/>
      <c r="H1641" s="1583"/>
      <c r="I1641" s="1573" t="str">
        <f>'Part IX Scoring Criteria'!I98</f>
        <v>https://www.co.camden.ga.us/845/Transportation</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5">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5">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2795</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3775</v>
      </c>
      <c r="D1659" s="1314"/>
      <c r="E1659" s="1314"/>
      <c r="F1659" s="457" t="s">
        <v>3978</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5">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1984</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1986</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1987</v>
      </c>
      <c r="C1673" s="1503" t="s">
        <v>3983</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8.75">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51">
      <c r="A1675" s="1508"/>
      <c r="B1675" s="1729"/>
      <c r="C1675" s="457" t="s">
        <v>4571</v>
      </c>
      <c r="D1675" s="1335" t="s">
        <v>4095</v>
      </c>
      <c r="E1675" s="1676"/>
      <c r="F1675" s="457"/>
      <c r="G1675" s="457"/>
      <c r="H1675" s="1468" t="str">
        <f>'Part IX Scoring Criteria'!H117</f>
        <v>Urgent Care of Coastal Georgia (www.uccgeorgia.com)</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3987</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3988</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191.25">
      <c r="A1679" s="1618"/>
      <c r="B1679" s="1620"/>
      <c r="C1679" s="1583" t="str">
        <f>'Part IX Scoring Criteria'!C121</f>
        <v>Health Screenings (flu shots, diabetes, blood pressure), Healthy Weigth and Body Assessments, General Risk Assessments, Depression/Abuse</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14</v>
      </c>
      <c r="P1679" s="1849">
        <f>'Part IX Scoring Criteria'!P121</f>
        <v>0</v>
      </c>
      <c r="Q1679" s="1577" t="str">
        <f>IF(O1679&gt;15, "Too much!","")</f>
        <v/>
      </c>
      <c r="R1679" s="1051"/>
      <c r="S1679" s="1051"/>
      <c r="T1679" s="1051"/>
      <c r="U1679" s="1051"/>
      <c r="V1679" s="1051"/>
      <c r="W1679" s="1051"/>
      <c r="X1679" s="1051"/>
      <c r="Y1679" s="1051"/>
      <c r="Z1679" s="1051"/>
    </row>
    <row r="1680" spans="1:26" ht="56.25">
      <c r="A1680" s="1618"/>
      <c r="B1680" s="1627"/>
      <c r="C1680" s="1583" t="str">
        <f>'Part IX Scoring Criteria'!C122</f>
        <v>Healthy Living and Healthy Eating Seminars</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45">
      <c r="A1681" s="1618"/>
      <c r="B1681" s="1620"/>
      <c r="C1681" s="1583" t="str">
        <f>'Part IX Scoring Criteria'!C123</f>
        <v>Fitness Center and Fitness Classes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weekly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22.5">
      <c r="A1682" s="1618"/>
      <c r="B1682" s="1620"/>
      <c r="C1682" s="1583" t="str">
        <f>'Part IX Scoring Criteria'!C124</f>
        <v>Community Garden</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Daily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4572</v>
      </c>
      <c r="D1683" s="457" t="s">
        <v>3989</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3990</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1989</v>
      </c>
      <c r="C1691" s="1714" t="s">
        <v>3815</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8.75">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4573</v>
      </c>
      <c r="D1693" s="1643"/>
      <c r="E1693" s="1643"/>
      <c r="F1693" s="1643"/>
      <c r="G1693" s="1524" t="s">
        <v>3992</v>
      </c>
      <c r="H1693" s="457"/>
      <c r="I1693" s="1643"/>
      <c r="J1693" s="1643"/>
      <c r="K1693" s="1643"/>
      <c r="L1693" s="1643"/>
      <c r="M1693" s="1620" t="s">
        <v>2436</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3993</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3994</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3995</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90">
      <c r="A1700" s="1618"/>
      <c r="B1700" s="1620"/>
      <c r="C1700" s="1583" t="str">
        <f>'Part IX Scoring Criteria'!C146</f>
        <v>Determining Proper Nutritional Needs for Your Family</v>
      </c>
      <c r="D1700" s="1583">
        <f>'Part IX Scoring Criteria'!D146</f>
        <v>0</v>
      </c>
      <c r="E1700" s="1583">
        <f>'Part IX Scoring Criteria'!E146</f>
        <v>0</v>
      </c>
      <c r="F1700" s="1583">
        <f>'Part IX Scoring Criteria'!F146</f>
        <v>0</v>
      </c>
      <c r="G1700" s="1583" t="str">
        <f>'Part IX Scoring Criteria'!G146</f>
        <v>Monthly seminar discussion provided by Urgent Care of Coastal Georgia</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90">
      <c r="A1701" s="1618"/>
      <c r="B1701" s="1627"/>
      <c r="C1701" s="1583" t="str">
        <f>'Part IX Scoring Criteria'!C147</f>
        <v>How to Source Affordable Healthy Food Options</v>
      </c>
      <c r="D1701" s="1583">
        <f>'Part IX Scoring Criteria'!D147</f>
        <v>0</v>
      </c>
      <c r="E1701" s="1583">
        <f>'Part IX Scoring Criteria'!E147</f>
        <v>0</v>
      </c>
      <c r="F1701" s="1583">
        <f>'Part IX Scoring Criteria'!F147</f>
        <v>0</v>
      </c>
      <c r="G1701" s="1583" t="str">
        <f>'Part IX Scoring Criteria'!G147</f>
        <v>Monthly seminar discussion provided by Urgent Care of Coastal Georgia</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Proper Food Storage, Cooking, and Food Cleaning</v>
      </c>
      <c r="D1702" s="1583">
        <f>'Part IX Scoring Criteria'!D148</f>
        <v>0</v>
      </c>
      <c r="E1702" s="1583">
        <f>'Part IX Scoring Criteria'!E148</f>
        <v>0</v>
      </c>
      <c r="F1702" s="1583">
        <f>'Part IX Scoring Criteria'!F148</f>
        <v>0</v>
      </c>
      <c r="G1702" s="1583" t="str">
        <f>'Part IX Scoring Criteria'!G148</f>
        <v>Monthly seminar discussion provided by Urgent Care of Coastal Georgia</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101.25">
      <c r="A1703" s="1468"/>
      <c r="B1703" s="1468"/>
      <c r="C1703" s="1583" t="str">
        <f>'Part IX Scoring Criteria'!C149</f>
        <v>Community Garden Cultivation Encouragement</v>
      </c>
      <c r="D1703" s="1583">
        <f>'Part IX Scoring Criteria'!D149</f>
        <v>0</v>
      </c>
      <c r="E1703" s="1583">
        <f>'Part IX Scoring Criteria'!E149</f>
        <v>0</v>
      </c>
      <c r="F1703" s="1583">
        <f>'Part IX Scoring Criteria'!F149</f>
        <v>0</v>
      </c>
      <c r="G1703" s="1583" t="str">
        <f>'Part IX Scoring Criteria'!G149</f>
        <v>Health Services Coordinator referrals to agricultural extension office for growing tips.</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5</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1984</v>
      </c>
      <c r="B1709" s="1312" t="s">
        <v>4000</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5">
      <c r="A1710" s="1659"/>
      <c r="B1710" s="1524" t="s">
        <v>3824</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3821</v>
      </c>
      <c r="F1712" s="1676"/>
      <c r="G1712" s="457"/>
      <c r="H1712" s="1676"/>
      <c r="I1712" s="1550" t="str">
        <f>'Part IX Scoring Criteria'!I158</f>
        <v>Camden County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3823</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3864</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3.25">
      <c r="A1716" s="1508"/>
      <c r="B1716" s="1735" t="s">
        <v>3816</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33.75">
      <c r="A1717" s="1620" t="s">
        <v>2436</v>
      </c>
      <c r="B1717" s="1556" t="s">
        <v>3999</v>
      </c>
      <c r="C1717" s="1659"/>
      <c r="D1717" s="1550" t="str">
        <f>'Part IX Scoring Criteria'!D166</f>
        <v>Sugarmill Elementary School</v>
      </c>
      <c r="E1717" s="1550">
        <f>'Part IX Scoring Criteria'!E166</f>
        <v>0</v>
      </c>
      <c r="F1717" s="1550">
        <f>'Part IX Scoring Criteria'!F166</f>
        <v>0</v>
      </c>
      <c r="G1717" s="1850" t="str">
        <f>'Part IX Scoring Criteria'!G166</f>
        <v>PK - 5</v>
      </c>
      <c r="H1717" s="1611">
        <f>'Part IX Scoring Criteria'!H166</f>
        <v>0</v>
      </c>
      <c r="I1717" s="1739">
        <f>'Part IX Scoring Criteria'!I166</f>
        <v>88.6</v>
      </c>
      <c r="J1717" s="1739">
        <f>'Part IX Scoring Criteria'!J166</f>
        <v>88.7</v>
      </c>
      <c r="K1717" s="1739">
        <f>'Part IX Scoring Criteria'!K166</f>
        <v>92.2</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3.75">
      <c r="A1718" s="1627" t="s">
        <v>2437</v>
      </c>
      <c r="B1718" s="1556" t="s">
        <v>4162</v>
      </c>
      <c r="C1718" s="1659"/>
      <c r="D1718" s="1550" t="str">
        <f>'Part IX Scoring Criteria'!D167</f>
        <v>Saint Marys Middle School</v>
      </c>
      <c r="E1718" s="1550">
        <f>'Part IX Scoring Criteria'!E167</f>
        <v>0</v>
      </c>
      <c r="F1718" s="1550">
        <f>'Part IX Scoring Criteria'!F167</f>
        <v>0</v>
      </c>
      <c r="G1718" s="1850" t="str">
        <f>'Part IX Scoring Criteria'!G167</f>
        <v>6 - 8</v>
      </c>
      <c r="H1718" s="1611">
        <f>'Part IX Scoring Criteria'!H167</f>
        <v>0</v>
      </c>
      <c r="I1718" s="1739">
        <f>'Part IX Scoring Criteria'!I167</f>
        <v>72.5</v>
      </c>
      <c r="J1718" s="1739">
        <f>'Part IX Scoring Criteria'!J167</f>
        <v>72.900000000000006</v>
      </c>
      <c r="K1718" s="1739">
        <f>'Part IX Scoring Criteria'!K167</f>
        <v>83.7</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3.75">
      <c r="A1719" s="1620" t="s">
        <v>2438</v>
      </c>
      <c r="B1719" s="1556" t="s">
        <v>3997</v>
      </c>
      <c r="C1719" s="1659"/>
      <c r="D1719" s="1550" t="str">
        <f>'Part IX Scoring Criteria'!D168</f>
        <v>Camden County High School</v>
      </c>
      <c r="E1719" s="1550">
        <f>'Part IX Scoring Criteria'!E168</f>
        <v>0</v>
      </c>
      <c r="F1719" s="1550">
        <f>'Part IX Scoring Criteria'!F168</f>
        <v>0</v>
      </c>
      <c r="G1719" s="1850" t="str">
        <f>'Part IX Scoring Criteria'!G168</f>
        <v>9-12</v>
      </c>
      <c r="H1719" s="1611">
        <f>'Part IX Scoring Criteria'!H168</f>
        <v>0</v>
      </c>
      <c r="I1719" s="1739">
        <f>'Part IX Scoring Criteria'!I168</f>
        <v>91.1</v>
      </c>
      <c r="J1719" s="1739">
        <f>'Part IX Scoring Criteria'!J168</f>
        <v>91.9</v>
      </c>
      <c r="K1719" s="1739">
        <f>'Part IX Scoring Criteria'!K168</f>
        <v>97.6</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2439</v>
      </c>
      <c r="B1721" s="1738" t="s">
        <v>3999</v>
      </c>
      <c r="C1721" s="1659"/>
      <c r="D1721" s="1647" t="str">
        <f>IF(D1717="","",D1717)</f>
        <v>Sugarmill Elementary School</v>
      </c>
      <c r="E1721" s="1659"/>
      <c r="F1721" s="1659"/>
      <c r="G1721" s="1626" t="str">
        <f t="shared" ref="G1721:H1723" si="320">IF(G1717="","",G1717)</f>
        <v>PK - 5</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2440</v>
      </c>
      <c r="B1722" s="1738" t="s">
        <v>3998</v>
      </c>
      <c r="C1722" s="1659"/>
      <c r="D1722" s="1647" t="str">
        <f>IF(D1718="","",D1718)</f>
        <v>Saint Marys Middle School</v>
      </c>
      <c r="E1722" s="1659"/>
      <c r="F1722" s="1659"/>
      <c r="G1722" s="1626" t="str">
        <f t="shared" si="320"/>
        <v>6 - 8</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2456</v>
      </c>
      <c r="B1723" s="1738" t="s">
        <v>3997</v>
      </c>
      <c r="C1723" s="1659"/>
      <c r="D1723" s="1647" t="str">
        <f>IF(D1719="","",D1719)</f>
        <v>Camden County High School</v>
      </c>
      <c r="E1723" s="1659"/>
      <c r="F1723" s="1659"/>
      <c r="G1723" s="1626" t="str">
        <f t="shared" si="320"/>
        <v>9-12</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1986</v>
      </c>
      <c r="B1725" s="1312" t="s">
        <v>4001</v>
      </c>
      <c r="C1725" s="1676"/>
      <c r="D1725" s="1724"/>
      <c r="E1725" s="1724"/>
      <c r="F1725" s="1709" t="s">
        <v>3391</v>
      </c>
      <c r="G1725" s="1676"/>
      <c r="H1725" s="1524" t="s">
        <v>3865</v>
      </c>
      <c r="I1725" s="1676"/>
      <c r="J1725" s="1676"/>
      <c r="K1725" s="1676"/>
      <c r="L1725" s="1676"/>
      <c r="M1725" s="1313">
        <v>2</v>
      </c>
      <c r="N1725" s="1696"/>
      <c r="O1725" s="1658" t="str">
        <f>'Part IX Scoring Criteria'!O171</f>
        <v>2.</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Kingsland</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3659</v>
      </c>
      <c r="P1727" s="1741"/>
      <c r="Q1727" s="1051"/>
      <c r="R1727" s="1638" t="s">
        <v>2834</v>
      </c>
      <c r="S1727" s="1051"/>
      <c r="T1727" s="1638" t="str">
        <f>'Part I-Project Information'!$J$39</f>
        <v>Camden</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Camden Co.</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3858</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3859</v>
      </c>
      <c r="C1731" s="1051"/>
      <c r="D1731" s="1051"/>
      <c r="E1731" s="1745"/>
      <c r="F1731" s="1745"/>
      <c r="G1731" s="1745"/>
      <c r="H1731" s="1051"/>
      <c r="I1731" s="1745">
        <f>'Part IX Scoring Criteria'!I177</f>
        <v>4500</v>
      </c>
      <c r="J1731" s="1745">
        <f>'Part IX Scoring Criteria'!J177</f>
        <v>0</v>
      </c>
      <c r="K1731" s="1051"/>
      <c r="L1731" s="1051"/>
      <c r="M1731" s="1051"/>
      <c r="N1731" s="1051"/>
      <c r="O1731" s="1051"/>
      <c r="P1731" s="1051"/>
      <c r="Q1731" s="1051"/>
      <c r="R1731" s="1051" t="s">
        <v>3624</v>
      </c>
      <c r="S1731" s="1051"/>
      <c r="T1731" s="1638" t="str">
        <f>'Part I-Project Information'!$K$40</f>
        <v>Rural</v>
      </c>
      <c r="U1731" s="1638"/>
      <c r="V1731" s="1638"/>
      <c r="W1731" s="1638"/>
      <c r="X1731" s="1638"/>
      <c r="Y1731" s="1051"/>
      <c r="Z1731" s="1051"/>
    </row>
    <row r="1732" spans="1:26" ht="13.5">
      <c r="A1732" s="1738"/>
      <c r="B1732" s="1647" t="s">
        <v>3623</v>
      </c>
      <c r="C1732" s="1051"/>
      <c r="D1732" s="1051"/>
      <c r="E1732" s="1051"/>
      <c r="F1732" s="1051"/>
      <c r="G1732" s="1051"/>
      <c r="H1732" s="1746" t="str">
        <f>IF(I1732&lt;I1731,"Threshold not met!","")</f>
        <v/>
      </c>
      <c r="I1732" s="1745">
        <f>'Part IX Scoring Criteria'!I178</f>
        <v>5654</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4163</v>
      </c>
      <c r="D1734" s="1638"/>
      <c r="E1734" s="1638"/>
      <c r="F1734" s="1638"/>
      <c r="G1734" s="1638"/>
      <c r="H1734" s="1747" t="s">
        <v>1987</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4005</v>
      </c>
      <c r="D1735" s="1734"/>
      <c r="E1735" s="1734"/>
      <c r="F1735" s="1734"/>
      <c r="G1735" s="1051"/>
      <c r="H1735" s="1747" t="s">
        <v>1989</v>
      </c>
      <c r="I1735" s="1748" t="str">
        <f>'Part IX Scoring Criteria'!I181</f>
        <v>Yes</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0.25644444444444447</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5">
      <c r="A1739" s="1583" t="str">
        <f>'Part IX Scoring Criteria'!A185</f>
        <v>Abbington Sound is within the attendance zones for Sugarmill Elementary School, Saint Marys Middle School, and Camden County High School within the Atlanta Public Schools system.  Two of these schools received the "Beating the Odds" designation and all three exceeded the minimum scoring CCRPI value when scores are averaged from 2015-2017.  Therefore, the development qualifies for the full 3 points under Quality Education Areas.  The site also qualifies for 2 points under Workforce Housing Need as 5,654 jobs were identified by "On the Map" within a 2-mile radius of the site.  The address used in On the Map was approximately 1455 Winding Road, Kingsland, GA 31548.  The minimum scoring threshold for Rural Area was 3,000 jobs (1 point) or 4,500 (2 points) for exceeding the target threshold by 50%.  This site exceeded the 50% increase threshold and is eligible for the full 1 jobs points.</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4129</v>
      </c>
      <c r="D1747" s="1583"/>
      <c r="E1747" s="1583"/>
      <c r="F1747" s="1583"/>
      <c r="G1747" s="1583"/>
      <c r="H1747" s="1583"/>
      <c r="I1747" s="1583"/>
      <c r="J1747" s="1627" t="s">
        <v>2436</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4578</v>
      </c>
      <c r="D1749" s="1583"/>
      <c r="E1749" s="1583"/>
      <c r="F1749" s="1583"/>
      <c r="G1749" s="1583"/>
      <c r="H1749" s="1659"/>
      <c r="I1749" s="1659"/>
      <c r="J1749" s="1620" t="s">
        <v>2437</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4015</v>
      </c>
      <c r="D1751" s="1604"/>
      <c r="E1751" s="1604"/>
      <c r="F1751" s="1604"/>
      <c r="G1751" s="1604"/>
      <c r="H1751" s="1604"/>
      <c r="I1751" s="1596"/>
      <c r="J1751" s="1627" t="s">
        <v>2439</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4006</v>
      </c>
      <c r="D1753" s="1604"/>
      <c r="E1753" s="1604"/>
      <c r="F1753" s="1604"/>
      <c r="G1753" s="1604"/>
      <c r="H1753" s="1604"/>
      <c r="I1753" s="1596"/>
      <c r="J1753" s="1627" t="s">
        <v>2440</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4007</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4579</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4010</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4580</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4581</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3776</v>
      </c>
      <c r="E1764" s="1647" t="str">
        <f>'Part I-Project Information'!$N$39</f>
        <v>No</v>
      </c>
      <c r="G1764" s="1647" t="s">
        <v>3575</v>
      </c>
      <c r="I1764" s="1754" t="str">
        <f>'Part I-Project Information'!$O$38</f>
        <v>13039010401</v>
      </c>
      <c r="J1764" s="1754"/>
      <c r="K1764" s="1524" t="s">
        <v>3375</v>
      </c>
      <c r="M1764" s="1524" t="str">
        <f>'Part IV-A-Uses of Funds'!$H$152</f>
        <v>DDA/QCT</v>
      </c>
    </row>
    <row r="1765" spans="1:26">
      <c r="A1765" s="1618"/>
      <c r="B1765" s="1647"/>
      <c r="D1765" s="1626"/>
      <c r="E1765" s="1647"/>
      <c r="G1765" s="1524"/>
      <c r="K1765" s="1524"/>
      <c r="L1765" s="1524"/>
    </row>
    <row r="1766" spans="1:26">
      <c r="A1766" s="1508" t="s">
        <v>1986</v>
      </c>
      <c r="B1766" s="1503" t="s">
        <v>4013</v>
      </c>
      <c r="D1766" s="1314"/>
      <c r="K1766" s="1512"/>
      <c r="L1766" s="1625" t="str">
        <f>IF(OR($O1766=$M1766,$O1766=0,$O1766=""),"","* * Check Score! * *")</f>
        <v/>
      </c>
      <c r="M1766" s="1313">
        <v>2</v>
      </c>
      <c r="N1766" s="1618" t="s">
        <v>1986</v>
      </c>
      <c r="O1766" s="1658">
        <f>'Part IX Scoring Criteria'!O210</f>
        <v>2</v>
      </c>
      <c r="P1766" s="1658">
        <f>'Part IX Scoring Criteria'!P210</f>
        <v>0</v>
      </c>
      <c r="Q1766" s="1698" t="str">
        <f>IF(OR($O1766=$M1766,$O1766=0,$O1766=""),"","*CHECK!*")</f>
        <v/>
      </c>
      <c r="R1766" s="1331" t="s">
        <v>2707</v>
      </c>
    </row>
    <row r="1767" spans="1:26" ht="18.75">
      <c r="A1767" s="1508"/>
      <c r="B1767" s="457" t="s">
        <v>2795</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33.75">
      <c r="A1768" s="1624"/>
      <c r="B1768" s="457" t="s">
        <v>3855</v>
      </c>
      <c r="C1768" s="1659"/>
      <c r="D1768" s="1659"/>
      <c r="E1768" s="1659"/>
      <c r="F1768" s="1659"/>
      <c r="G1768" s="1659"/>
      <c r="H1768" s="1659"/>
      <c r="I1768" s="1659"/>
      <c r="J1768" s="1550" t="str">
        <f>'Part IX Scoring Criteria'!J212</f>
        <v>Georgia Department of Transportation</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3856</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8.75">
      <c r="A1770" s="1562"/>
      <c r="B1770" s="1647" t="s">
        <v>4188</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3785</v>
      </c>
      <c r="G1771" s="1604"/>
      <c r="J1771" s="1853">
        <f>'Part IX Scoring Criteria'!O215</f>
        <v>0.1</v>
      </c>
      <c r="K1771" s="1755" t="s">
        <v>3784</v>
      </c>
      <c r="L1771" s="1596"/>
      <c r="N1771" s="1320"/>
      <c r="O1771" s="1322"/>
      <c r="P1771" s="1322"/>
      <c r="V1771" s="1726"/>
      <c r="W1771" s="1726"/>
    </row>
    <row r="1772" spans="1:26" ht="18.75" customHeight="1">
      <c r="A1772" s="1756" t="s">
        <v>4168</v>
      </c>
      <c r="B1772" s="1583" t="s">
        <v>4165</v>
      </c>
      <c r="C1772" s="1583"/>
      <c r="D1772" s="1573" t="str">
        <f>'Part IX Scoring Criteria'!D218</f>
        <v>Camden County Board of Commissioners / Georgia Department of Transportation</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t="str">
        <f>'Part IX Scoring Criteria'!D219</f>
        <v>Project is under construction and would enhance the development site's ability to handle the increased traffic from Abbington Sound.  Project would also encourage other development along Colerain Road/Kingsland Bypass and bring other amenities closer to future Abbinton Sound residents.</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t="str">
        <f>'Part IX Scoring Criteria'!D220</f>
        <v>Widening and reconstruction of existing 5-mile segment of Colerain Road from I-95 to Kings Bay Road to include sidewalks would allow better pedestrian and vehicle mobility and safety for residents at Abbington Sound.</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3454</v>
      </c>
      <c r="G1775" s="457" t="s">
        <v>2630</v>
      </c>
      <c r="H1775" s="457"/>
      <c r="J1775" s="1854">
        <f>'Part IX Scoring Criteria'!J221</f>
        <v>8024888.9000000004</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4582</v>
      </c>
      <c r="D1776" s="1582"/>
      <c r="E1776" s="1659"/>
      <c r="F1776" s="1659"/>
      <c r="G1776" s="1757">
        <f ca="1">'Part IV-A-Uses of Funds'!$G$132</f>
        <v>15903809.932432491</v>
      </c>
      <c r="H1776" s="1757"/>
      <c r="I1776" s="1659"/>
      <c r="J1776" s="1758">
        <f ca="1">'Part IX Scoring Criteria'!J222</f>
        <v>0.50458908488556065</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12.5">
      <c r="A1778" s="1583" t="str">
        <f>'Part IX Scoring Criteria'!A224</f>
        <v>This development is not pursuing points under Revitalization/Redevelopment Plans.</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5">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4019</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4020</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4021</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4583</v>
      </c>
      <c r="D1789" s="1314"/>
      <c r="G1789" s="1647" t="s">
        <v>3780</v>
      </c>
      <c r="Q1789" s="1372"/>
    </row>
    <row r="1790" spans="1:26">
      <c r="A1790" s="1618"/>
      <c r="B1790" s="457" t="s">
        <v>3860</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4022</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8.75">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8.75">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4027</v>
      </c>
      <c r="D1799" s="1604"/>
      <c r="E1799" s="1604"/>
      <c r="F1799" s="1604"/>
      <c r="G1799" s="1647" t="s">
        <v>3780</v>
      </c>
      <c r="H1799" s="1604"/>
      <c r="I1799" s="1604"/>
      <c r="J1799" s="1604"/>
      <c r="K1799" s="1604"/>
      <c r="L1799" s="1604"/>
      <c r="M1799" s="1604"/>
      <c r="N1799" s="1604"/>
      <c r="O1799" s="1578" t="s">
        <v>2511</v>
      </c>
      <c r="P1799" s="1578" t="s">
        <v>2511</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8.75">
      <c r="A1801" s="1618"/>
      <c r="B1801" s="1620" t="s">
        <v>2436</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4035</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4036</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1986</v>
      </c>
      <c r="B1816" s="1503" t="s">
        <v>4586</v>
      </c>
      <c r="D1816" s="1314"/>
      <c r="G1816" s="1647" t="s">
        <v>3780</v>
      </c>
      <c r="O1816" s="1578" t="s">
        <v>2511</v>
      </c>
      <c r="P1816" s="1578" t="s">
        <v>2511</v>
      </c>
      <c r="Q1816" s="1372"/>
    </row>
    <row r="1817" spans="1:26" ht="18.75" customHeight="1">
      <c r="A1817" s="1618"/>
      <c r="B1817" s="1733" t="s">
        <v>1987</v>
      </c>
      <c r="C1817" s="1583" t="s">
        <v>4030</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8.75">
      <c r="A1818" s="1618"/>
      <c r="B1818" s="1733" t="s">
        <v>1989</v>
      </c>
      <c r="C1818" s="1524" t="s">
        <v>4031</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02">
      <c r="A1820" s="1573" t="str">
        <f>'Part IX Scoring Criteria'!A273</f>
        <v>This development is not pursuing points under Community Transformation.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2787</v>
      </c>
      <c r="C1824" s="1676"/>
      <c r="D1824" s="1677"/>
      <c r="E1824" s="1677"/>
      <c r="F1824" s="1676"/>
      <c r="G1824" s="1676"/>
      <c r="H1824" s="1335" t="s">
        <v>4176</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3599</v>
      </c>
      <c r="B1826" s="1503" t="s">
        <v>3597</v>
      </c>
      <c r="C1826" s="1676"/>
      <c r="D1826" s="1677"/>
      <c r="E1826" s="1677"/>
      <c r="F1826" s="1676"/>
      <c r="G1826" s="1676"/>
      <c r="H1826" s="1335"/>
      <c r="I1826" s="1676"/>
      <c r="J1826" s="1676"/>
      <c r="K1826" s="1676"/>
      <c r="L1826" s="1676"/>
      <c r="M1826" s="1313">
        <v>3</v>
      </c>
      <c r="N1826" s="1721" t="s">
        <v>4039</v>
      </c>
      <c r="O1826" s="1499">
        <f>'Part IX Scoring Criteria'!O279</f>
        <v>3</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Rural</v>
      </c>
      <c r="N1827" s="1721"/>
      <c r="O1827" s="1626" t="s">
        <v>2511</v>
      </c>
      <c r="P1827" s="1626" t="s">
        <v>2511</v>
      </c>
    </row>
    <row r="1828" spans="1:26" ht="12.75" customHeight="1">
      <c r="A1828" s="1764"/>
      <c r="B1828" s="1729" t="s">
        <v>1987</v>
      </c>
      <c r="C1828" s="1051" t="s">
        <v>2686</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f>'Part IX Scoring Criteria'!H282</f>
        <v>0.1</v>
      </c>
      <c r="I1829" s="1051" t="s">
        <v>2741</v>
      </c>
      <c r="L1829" s="457" t="s">
        <v>2739</v>
      </c>
      <c r="M1829" s="1577" t="str">
        <f>IF(O1829&gt;H1829,"CHECK ACTUAL PERCENT!!!","")</f>
        <v/>
      </c>
      <c r="N1829" s="1696" t="s">
        <v>1989</v>
      </c>
      <c r="O1829" s="1766">
        <f>'Part IX Scoring Criteria'!O282</f>
        <v>9.8000000000000004E-2</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t="str">
        <f>'Part IX Scoring Criteria'!O283</f>
        <v>Upper</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1</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25</v>
      </c>
      <c r="P1835" s="1578">
        <f>'Part IX Scoring Criteria'!P289</f>
        <v>0</v>
      </c>
    </row>
    <row r="1836" spans="1:26">
      <c r="A1836" s="1531" t="s">
        <v>2116</v>
      </c>
      <c r="B1836" s="1729" t="s">
        <v>3600</v>
      </c>
      <c r="C1836" s="1051"/>
      <c r="G1836" s="1647" t="s">
        <v>3601</v>
      </c>
      <c r="H1836" s="1771">
        <f>'Part VI-Revenues &amp; Expenses'!$O$64</f>
        <v>0</v>
      </c>
      <c r="I1836" s="1626" t="s">
        <v>3603</v>
      </c>
      <c r="J1836" s="1771">
        <f>'Part VI-Revenues &amp; Expenses'!$O$67</f>
        <v>84</v>
      </c>
      <c r="K1836" s="1626" t="s">
        <v>3604</v>
      </c>
      <c r="L1836" s="1772">
        <f>IF(J1836=0,0,H1836/J1836)</f>
        <v>0</v>
      </c>
      <c r="M1836" s="1313">
        <v>2</v>
      </c>
      <c r="N1836" s="1315" t="s">
        <v>2116</v>
      </c>
      <c r="O1836" s="1496">
        <f>'Part IX Scoring Criteria'!O293</f>
        <v>0</v>
      </c>
      <c r="P1836" s="1496">
        <f>'Part IX Scoring Criteria'!P293</f>
        <v>0</v>
      </c>
    </row>
    <row r="1837" spans="1:26" ht="15">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4040</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3788</v>
      </c>
      <c r="D1842" s="1635"/>
      <c r="L1842" s="1635"/>
      <c r="M1842" s="1775"/>
      <c r="N1842" s="1620" t="s">
        <v>1986</v>
      </c>
      <c r="O1842" s="1621">
        <f>'Part IX Scoring Criteria'!O300</f>
        <v>0</v>
      </c>
      <c r="P1842" s="1621">
        <f>'Part IX Scoring Criteria'!P300</f>
        <v>0</v>
      </c>
      <c r="U1842" s="1626">
        <f>IF(L1842="Yes",1,0)</f>
        <v>0</v>
      </c>
    </row>
    <row r="1843" spans="1:26" ht="15">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23.75">
      <c r="A1844" s="1583" t="str">
        <f>'Part IX Scoring Criteria'!A302</f>
        <v>The development site is not located within a HUD Choise Neighborhood or Purpose Built Community.</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2460</v>
      </c>
      <c r="C1848" s="1659"/>
      <c r="D1848" s="1695"/>
      <c r="E1848" s="1695"/>
      <c r="F1848" s="1695"/>
      <c r="G1848" s="1659"/>
      <c r="H1848" s="1709" t="s">
        <v>3391</v>
      </c>
      <c r="I1848" s="1659"/>
      <c r="J1848" s="1577" t="s">
        <v>2795</v>
      </c>
      <c r="K1848" s="1317"/>
      <c r="L1848" s="1577" t="str">
        <f>'Part I-Project Information'!$H$105</f>
        <v>Rural</v>
      </c>
      <c r="M1848" s="1496">
        <v>4</v>
      </c>
      <c r="N1848" s="1313"/>
      <c r="O1848" s="1496">
        <f>'Part IX Scoring Criteria'!O306</f>
        <v>0</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4588</v>
      </c>
      <c r="D1849" s="1314"/>
      <c r="E1849" s="1314"/>
      <c r="F1849" s="1314"/>
      <c r="H1849" s="1577" t="s">
        <v>3681</v>
      </c>
      <c r="I1849" s="1051"/>
      <c r="J1849" s="1577" t="str">
        <f>'Part I-Project Information'!$O$34</f>
        <v>No</v>
      </c>
      <c r="K1849" s="1577"/>
      <c r="L1849" s="1725">
        <f>'Part I-Project Information'!$O$35</f>
        <v>0</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4189</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3857</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4591</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4592</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4594</v>
      </c>
      <c r="D1863" s="1314"/>
      <c r="E1863" s="1314"/>
      <c r="F1863" s="1314"/>
      <c r="G1863" s="1524"/>
      <c r="H1863" s="1525"/>
      <c r="I1863" s="1524"/>
      <c r="K1863" s="1500"/>
      <c r="L1863" s="1500"/>
      <c r="M1863" s="1320">
        <v>3</v>
      </c>
      <c r="N1863" s="1776" t="s">
        <v>1989</v>
      </c>
      <c r="O1863" s="1658">
        <f>'Part IX Scoring Criteria'!O322</f>
        <v>0</v>
      </c>
      <c r="P1863" s="1658">
        <f>'Part IX Scoring Criteria'!P322</f>
        <v>0</v>
      </c>
      <c r="Q1863" s="1698" t="str">
        <f>IF(OR($O1863=$M1863,$O1863=0,$O1863=""),"","*CHECK!*")</f>
        <v/>
      </c>
      <c r="R1863" s="1740" t="s">
        <v>2707</v>
      </c>
    </row>
    <row r="1864" spans="1:26">
      <c r="A1864" s="1621" t="s">
        <v>1353</v>
      </c>
      <c r="B1864" s="1733" t="s">
        <v>2535</v>
      </c>
      <c r="C1864" s="1633" t="s">
        <v>4595</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5">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47.5">
      <c r="A1866" s="1583" t="str">
        <f>'Part IX Scoring Criteria'!A325</f>
        <v>The development site is located within the boundary of the City of Kingsland, which last received a 9% Georgia Housing Credit award in 2016.  Therefore, it is not eligible for any points in this category.</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8.75">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8.75">
      <c r="A1872" s="1508"/>
      <c r="B1872" s="1524" t="s">
        <v>2692</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8.75">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8.75">
      <c r="A1874" s="1508"/>
      <c r="B1874" s="1524" t="s">
        <v>4047</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5">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2783</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1986</v>
      </c>
      <c r="B1879" s="1503" t="s">
        <v>4049</v>
      </c>
      <c r="C1879" s="1543"/>
      <c r="D1879" s="1638"/>
      <c r="E1879" s="457"/>
      <c r="F1879" s="1659"/>
      <c r="G1879" s="1532">
        <f>'Part IX Scoring Criteria'!G343</f>
        <v>0</v>
      </c>
      <c r="H1879" s="1659"/>
      <c r="I1879" s="1659"/>
      <c r="J1879" s="1524" t="s">
        <v>2687</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5">
      <c r="A1880" s="1508"/>
      <c r="B1880" s="1730" t="s">
        <v>1987</v>
      </c>
      <c r="C1880" s="457" t="s">
        <v>3460</v>
      </c>
      <c r="D1880" s="1314"/>
      <c r="E1880" s="1676"/>
      <c r="F1880" s="1676"/>
      <c r="G1880" s="1676"/>
      <c r="H1880" s="1676"/>
      <c r="I1880" s="1676"/>
      <c r="J1880" s="1676"/>
      <c r="K1880" s="1676"/>
      <c r="L1880" s="1676"/>
      <c r="M1880" s="1676"/>
      <c r="N1880" s="1776" t="s">
        <v>1987</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1989</v>
      </c>
      <c r="C1881" s="457" t="s">
        <v>4066</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2535</v>
      </c>
      <c r="C1882" s="457" t="s">
        <v>4065</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4067</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1984</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1987</v>
      </c>
      <c r="C1885" s="457" t="s">
        <v>3460</v>
      </c>
      <c r="D1885" s="457"/>
      <c r="E1885" s="457"/>
      <c r="F1885" s="1676"/>
      <c r="G1885" s="1676"/>
      <c r="H1885" s="1676"/>
      <c r="I1885" s="1676"/>
      <c r="J1885" s="1676"/>
      <c r="K1885" s="1676"/>
      <c r="L1885" s="1676"/>
      <c r="M1885" s="1496"/>
      <c r="N1885" s="1776" t="s">
        <v>1987</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1989</v>
      </c>
      <c r="C1886" s="457" t="s">
        <v>4079</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2535</v>
      </c>
      <c r="C1887" s="457" t="s">
        <v>4067</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2252</v>
      </c>
      <c r="B1891" s="1661" t="s">
        <v>4051</v>
      </c>
      <c r="C1891" s="1719"/>
      <c r="D1891" s="1719"/>
      <c r="E1891" s="1719"/>
      <c r="F1891" s="1719"/>
      <c r="G1891" s="1719"/>
      <c r="H1891" s="457" t="s">
        <v>3576</v>
      </c>
      <c r="I1891" s="1612" t="str">
        <f>'Part I-Project Information'!$H$105</f>
        <v>Rural</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t="str">
        <f>'Part IX Scoring Criteria'!I361</f>
        <v>1 - Abbington at Ormewood Park</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t="str">
        <f>'Part IX Scoring Criteria'!I362</f>
        <v>2 - Abbington Sound</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01.25">
      <c r="A1896" s="1583" t="str">
        <f>'Part IX Scoring Criteria'!A365</f>
        <v xml:space="preserve">Applicant has elected to NOT assign its Bonus Point to the Abbington Sound application.       </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1984</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5">
      <c r="A1902" s="1659"/>
      <c r="B1902" s="1524" t="s">
        <v>4055</v>
      </c>
      <c r="C1902" s="1659"/>
      <c r="D1902" s="1676"/>
      <c r="E1902" s="1543"/>
      <c r="F1902" s="457"/>
      <c r="G1902" s="457"/>
      <c r="H1902" s="457" t="str">
        <f>'Part IX Scoring Criteria'!I370</f>
        <v>Camden County</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4052</v>
      </c>
      <c r="D1903" s="457"/>
      <c r="E1903" s="457"/>
      <c r="F1903" s="457"/>
      <c r="G1903" s="457"/>
      <c r="H1903" s="457"/>
      <c r="I1903" s="457"/>
      <c r="J1903" s="457"/>
      <c r="K1903" s="457"/>
      <c r="L1903" s="457"/>
      <c r="M1903" s="457"/>
      <c r="N1903" s="1776" t="s">
        <v>1987</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4053</v>
      </c>
      <c r="D1904" s="457"/>
      <c r="E1904" s="457"/>
      <c r="F1904" s="457"/>
      <c r="G1904" s="457"/>
      <c r="H1904" s="457"/>
      <c r="I1904" s="457"/>
      <c r="J1904" s="457"/>
      <c r="K1904" s="457"/>
      <c r="L1904" s="457"/>
      <c r="M1904" s="457"/>
      <c r="N1904" s="1776" t="s">
        <v>1989</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4054</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1986</v>
      </c>
      <c r="B1908" s="1503" t="s">
        <v>2798</v>
      </c>
      <c r="D1908" s="1314"/>
      <c r="H1908" s="1778" t="s">
        <v>3485</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Kingsland</v>
      </c>
      <c r="D1910" s="1314"/>
      <c r="E1910" s="457" t="s">
        <v>3484</v>
      </c>
      <c r="F1910" s="457" t="str">
        <f>'Part I-Project Information'!$J$39</f>
        <v>Camden</v>
      </c>
      <c r="G1910" s="1314"/>
      <c r="H1910" s="1524" t="s">
        <v>451</v>
      </c>
      <c r="I1910" s="1524" t="str">
        <f>'Part I-Project Information'!$N$39</f>
        <v>No</v>
      </c>
      <c r="J1910" s="1314"/>
      <c r="K1910" s="1524" t="s">
        <v>3614</v>
      </c>
      <c r="L1910" s="1754" t="str">
        <f>'Part I-Project Information'!$O$38</f>
        <v>13039010401</v>
      </c>
      <c r="M1910" s="1754"/>
      <c r="N1910" s="1754"/>
      <c r="O1910" s="1754"/>
      <c r="P1910" s="1754"/>
      <c r="Q1910" s="1314"/>
      <c r="R1910" s="1314"/>
      <c r="S1910" s="1314"/>
      <c r="T1910" s="1314"/>
      <c r="U1910" s="1314"/>
      <c r="V1910" s="1314"/>
      <c r="W1910" s="1314"/>
      <c r="X1910" s="1314"/>
      <c r="Y1910" s="1314"/>
      <c r="Z1910" s="1314"/>
    </row>
    <row r="1911" spans="1:26" ht="15">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13.75">
      <c r="A1912" s="1583" t="str">
        <f>'Part IX Scoring Criteria'!A380</f>
        <v>Development site is located within a GICH alumni community (Camden County), but this community has not maintained the requirements necessary to be a current team.</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4098</v>
      </c>
      <c r="B1916" s="1661" t="s">
        <v>4058</v>
      </c>
      <c r="C1916" s="1659"/>
      <c r="D1916" s="1543"/>
      <c r="E1916" s="1543"/>
      <c r="F1916" s="457"/>
      <c r="G1916" s="457"/>
      <c r="H1916" s="1503" t="s">
        <v>2795</v>
      </c>
      <c r="I1916" s="1659"/>
      <c r="J1916" s="1503" t="str">
        <f>'Part I-Project Information'!$H$105</f>
        <v>Rural</v>
      </c>
      <c r="K1916" s="1659"/>
      <c r="L1916" s="1625" t="str">
        <f>IF(OR($O1916=$M1916,$O1916=$M1923,$O1916=$M1941,$O1916=0,$O1916=""),"","* * Check Score! * *")</f>
        <v>* * Check Score! * *</v>
      </c>
      <c r="M1916" s="1658">
        <v>4</v>
      </c>
      <c r="N1916" s="1313"/>
      <c r="O1916" s="1658">
        <f>'Part IX Scoring Criteria'!O384</f>
        <v>2</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2883</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5">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3805</v>
      </c>
      <c r="D1919" s="1051"/>
      <c r="E1919" s="1051"/>
      <c r="F1919" s="1051"/>
      <c r="G1919" s="1051"/>
      <c r="H1919" s="1051"/>
      <c r="I1919" s="1051"/>
      <c r="J1919" s="1051"/>
      <c r="K1919" s="1051"/>
      <c r="L1919" s="1648"/>
      <c r="M1919" s="1648"/>
      <c r="N1919" s="1627" t="s">
        <v>2437</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3804</v>
      </c>
      <c r="D1920" s="1051"/>
      <c r="E1920" s="1051"/>
      <c r="F1920" s="1051"/>
      <c r="G1920" s="1051"/>
      <c r="H1920" s="1051"/>
      <c r="I1920" s="1051"/>
      <c r="J1920" s="1051"/>
      <c r="K1920" s="1051"/>
      <c r="L1920" s="1648"/>
      <c r="M1920" s="1648"/>
      <c r="N1920" s="1620" t="s">
        <v>2438</v>
      </c>
      <c r="O1920" s="1621" t="str">
        <f>'Part IX Scoring Criteria'!O388</f>
        <v>Yes</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4059</v>
      </c>
      <c r="D1921" s="1550"/>
      <c r="E1921" s="1550"/>
      <c r="F1921" s="1550"/>
      <c r="G1921" s="1550"/>
      <c r="H1921" s="1550"/>
      <c r="I1921" s="1550"/>
      <c r="J1921" s="1550"/>
      <c r="K1921" s="1550"/>
      <c r="L1921" s="1550"/>
      <c r="M1921" s="1550"/>
      <c r="N1921" s="1627" t="s">
        <v>2439</v>
      </c>
      <c r="O1921" s="1628" t="str">
        <f>'Part IX Scoring Criteria'!O389</f>
        <v>Yes</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4060</v>
      </c>
      <c r="L1923" s="1625" t="str">
        <f>IF(OR($O1923=$M1923,$O1923=0,$O1923=""),"","* * Check Score! * *")</f>
        <v>* * Check Score! * *</v>
      </c>
      <c r="M1923" s="1316">
        <v>3</v>
      </c>
      <c r="N1923" s="1620" t="s">
        <v>1984</v>
      </c>
      <c r="O1923" s="1658">
        <f>'Part IX Scoring Criteria'!O391</f>
        <v>2</v>
      </c>
      <c r="P1923" s="1658">
        <f>'Part IX Scoring Criteria'!P391</f>
        <v>0</v>
      </c>
      <c r="Q1923" s="1698" t="str">
        <f>IF(OR($O1923=$M1923,$O1923=0,$O1923=""),"","*CHECK!*")</f>
        <v>*CHECK!*</v>
      </c>
      <c r="R1923" s="1740" t="s">
        <v>2707</v>
      </c>
    </row>
    <row r="1924" spans="1:26" ht="12.75" customHeight="1">
      <c r="A1924" s="1780"/>
      <c r="B1924" s="1712" t="s">
        <v>1987</v>
      </c>
      <c r="C1924" s="1583" t="s">
        <v>4061</v>
      </c>
      <c r="D1924" s="1583"/>
      <c r="E1924" s="1583"/>
      <c r="F1924" s="1583"/>
      <c r="G1924" s="1583"/>
      <c r="H1924" s="1583"/>
      <c r="I1924" s="1583"/>
      <c r="J1924" s="1722" t="s">
        <v>1991</v>
      </c>
      <c r="K1924" s="1722"/>
      <c r="M1924" s="1722" t="s">
        <v>1991</v>
      </c>
      <c r="N1924" s="1722"/>
      <c r="O1924" s="1722"/>
      <c r="P1924" s="1722"/>
    </row>
    <row r="1925" spans="1:26" ht="15">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3619</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3461</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3617</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4597</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3618</v>
      </c>
      <c r="I1933" s="1620" t="s">
        <v>2459</v>
      </c>
      <c r="J1933" s="1545">
        <f>'Part IX Scoring Criteria'!J402</f>
        <v>805706</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4134</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2629</v>
      </c>
      <c r="J1935" s="1545">
        <f>SUM(J1925:K1934)</f>
        <v>805706</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1989</v>
      </c>
      <c r="C1937" s="1531" t="s">
        <v>2628</v>
      </c>
      <c r="E1937" s="1524" t="s">
        <v>2630</v>
      </c>
      <c r="H1937" s="1607">
        <f>'Part IX Scoring Criteria'!I407</f>
        <v>0</v>
      </c>
      <c r="I1937" s="1316"/>
      <c r="J1937" s="1545">
        <f ca="1">'Part IV-A-Uses of Funds'!$G$132</f>
        <v>15903809.932432491</v>
      </c>
      <c r="K1937" s="1545"/>
      <c r="M1937" s="1311"/>
      <c r="N1937" s="1311"/>
      <c r="P1937" s="1311"/>
    </row>
    <row r="1938" spans="1:26" ht="12.75" customHeight="1">
      <c r="A1938" s="1570" t="s">
        <v>4599</v>
      </c>
      <c r="B1938" s="1570"/>
      <c r="C1938" s="1570"/>
      <c r="D1938" s="1570"/>
      <c r="E1938" s="1647" t="s">
        <v>2631</v>
      </c>
      <c r="H1938" s="1859">
        <f>'Part IX Scoring Criteria'!I408</f>
        <v>0</v>
      </c>
      <c r="I1938" s="1316"/>
      <c r="J1938" s="1783">
        <f ca="1">IF($J1937=0,0,$J1935/$J1937)</f>
        <v>5.0661193979496151E-2</v>
      </c>
      <c r="K1938" s="1783"/>
      <c r="M1938" s="1783">
        <f ca="1">IF($J1937=0,0,$M1935/$J1937)</f>
        <v>0</v>
      </c>
      <c r="N1938" s="1783"/>
      <c r="O1938" s="1783"/>
      <c r="P1938" s="1783"/>
    </row>
    <row r="1939" spans="1:26" ht="15">
      <c r="A1939" s="1570"/>
      <c r="B1939" s="1570"/>
      <c r="C1939" s="1570"/>
      <c r="D1939" s="1570"/>
      <c r="E1939" s="1638" t="s">
        <v>4239</v>
      </c>
      <c r="F1939" s="1659"/>
      <c r="G1939" s="1659"/>
      <c r="H1939" s="1607">
        <f>'Part IX Scoring Criteria'!I409</f>
        <v>0</v>
      </c>
      <c r="I1939" s="1316"/>
      <c r="J1939" s="1529">
        <f ca="1">IF(L1918="",IF(OR(AND($J1916="Flexible",$J1938&gt;=0.15),AND($J1916="Rural",$J1938&gt;=0.1)), 4,IF(AND($J1916="Flexible",$J1938&gt;=0.1), 3,IF(OR(AND($J1916="Flexible",$J1938&gt;=0.05),AND($J1916="Rural",$J1938&gt;=0.05)), 2,IF(OR(AND($J1916="Flexible",$J1938&gt;=0.02),AND($J1916="Rural",$J1938&gt;=0.02)),1,0)))),0)</f>
        <v>2</v>
      </c>
      <c r="K1939" s="1529"/>
      <c r="L1939" s="1503"/>
      <c r="M1939" s="1529">
        <f ca="1">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1986</v>
      </c>
      <c r="B1941" s="1681" t="s">
        <v>3621</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4062</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2437</v>
      </c>
      <c r="C1943" s="457" t="s">
        <v>3797</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4063</v>
      </c>
      <c r="N1944" s="1620" t="s">
        <v>2438</v>
      </c>
      <c r="O1944" s="1621">
        <f>'Part IX Scoring Criteria'!O414</f>
        <v>0</v>
      </c>
      <c r="P1944" s="1621">
        <f>'Part IX Scoring Criteria'!P414</f>
        <v>0</v>
      </c>
    </row>
    <row r="1945" spans="1:26">
      <c r="B1945" s="1677" t="s">
        <v>3751</v>
      </c>
      <c r="N1945" s="1320"/>
      <c r="O1945" s="1322"/>
      <c r="P1945" s="1322"/>
    </row>
    <row r="1946" spans="1:26" ht="303.75">
      <c r="A1946" s="1583" t="str">
        <f>'Part IX Scoring Criteria'!A416</f>
        <v>The development team has agreed to defer $805,706 of developer fee, which is a qualifying source of favorable financing under the scoring criteria of the CDBG-DR NOFA.  This deferred fee amount represents 5.0661% of the total development cost.</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4096</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1984</v>
      </c>
      <c r="B1951" s="1503" t="s">
        <v>3647</v>
      </c>
      <c r="C1951" s="1659"/>
      <c r="D1951" s="1314"/>
      <c r="E1951" s="1314"/>
      <c r="F1951" s="1314"/>
      <c r="G1951" s="1659"/>
      <c r="H1951" s="1659"/>
      <c r="I1951" s="1659"/>
      <c r="J1951" s="1524" t="s">
        <v>3808</v>
      </c>
      <c r="K1951" s="1659"/>
      <c r="L1951" s="1557">
        <f>'Part VI-Revenues &amp; Expenses'!$O$67*0.1</f>
        <v>8.4</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3807</v>
      </c>
      <c r="D1952" s="1583"/>
      <c r="E1952" s="1583"/>
      <c r="F1952" s="1583"/>
      <c r="G1952" s="1583"/>
      <c r="H1952" s="1583"/>
      <c r="I1952" s="1583"/>
      <c r="J1952" s="1524" t="s">
        <v>3810</v>
      </c>
      <c r="K1952" s="1659"/>
      <c r="L1952" s="1557">
        <f>'Part VI-Revenues &amp; Expenses'!$O$63</f>
        <v>84</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3811</v>
      </c>
      <c r="K1953" s="1711"/>
      <c r="L1953" s="1557">
        <f>L1952*0.1</f>
        <v>8.4</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3812</v>
      </c>
      <c r="K1954" s="1711"/>
      <c r="L1954" s="1557">
        <f>'Part VI-Revenues &amp; Expenses'!$K$63</f>
        <v>12</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3394</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3809</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3828</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4099</v>
      </c>
      <c r="B1968" s="1661" t="s">
        <v>2722</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1984</v>
      </c>
      <c r="B1972" s="1577" t="s">
        <v>4600</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2830</v>
      </c>
      <c r="N1975" s="1713"/>
      <c r="O1975" s="1787">
        <f>'Part VI-Revenues &amp; Expenses'!$O$67</f>
        <v>84</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4602</v>
      </c>
      <c r="B1979" s="1576" t="s">
        <v>3357</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84</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01.25">
      <c r="A1983" s="1583" t="str">
        <f>'Part IX Scoring Criteria'!A436</f>
        <v>This development is new construction and does not preserve a historic structure.</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53</v>
      </c>
      <c r="S1995" s="1314"/>
      <c r="T1995" s="1314"/>
      <c r="U1995" s="1314"/>
      <c r="V1995" s="1314"/>
      <c r="W1995" s="1314"/>
      <c r="X1995" s="1314"/>
      <c r="Y1995" s="1314"/>
      <c r="Z1995" s="1314"/>
    </row>
    <row r="1996" spans="1:26" ht="15.75">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68.75">
      <c r="A2001" s="1583" t="str">
        <f>'Part IX Scoring Criteria'!A454</f>
        <v>The applicant will make a submission to the CDBG-DR RFP for the property as it is in one of the specific zip codes (31548) included in the RFP</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4199</v>
      </c>
    </row>
    <row r="2010" spans="1:26" ht="16.5">
      <c r="A2010" s="1796" t="str">
        <f>'Part I-Project Information'!$F$34</f>
        <v>Abbington Sound</v>
      </c>
    </row>
    <row r="2011" spans="1:26" ht="16.5">
      <c r="A2011" s="1796" t="str">
        <f>CONCATENATE('Part I-Project Information'!$F$38,", ", 'Part I-Project Information'!$J$39," County")</f>
        <v>Kingsland, Camden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workbookViewId="0">
      <selection activeCell="A13" sqref="A1:XFD1048576"/>
    </sheetView>
  </sheetViews>
  <sheetFormatPr defaultColWidth="9.140625" defaultRowHeight="12.75"/>
  <cols>
    <col min="1" max="1" width="2.7109375" style="312" customWidth="1"/>
    <col min="2" max="4" width="1.7109375" style="312" customWidth="1"/>
    <col min="5" max="5" width="14.7109375" style="312" customWidth="1"/>
    <col min="6" max="6" width="6.140625" style="312" customWidth="1"/>
    <col min="7" max="7" width="2.7109375" style="312" customWidth="1"/>
    <col min="8" max="8" width="8" style="312" customWidth="1"/>
    <col min="9" max="9" width="6.140625" style="312" customWidth="1"/>
    <col min="10" max="10" width="8.140625" style="312" customWidth="1"/>
    <col min="11" max="11" width="9.7109375" style="312" customWidth="1"/>
    <col min="12" max="13" width="8.7109375" style="312" customWidth="1"/>
    <col min="14" max="14" width="9.42578125" style="312" customWidth="1"/>
    <col min="15" max="15" width="9.7109375" style="312" customWidth="1"/>
    <col min="16" max="19" width="6.140625" style="312" customWidth="1"/>
    <col min="20" max="24" width="11.42578125" style="312" customWidth="1"/>
    <col min="25" max="16384" width="9.140625" style="312"/>
  </cols>
  <sheetData>
    <row r="1" spans="1:27" s="294" customFormat="1" ht="13.9" customHeight="1">
      <c r="A1" s="2396" t="str">
        <f>CONCATENATE("PART TWO - DEVELOPMENT TEAM INFORMATION","  -  ",'Part I-Project Information'!$O$6," ",'Part I-Project Information'!$F$34,", ",'Part I-Project Information'!F38,", ",'Part I-Project Information'!J39," County")</f>
        <v>PART TWO - DEVELOPMENT TEAM INFORMATION  -  2019-078 Abbington Sound, Kingsland, Camden County</v>
      </c>
      <c r="B1" s="2397"/>
      <c r="C1" s="2397"/>
      <c r="D1" s="2397"/>
      <c r="E1" s="2397"/>
      <c r="F1" s="2397"/>
      <c r="G1" s="2397"/>
      <c r="H1" s="2397"/>
      <c r="I1" s="2397"/>
      <c r="J1" s="2397"/>
      <c r="K1" s="2397"/>
      <c r="L1" s="2397"/>
      <c r="M1" s="2397"/>
      <c r="N1" s="2397"/>
      <c r="O1" s="2397"/>
      <c r="P1" s="2397"/>
      <c r="Q1" s="2397"/>
      <c r="R1" s="2397"/>
      <c r="S1" s="2398"/>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15" customHeight="1" thickBot="1">
      <c r="A3" s="296" t="s">
        <v>616</v>
      </c>
      <c r="B3" s="299" t="s">
        <v>1859</v>
      </c>
      <c r="C3" s="299"/>
      <c r="E3" s="299"/>
      <c r="F3" s="299"/>
      <c r="G3" s="299"/>
      <c r="H3" s="1275" t="s">
        <v>4252</v>
      </c>
      <c r="O3" s="2399" t="str">
        <f>'Part I-Project Information'!$B$6</f>
        <v>April 2019 Final</v>
      </c>
      <c r="P3" s="2400"/>
      <c r="Q3" s="2400"/>
      <c r="R3" s="2400"/>
      <c r="S3" s="2401"/>
    </row>
    <row r="4" spans="1:27" s="294" customFormat="1" ht="8.65" customHeight="1">
      <c r="A4" s="296"/>
      <c r="B4" s="296"/>
      <c r="C4" s="296"/>
      <c r="D4" s="299"/>
      <c r="E4" s="299"/>
      <c r="F4" s="299"/>
      <c r="G4" s="299"/>
      <c r="H4" s="299"/>
      <c r="I4" s="299"/>
      <c r="J4" s="299"/>
    </row>
    <row r="5" spans="1:27" s="294" customFormat="1" ht="11.25" customHeight="1">
      <c r="B5" s="296" t="s">
        <v>1984</v>
      </c>
      <c r="C5" s="299" t="s">
        <v>1855</v>
      </c>
      <c r="H5" s="3466" t="s">
        <v>5218</v>
      </c>
      <c r="I5" s="3467"/>
      <c r="J5" s="3467"/>
      <c r="K5" s="3467"/>
      <c r="L5" s="3467"/>
      <c r="M5" s="3467"/>
      <c r="N5" s="3468"/>
      <c r="O5" s="2257" t="s">
        <v>1990</v>
      </c>
      <c r="P5" s="2257"/>
      <c r="Q5" s="3466" t="s">
        <v>5133</v>
      </c>
      <c r="R5" s="3467"/>
      <c r="S5" s="3468"/>
      <c r="Y5" s="1063"/>
      <c r="Z5" s="1064"/>
      <c r="AA5" s="2269"/>
    </row>
    <row r="6" spans="1:27" s="294" customFormat="1" ht="11.25" customHeight="1">
      <c r="D6" s="333"/>
      <c r="E6" s="2259" t="s">
        <v>1021</v>
      </c>
      <c r="F6" s="306"/>
      <c r="H6" s="3294" t="s">
        <v>5131</v>
      </c>
      <c r="I6" s="3469"/>
      <c r="J6" s="3469"/>
      <c r="K6" s="3470"/>
      <c r="L6" s="3469"/>
      <c r="M6" s="3469"/>
      <c r="N6" s="3471"/>
      <c r="O6" s="2257" t="s">
        <v>1747</v>
      </c>
      <c r="Q6" s="3315" t="s">
        <v>5143</v>
      </c>
      <c r="R6" s="3379"/>
      <c r="S6" s="3380"/>
      <c r="V6" s="1063"/>
      <c r="W6" s="1063"/>
      <c r="X6" s="1063"/>
      <c r="Y6" s="1063"/>
      <c r="Z6" s="1064"/>
      <c r="AA6" s="2269"/>
    </row>
    <row r="7" spans="1:27" s="294" customFormat="1" ht="11.25" customHeight="1">
      <c r="D7" s="333"/>
      <c r="E7" s="2259" t="s">
        <v>618</v>
      </c>
      <c r="H7" s="3294" t="s">
        <v>1205</v>
      </c>
      <c r="I7" s="3470"/>
      <c r="J7" s="3383"/>
      <c r="K7" s="3472" t="s">
        <v>762</v>
      </c>
      <c r="L7" s="3318"/>
      <c r="M7" s="3469"/>
      <c r="N7" s="3471"/>
      <c r="O7" s="2257" t="s">
        <v>1721</v>
      </c>
      <c r="Q7" s="3435">
        <v>4042504093</v>
      </c>
      <c r="R7" s="3436"/>
      <c r="S7" s="3437"/>
    </row>
    <row r="8" spans="1:27" s="294" customFormat="1" ht="11.25" customHeight="1">
      <c r="D8" s="333"/>
      <c r="E8" s="2259" t="s">
        <v>1799</v>
      </c>
      <c r="H8" s="3381" t="s">
        <v>848</v>
      </c>
      <c r="I8" s="1054" t="s">
        <v>2230</v>
      </c>
      <c r="J8" s="3473">
        <v>303052119</v>
      </c>
      <c r="K8" s="3474"/>
      <c r="L8" s="294" t="s">
        <v>3685</v>
      </c>
      <c r="M8" s="3475" t="s">
        <v>5144</v>
      </c>
      <c r="N8" s="3476"/>
      <c r="O8" s="2257" t="s">
        <v>1980</v>
      </c>
      <c r="Q8" s="3435">
        <v>4042731892</v>
      </c>
      <c r="R8" s="3436"/>
      <c r="S8" s="3437"/>
    </row>
    <row r="9" spans="1:27" s="294" customFormat="1" ht="11.25" customHeight="1">
      <c r="D9" s="333"/>
      <c r="E9" s="2259" t="s">
        <v>4253</v>
      </c>
      <c r="H9" s="3477">
        <v>4042504093</v>
      </c>
      <c r="I9" s="3478"/>
      <c r="J9" s="3479">
        <v>703</v>
      </c>
      <c r="K9" s="2270" t="s">
        <v>1985</v>
      </c>
      <c r="L9" s="3282" t="s">
        <v>5132</v>
      </c>
      <c r="M9" s="3394"/>
      <c r="N9" s="3394"/>
      <c r="O9" s="3283"/>
      <c r="P9" s="3283"/>
      <c r="Q9" s="3394"/>
      <c r="R9" s="3394"/>
      <c r="S9" s="3395"/>
    </row>
    <row r="10" spans="1:27" s="294" customFormat="1" ht="11.25" customHeight="1">
      <c r="D10" s="333"/>
      <c r="E10" s="1275" t="s">
        <v>4252</v>
      </c>
      <c r="H10" s="328"/>
      <c r="K10" s="269"/>
      <c r="N10" s="365" t="s">
        <v>3565</v>
      </c>
      <c r="Q10" s="2270"/>
    </row>
    <row r="11" spans="1:27" s="294" customFormat="1" ht="4.1500000000000004" customHeight="1">
      <c r="D11" s="334"/>
      <c r="E11" s="2259"/>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480" t="s">
        <v>1284</v>
      </c>
      <c r="W12" s="3480"/>
      <c r="X12" s="3480"/>
      <c r="Y12" s="3480"/>
      <c r="Z12" s="3480"/>
    </row>
    <row r="13" spans="1:27" s="294" customFormat="1" ht="11.25" customHeight="1">
      <c r="C13" s="335" t="s">
        <v>1987</v>
      </c>
      <c r="D13" s="332" t="s">
        <v>1988</v>
      </c>
      <c r="H13" s="2269"/>
      <c r="I13" s="2269"/>
      <c r="J13" s="2269"/>
      <c r="N13" s="1067"/>
      <c r="W13" s="3481"/>
      <c r="X13" s="3481"/>
      <c r="Y13" s="3481"/>
      <c r="Z13" s="3481"/>
    </row>
    <row r="14" spans="1:27" s="294" customFormat="1" ht="11.25" customHeight="1">
      <c r="D14" s="296" t="s">
        <v>2117</v>
      </c>
      <c r="E14" s="294" t="s">
        <v>1857</v>
      </c>
      <c r="H14" s="3466" t="s">
        <v>5219</v>
      </c>
      <c r="I14" s="3467"/>
      <c r="J14" s="3467"/>
      <c r="K14" s="3467"/>
      <c r="L14" s="3467"/>
      <c r="M14" s="3467"/>
      <c r="N14" s="3468"/>
      <c r="O14" s="2257" t="s">
        <v>1990</v>
      </c>
      <c r="P14" s="2257"/>
      <c r="Q14" s="3466" t="s">
        <v>5133</v>
      </c>
      <c r="R14" s="3467"/>
      <c r="S14" s="3468"/>
    </row>
    <row r="15" spans="1:27" s="294" customFormat="1" ht="11.25" customHeight="1">
      <c r="D15" s="333"/>
      <c r="E15" s="2259" t="s">
        <v>1021</v>
      </c>
      <c r="F15" s="306"/>
      <c r="H15" s="3294" t="s">
        <v>5131</v>
      </c>
      <c r="I15" s="3469"/>
      <c r="J15" s="3469"/>
      <c r="K15" s="3470"/>
      <c r="L15" s="3469"/>
      <c r="M15" s="3469"/>
      <c r="N15" s="3471"/>
      <c r="O15" s="2257" t="s">
        <v>1747</v>
      </c>
      <c r="Q15" s="3315" t="s">
        <v>5143</v>
      </c>
      <c r="R15" s="3379"/>
      <c r="S15" s="3380"/>
    </row>
    <row r="16" spans="1:27" s="294" customFormat="1" ht="11.25" customHeight="1">
      <c r="D16" s="333"/>
      <c r="E16" s="2259" t="s">
        <v>618</v>
      </c>
      <c r="H16" s="3294" t="s">
        <v>1205</v>
      </c>
      <c r="I16" s="3470"/>
      <c r="J16" s="3383"/>
      <c r="K16" s="2262" t="s">
        <v>2705</v>
      </c>
      <c r="L16" s="3294"/>
      <c r="M16" s="3469"/>
      <c r="N16" s="3383"/>
      <c r="O16" s="2257" t="s">
        <v>1721</v>
      </c>
      <c r="Q16" s="3435">
        <v>4042504093</v>
      </c>
      <c r="R16" s="3436"/>
      <c r="S16" s="3437"/>
    </row>
    <row r="17" spans="3:19" s="294" customFormat="1" ht="11.25" customHeight="1">
      <c r="D17" s="296"/>
      <c r="E17" s="2259" t="s">
        <v>1799</v>
      </c>
      <c r="H17" s="3381" t="s">
        <v>848</v>
      </c>
      <c r="K17" s="1054" t="s">
        <v>2230</v>
      </c>
      <c r="L17" s="3300">
        <v>303052119</v>
      </c>
      <c r="M17" s="3482"/>
      <c r="O17" s="2257" t="s">
        <v>1980</v>
      </c>
      <c r="Q17" s="3435">
        <v>4042731892</v>
      </c>
      <c r="R17" s="3436"/>
      <c r="S17" s="3437"/>
    </row>
    <row r="18" spans="3:19" s="294" customFormat="1" ht="11.25" customHeight="1">
      <c r="D18" s="333"/>
      <c r="E18" s="2259" t="s">
        <v>4253</v>
      </c>
      <c r="H18" s="3477">
        <v>4042504093</v>
      </c>
      <c r="I18" s="3483"/>
      <c r="J18" s="3484">
        <v>703</v>
      </c>
      <c r="K18" s="2270" t="s">
        <v>1985</v>
      </c>
      <c r="L18" s="3438" t="s">
        <v>5132</v>
      </c>
      <c r="M18" s="3394"/>
      <c r="N18" s="3283"/>
      <c r="O18" s="3283"/>
      <c r="P18" s="3283"/>
      <c r="Q18" s="3394"/>
      <c r="R18" s="3394"/>
      <c r="S18" s="3395"/>
    </row>
    <row r="19" spans="3:19" ht="4.1500000000000004" customHeight="1">
      <c r="D19" s="321"/>
      <c r="H19" s="3485"/>
      <c r="I19" s="3485"/>
      <c r="J19" s="3485"/>
      <c r="K19" s="2270"/>
      <c r="L19" s="3485"/>
      <c r="M19" s="3485"/>
      <c r="N19" s="2256"/>
      <c r="O19" s="2315"/>
      <c r="P19" s="2315"/>
      <c r="Q19" s="2270"/>
      <c r="R19" s="2315"/>
      <c r="S19" s="2315"/>
    </row>
    <row r="20" spans="3:19" s="294" customFormat="1" ht="11.25" customHeight="1">
      <c r="D20" s="296" t="s">
        <v>2118</v>
      </c>
      <c r="E20" s="294" t="s">
        <v>1858</v>
      </c>
      <c r="F20" s="2269"/>
      <c r="H20" s="3466"/>
      <c r="I20" s="3467"/>
      <c r="J20" s="3467"/>
      <c r="K20" s="3467"/>
      <c r="L20" s="3467"/>
      <c r="M20" s="3467"/>
      <c r="N20" s="3468"/>
      <c r="O20" s="2257" t="s">
        <v>1990</v>
      </c>
      <c r="P20" s="2257"/>
      <c r="Q20" s="3466"/>
      <c r="R20" s="3467"/>
      <c r="S20" s="3468"/>
    </row>
    <row r="21" spans="3:19" s="294" customFormat="1" ht="11.25" customHeight="1">
      <c r="D21" s="333"/>
      <c r="E21" s="2259" t="s">
        <v>1021</v>
      </c>
      <c r="F21" s="306"/>
      <c r="H21" s="3294"/>
      <c r="I21" s="3469"/>
      <c r="J21" s="3469"/>
      <c r="K21" s="3470"/>
      <c r="L21" s="3469"/>
      <c r="M21" s="3469"/>
      <c r="N21" s="3471"/>
      <c r="O21" s="2257" t="s">
        <v>1747</v>
      </c>
      <c r="Q21" s="3315"/>
      <c r="R21" s="3379"/>
      <c r="S21" s="3380"/>
    </row>
    <row r="22" spans="3:19" s="294" customFormat="1" ht="11.25" customHeight="1">
      <c r="D22" s="333"/>
      <c r="E22" s="2259" t="s">
        <v>618</v>
      </c>
      <c r="H22" s="3294"/>
      <c r="I22" s="3470"/>
      <c r="J22" s="3383"/>
      <c r="K22" s="2262" t="s">
        <v>2705</v>
      </c>
      <c r="L22" s="3294"/>
      <c r="M22" s="3469"/>
      <c r="N22" s="3383"/>
      <c r="O22" s="2257" t="s">
        <v>1721</v>
      </c>
      <c r="Q22" s="3435"/>
      <c r="R22" s="3436"/>
      <c r="S22" s="3437"/>
    </row>
    <row r="23" spans="3:19" s="294" customFormat="1" ht="11.25" customHeight="1">
      <c r="E23" s="2259" t="s">
        <v>1799</v>
      </c>
      <c r="H23" s="3381"/>
      <c r="K23" s="1054" t="s">
        <v>2230</v>
      </c>
      <c r="L23" s="3300"/>
      <c r="M23" s="3482"/>
      <c r="O23" s="2257" t="s">
        <v>1980</v>
      </c>
      <c r="Q23" s="3435"/>
      <c r="R23" s="3436"/>
      <c r="S23" s="3437"/>
    </row>
    <row r="24" spans="3:19" s="294" customFormat="1" ht="11.25" customHeight="1">
      <c r="D24" s="333"/>
      <c r="E24" s="2259" t="s">
        <v>4253</v>
      </c>
      <c r="H24" s="3477"/>
      <c r="I24" s="3483"/>
      <c r="J24" s="3484"/>
      <c r="K24" s="2270" t="s">
        <v>1985</v>
      </c>
      <c r="L24" s="3438"/>
      <c r="M24" s="3394"/>
      <c r="N24" s="3283"/>
      <c r="O24" s="3283"/>
      <c r="P24" s="3283"/>
      <c r="Q24" s="3394"/>
      <c r="R24" s="3394"/>
      <c r="S24" s="3395"/>
    </row>
    <row r="25" spans="3:19" s="294" customFormat="1" ht="4.1500000000000004" customHeight="1">
      <c r="D25" s="333"/>
      <c r="E25" s="2269"/>
      <c r="F25" s="2269"/>
      <c r="G25" s="2257"/>
      <c r="H25" s="3485"/>
      <c r="I25" s="3485"/>
      <c r="J25" s="3485"/>
      <c r="K25" s="2270"/>
      <c r="L25" s="3485"/>
      <c r="M25" s="3485"/>
      <c r="N25" s="2256"/>
      <c r="O25" s="2315"/>
      <c r="P25" s="2315"/>
      <c r="Q25" s="2270"/>
      <c r="R25" s="2315"/>
      <c r="S25" s="2315"/>
    </row>
    <row r="26" spans="3:19" s="294" customFormat="1" ht="11.25" customHeight="1">
      <c r="D26" s="296" t="s">
        <v>1734</v>
      </c>
      <c r="E26" s="294" t="s">
        <v>1858</v>
      </c>
      <c r="F26" s="2269"/>
      <c r="H26" s="3466"/>
      <c r="I26" s="3467"/>
      <c r="J26" s="3467"/>
      <c r="K26" s="3467"/>
      <c r="L26" s="3467"/>
      <c r="M26" s="3467"/>
      <c r="N26" s="3468"/>
      <c r="O26" s="2257" t="s">
        <v>1990</v>
      </c>
      <c r="P26" s="2257"/>
      <c r="Q26" s="3466"/>
      <c r="R26" s="3467"/>
      <c r="S26" s="3468"/>
    </row>
    <row r="27" spans="3:19" s="294" customFormat="1" ht="11.25" customHeight="1">
      <c r="D27" s="333"/>
      <c r="E27" s="2259" t="s">
        <v>1021</v>
      </c>
      <c r="F27" s="306"/>
      <c r="H27" s="3294"/>
      <c r="I27" s="3469"/>
      <c r="J27" s="3469"/>
      <c r="K27" s="3470"/>
      <c r="L27" s="3469"/>
      <c r="M27" s="3469"/>
      <c r="N27" s="3471"/>
      <c r="O27" s="2257" t="s">
        <v>1747</v>
      </c>
      <c r="Q27" s="3315"/>
      <c r="R27" s="3379"/>
      <c r="S27" s="3380"/>
    </row>
    <row r="28" spans="3:19" s="294" customFormat="1" ht="11.25" customHeight="1">
      <c r="D28" s="333"/>
      <c r="E28" s="2259" t="s">
        <v>618</v>
      </c>
      <c r="H28" s="3294"/>
      <c r="I28" s="3470"/>
      <c r="J28" s="3383"/>
      <c r="K28" s="2262" t="s">
        <v>2705</v>
      </c>
      <c r="L28" s="3294"/>
      <c r="M28" s="3469"/>
      <c r="N28" s="3383"/>
      <c r="O28" s="2257" t="s">
        <v>1721</v>
      </c>
      <c r="Q28" s="3435"/>
      <c r="R28" s="3436"/>
      <c r="S28" s="3437"/>
    </row>
    <row r="29" spans="3:19" s="294" customFormat="1" ht="11.25" customHeight="1">
      <c r="E29" s="2259" t="s">
        <v>1799</v>
      </c>
      <c r="H29" s="3381"/>
      <c r="K29" s="1054" t="s">
        <v>2230</v>
      </c>
      <c r="L29" s="3300"/>
      <c r="M29" s="3482"/>
      <c r="O29" s="2257" t="s">
        <v>1980</v>
      </c>
      <c r="Q29" s="3435"/>
      <c r="R29" s="3436"/>
      <c r="S29" s="3437"/>
    </row>
    <row r="30" spans="3:19" s="294" customFormat="1" ht="11.25" customHeight="1">
      <c r="D30" s="333"/>
      <c r="E30" s="2259" t="s">
        <v>4253</v>
      </c>
      <c r="H30" s="3477"/>
      <c r="I30" s="3483"/>
      <c r="J30" s="3484"/>
      <c r="K30" s="2270" t="s">
        <v>1985</v>
      </c>
      <c r="L30" s="3438"/>
      <c r="M30" s="3394"/>
      <c r="N30" s="3283"/>
      <c r="O30" s="3283"/>
      <c r="P30" s="3283"/>
      <c r="Q30" s="3394"/>
      <c r="R30" s="3394"/>
      <c r="S30" s="3395"/>
    </row>
    <row r="31" spans="3:19" ht="4.1500000000000004" customHeight="1"/>
    <row r="32" spans="3:19" s="294" customFormat="1" ht="11.25" customHeight="1">
      <c r="C32" s="335" t="s">
        <v>1989</v>
      </c>
      <c r="D32" s="332" t="s">
        <v>1860</v>
      </c>
      <c r="H32" s="2269"/>
      <c r="I32" s="2269"/>
      <c r="J32" s="2269"/>
      <c r="K32" s="1275" t="s">
        <v>4252</v>
      </c>
      <c r="L32" s="2269"/>
      <c r="M32" s="2269"/>
    </row>
    <row r="33" spans="3:19" s="294" customFormat="1" ht="11.25" customHeight="1">
      <c r="D33" s="296" t="s">
        <v>2117</v>
      </c>
      <c r="E33" s="294" t="s">
        <v>750</v>
      </c>
      <c r="H33" s="3466" t="s">
        <v>5273</v>
      </c>
      <c r="I33" s="3467"/>
      <c r="J33" s="3467"/>
      <c r="K33" s="3467"/>
      <c r="L33" s="3467"/>
      <c r="M33" s="3467"/>
      <c r="N33" s="3468"/>
      <c r="O33" s="2257" t="s">
        <v>1990</v>
      </c>
      <c r="P33" s="2257"/>
      <c r="Q33" s="3466" t="s">
        <v>5276</v>
      </c>
      <c r="R33" s="3467"/>
      <c r="S33" s="3468"/>
    </row>
    <row r="34" spans="3:19" s="294" customFormat="1" ht="11.25" customHeight="1">
      <c r="D34" s="333"/>
      <c r="E34" s="2259" t="s">
        <v>1021</v>
      </c>
      <c r="F34" s="306"/>
      <c r="H34" s="3294" t="s">
        <v>5274</v>
      </c>
      <c r="I34" s="3469"/>
      <c r="J34" s="3469"/>
      <c r="K34" s="3470"/>
      <c r="L34" s="3469"/>
      <c r="M34" s="3469"/>
      <c r="N34" s="3471"/>
      <c r="O34" s="2257" t="s">
        <v>1747</v>
      </c>
      <c r="Q34" s="3315" t="s">
        <v>5159</v>
      </c>
      <c r="R34" s="3379"/>
      <c r="S34" s="3380"/>
    </row>
    <row r="35" spans="3:19" s="294" customFormat="1" ht="11.25" customHeight="1">
      <c r="D35" s="333"/>
      <c r="E35" s="2259" t="s">
        <v>618</v>
      </c>
      <c r="H35" s="3294" t="s">
        <v>5275</v>
      </c>
      <c r="I35" s="3470"/>
      <c r="J35" s="3383"/>
      <c r="K35" s="2262" t="s">
        <v>2705</v>
      </c>
      <c r="L35" s="3294" t="s">
        <v>5278</v>
      </c>
      <c r="M35" s="3469"/>
      <c r="N35" s="3383"/>
      <c r="O35" s="2257" t="s">
        <v>1721</v>
      </c>
      <c r="Q35" s="3435">
        <v>7272695198</v>
      </c>
      <c r="R35" s="3436"/>
      <c r="S35" s="3437"/>
    </row>
    <row r="36" spans="3:19" s="294" customFormat="1" ht="11.25" customHeight="1">
      <c r="E36" s="2259" t="s">
        <v>1799</v>
      </c>
      <c r="H36" s="3381" t="s">
        <v>847</v>
      </c>
      <c r="K36" s="1054" t="s">
        <v>2230</v>
      </c>
      <c r="L36" s="3300">
        <v>337565643</v>
      </c>
      <c r="M36" s="3482"/>
      <c r="O36" s="2257" t="s">
        <v>1980</v>
      </c>
      <c r="Q36" s="3435">
        <v>7274159556</v>
      </c>
      <c r="R36" s="3436"/>
      <c r="S36" s="3437"/>
    </row>
    <row r="37" spans="3:19" s="294" customFormat="1" ht="11.25" customHeight="1">
      <c r="D37" s="333"/>
      <c r="E37" s="2259" t="s">
        <v>4253</v>
      </c>
      <c r="H37" s="3477">
        <v>7274612200</v>
      </c>
      <c r="I37" s="3478"/>
      <c r="J37" s="3484"/>
      <c r="K37" s="2270" t="s">
        <v>1985</v>
      </c>
      <c r="L37" s="3307" t="s">
        <v>5277</v>
      </c>
      <c r="M37" s="3308"/>
      <c r="N37" s="3293"/>
      <c r="O37" s="3293"/>
      <c r="P37" s="3293"/>
      <c r="Q37" s="3308"/>
      <c r="R37" s="3308"/>
      <c r="S37" s="3309"/>
    </row>
    <row r="38" spans="3:19" ht="4.1500000000000004" customHeight="1">
      <c r="H38" s="3485"/>
      <c r="I38" s="3485"/>
      <c r="J38" s="3485"/>
      <c r="K38" s="2270"/>
      <c r="L38" s="3485"/>
      <c r="M38" s="3485"/>
      <c r="N38" s="2256"/>
      <c r="O38" s="2315"/>
      <c r="P38" s="2315"/>
      <c r="Q38" s="2270"/>
      <c r="R38" s="2315"/>
      <c r="S38" s="2315"/>
    </row>
    <row r="39" spans="3:19" s="294" customFormat="1" ht="11.25" customHeight="1">
      <c r="D39" s="296" t="s">
        <v>2118</v>
      </c>
      <c r="E39" s="294" t="s">
        <v>751</v>
      </c>
      <c r="F39" s="296"/>
      <c r="H39" s="3466" t="s">
        <v>5273</v>
      </c>
      <c r="I39" s="3467"/>
      <c r="J39" s="3467"/>
      <c r="K39" s="3467"/>
      <c r="L39" s="3467"/>
      <c r="M39" s="3467"/>
      <c r="N39" s="3468"/>
      <c r="O39" s="2257" t="s">
        <v>1990</v>
      </c>
      <c r="P39" s="2257"/>
      <c r="Q39" s="3466" t="s">
        <v>5276</v>
      </c>
      <c r="R39" s="3467"/>
      <c r="S39" s="3468"/>
    </row>
    <row r="40" spans="3:19" s="294" customFormat="1" ht="11.25" customHeight="1">
      <c r="D40" s="333"/>
      <c r="E40" s="2259" t="s">
        <v>1021</v>
      </c>
      <c r="F40" s="306"/>
      <c r="H40" s="3294" t="s">
        <v>5274</v>
      </c>
      <c r="I40" s="3469"/>
      <c r="J40" s="3469"/>
      <c r="K40" s="3470"/>
      <c r="L40" s="3469"/>
      <c r="M40" s="3469"/>
      <c r="N40" s="3471"/>
      <c r="O40" s="2257" t="s">
        <v>1747</v>
      </c>
      <c r="Q40" s="3315" t="s">
        <v>5159</v>
      </c>
      <c r="R40" s="3379"/>
      <c r="S40" s="3380"/>
    </row>
    <row r="41" spans="3:19" s="294" customFormat="1" ht="11.25" customHeight="1">
      <c r="D41" s="333"/>
      <c r="E41" s="2259" t="s">
        <v>618</v>
      </c>
      <c r="H41" s="3294" t="s">
        <v>5275</v>
      </c>
      <c r="I41" s="3470"/>
      <c r="J41" s="3383"/>
      <c r="K41" s="2262" t="s">
        <v>2705</v>
      </c>
      <c r="L41" s="3486" t="s">
        <v>5278</v>
      </c>
      <c r="M41" s="3487"/>
      <c r="N41" s="3488"/>
      <c r="O41" s="2257" t="s">
        <v>1721</v>
      </c>
      <c r="Q41" s="3435">
        <v>7272695198</v>
      </c>
      <c r="R41" s="3436"/>
      <c r="S41" s="3437"/>
    </row>
    <row r="42" spans="3:19" s="294" customFormat="1" ht="11.25" customHeight="1">
      <c r="D42" s="296"/>
      <c r="E42" s="2259" t="s">
        <v>1799</v>
      </c>
      <c r="H42" s="3381" t="s">
        <v>847</v>
      </c>
      <c r="K42" s="1054" t="s">
        <v>2230</v>
      </c>
      <c r="L42" s="3300">
        <v>337565643</v>
      </c>
      <c r="M42" s="3482"/>
      <c r="O42" s="2257" t="s">
        <v>1980</v>
      </c>
      <c r="Q42" s="3435">
        <v>7274159556</v>
      </c>
      <c r="R42" s="3436"/>
      <c r="S42" s="3437"/>
    </row>
    <row r="43" spans="3:19" s="294" customFormat="1" ht="11.25" customHeight="1">
      <c r="D43" s="333"/>
      <c r="E43" s="2259" t="s">
        <v>4253</v>
      </c>
      <c r="H43" s="3477">
        <v>7274612200</v>
      </c>
      <c r="I43" s="3478"/>
      <c r="J43" s="3484"/>
      <c r="K43" s="2270" t="s">
        <v>1985</v>
      </c>
      <c r="L43" s="3307" t="s">
        <v>5277</v>
      </c>
      <c r="M43" s="3308"/>
      <c r="N43" s="3293"/>
      <c r="O43" s="3293"/>
      <c r="P43" s="3293"/>
      <c r="Q43" s="3308"/>
      <c r="R43" s="3308"/>
      <c r="S43" s="3309"/>
    </row>
    <row r="44" spans="3:19" s="294" customFormat="1" ht="4.1500000000000004" customHeight="1">
      <c r="D44" s="333"/>
      <c r="E44" s="2259"/>
      <c r="F44" s="296"/>
      <c r="H44" s="328"/>
      <c r="I44" s="328"/>
      <c r="J44" s="2317"/>
      <c r="K44" s="2270"/>
      <c r="L44" s="328"/>
      <c r="M44" s="328"/>
      <c r="N44" s="2270"/>
      <c r="O44" s="328"/>
      <c r="P44" s="328"/>
      <c r="Q44" s="2270"/>
      <c r="R44" s="328"/>
      <c r="S44" s="328"/>
    </row>
    <row r="45" spans="3:19" s="294" customFormat="1" ht="11.25" customHeight="1">
      <c r="C45" s="336" t="s">
        <v>2535</v>
      </c>
      <c r="D45" s="332" t="s">
        <v>651</v>
      </c>
      <c r="H45" s="2269"/>
      <c r="I45" s="2269"/>
      <c r="J45" s="2269"/>
      <c r="K45" s="1275" t="s">
        <v>4252</v>
      </c>
      <c r="L45" s="2269"/>
      <c r="M45" s="2269"/>
    </row>
    <row r="46" spans="3:19" s="294" customFormat="1" ht="11.25" customHeight="1">
      <c r="E46" s="294" t="s">
        <v>92</v>
      </c>
      <c r="H46" s="3466"/>
      <c r="I46" s="3467"/>
      <c r="J46" s="3467"/>
      <c r="K46" s="3467"/>
      <c r="L46" s="3467"/>
      <c r="M46" s="3467"/>
      <c r="N46" s="3468"/>
      <c r="O46" s="2257" t="s">
        <v>1990</v>
      </c>
      <c r="P46" s="2257"/>
      <c r="Q46" s="3466"/>
      <c r="R46" s="3467"/>
      <c r="S46" s="3468"/>
    </row>
    <row r="47" spans="3:19" s="294" customFormat="1" ht="11.25" customHeight="1">
      <c r="D47" s="333"/>
      <c r="E47" s="2259" t="s">
        <v>1021</v>
      </c>
      <c r="F47" s="306"/>
      <c r="H47" s="3294"/>
      <c r="I47" s="3469"/>
      <c r="J47" s="3469"/>
      <c r="K47" s="3470"/>
      <c r="L47" s="3469"/>
      <c r="M47" s="3469"/>
      <c r="N47" s="3471"/>
      <c r="O47" s="2257" t="s">
        <v>1747</v>
      </c>
      <c r="Q47" s="3315"/>
      <c r="R47" s="3379"/>
      <c r="S47" s="3380"/>
    </row>
    <row r="48" spans="3:19" s="294" customFormat="1" ht="11.25" customHeight="1">
      <c r="D48" s="333"/>
      <c r="E48" s="2259" t="s">
        <v>618</v>
      </c>
      <c r="H48" s="3294"/>
      <c r="I48" s="3470"/>
      <c r="J48" s="3383"/>
      <c r="K48" s="2262" t="s">
        <v>2705</v>
      </c>
      <c r="L48" s="3294"/>
      <c r="M48" s="3469"/>
      <c r="N48" s="3383"/>
      <c r="O48" s="2257" t="s">
        <v>1721</v>
      </c>
      <c r="Q48" s="3435"/>
      <c r="R48" s="3436"/>
      <c r="S48" s="3437"/>
    </row>
    <row r="49" spans="1:19" s="294" customFormat="1" ht="11.25" customHeight="1">
      <c r="E49" s="2259" t="s">
        <v>1799</v>
      </c>
      <c r="H49" s="3381"/>
      <c r="K49" s="1054" t="s">
        <v>2230</v>
      </c>
      <c r="L49" s="3300"/>
      <c r="M49" s="3482"/>
      <c r="O49" s="2257" t="s">
        <v>1980</v>
      </c>
      <c r="Q49" s="3435"/>
      <c r="R49" s="3436"/>
      <c r="S49" s="3437"/>
    </row>
    <row r="50" spans="1:19" s="294" customFormat="1" ht="11.25" customHeight="1">
      <c r="D50" s="333"/>
      <c r="E50" s="2259" t="s">
        <v>4253</v>
      </c>
      <c r="H50" s="3477"/>
      <c r="I50" s="3483"/>
      <c r="J50" s="3484"/>
      <c r="K50" s="2270" t="s">
        <v>1985</v>
      </c>
      <c r="L50" s="3438"/>
      <c r="M50" s="3394"/>
      <c r="N50" s="3283"/>
      <c r="O50" s="3283"/>
      <c r="P50" s="3283"/>
      <c r="Q50" s="3394"/>
      <c r="R50" s="3394"/>
      <c r="S50" s="3395"/>
    </row>
    <row r="51" spans="1:19" ht="6.75" customHeight="1"/>
    <row r="52" spans="1:19" s="294" customFormat="1" ht="13.15" customHeight="1">
      <c r="A52" s="296" t="s">
        <v>740</v>
      </c>
      <c r="B52" s="296" t="s">
        <v>652</v>
      </c>
      <c r="F52" s="296"/>
      <c r="G52" s="2270"/>
      <c r="H52" s="2270"/>
      <c r="I52" s="2270"/>
      <c r="J52" s="2269"/>
      <c r="K52" s="1275" t="s">
        <v>4252</v>
      </c>
      <c r="L52" s="2269"/>
      <c r="M52" s="2269"/>
      <c r="N52" s="2269"/>
      <c r="O52" s="2269"/>
      <c r="P52" s="2269"/>
      <c r="Q52" s="2269"/>
      <c r="R52" s="2269"/>
      <c r="S52" s="2269"/>
    </row>
    <row r="53" spans="1:19" s="294" customFormat="1" ht="3" customHeight="1">
      <c r="A53" s="296"/>
      <c r="B53" s="296"/>
      <c r="F53" s="296"/>
      <c r="G53" s="2270"/>
      <c r="H53" s="3489"/>
      <c r="I53" s="3489"/>
      <c r="J53" s="3489"/>
      <c r="K53" s="2256"/>
      <c r="L53" s="3489"/>
      <c r="M53" s="3489"/>
      <c r="N53" s="2256"/>
      <c r="O53" s="2315"/>
      <c r="P53" s="2315"/>
      <c r="Q53" s="2270"/>
      <c r="R53" s="2315"/>
      <c r="S53" s="2315"/>
    </row>
    <row r="54" spans="1:19" s="294" customFormat="1" ht="11.25" customHeight="1">
      <c r="B54" s="296" t="s">
        <v>1984</v>
      </c>
      <c r="C54" s="296" t="s">
        <v>282</v>
      </c>
      <c r="H54" s="3466" t="s">
        <v>5130</v>
      </c>
      <c r="I54" s="3467"/>
      <c r="J54" s="3467"/>
      <c r="K54" s="3467"/>
      <c r="L54" s="3467"/>
      <c r="M54" s="3467"/>
      <c r="N54" s="3468"/>
      <c r="O54" s="2257" t="s">
        <v>1990</v>
      </c>
      <c r="P54" s="2257"/>
      <c r="Q54" s="3466" t="s">
        <v>5133</v>
      </c>
      <c r="R54" s="3467"/>
      <c r="S54" s="3468"/>
    </row>
    <row r="55" spans="1:19" s="294" customFormat="1" ht="11.25" customHeight="1">
      <c r="D55" s="333"/>
      <c r="E55" s="2259" t="s">
        <v>1021</v>
      </c>
      <c r="F55" s="306"/>
      <c r="H55" s="3294" t="s">
        <v>5131</v>
      </c>
      <c r="I55" s="3469"/>
      <c r="J55" s="3469"/>
      <c r="K55" s="3470"/>
      <c r="L55" s="3469"/>
      <c r="M55" s="3469"/>
      <c r="N55" s="3471"/>
      <c r="O55" s="2257" t="s">
        <v>1747</v>
      </c>
      <c r="Q55" s="3315" t="s">
        <v>5143</v>
      </c>
      <c r="R55" s="3379"/>
      <c r="S55" s="3380"/>
    </row>
    <row r="56" spans="1:19" s="294" customFormat="1" ht="11.25" customHeight="1">
      <c r="D56" s="333"/>
      <c r="E56" s="2259" t="s">
        <v>618</v>
      </c>
      <c r="H56" s="3294" t="s">
        <v>1205</v>
      </c>
      <c r="I56" s="3470"/>
      <c r="J56" s="3383"/>
      <c r="K56" s="2262" t="s">
        <v>2705</v>
      </c>
      <c r="L56" s="3294" t="s">
        <v>5145</v>
      </c>
      <c r="M56" s="3469"/>
      <c r="N56" s="3383"/>
      <c r="O56" s="2257" t="s">
        <v>1721</v>
      </c>
      <c r="Q56" s="3435">
        <v>4042504093</v>
      </c>
      <c r="R56" s="3436"/>
      <c r="S56" s="3437"/>
    </row>
    <row r="57" spans="1:19" s="294" customFormat="1" ht="11.25" customHeight="1">
      <c r="E57" s="2259" t="s">
        <v>1799</v>
      </c>
      <c r="H57" s="3381" t="s">
        <v>848</v>
      </c>
      <c r="K57" s="1054" t="s">
        <v>2230</v>
      </c>
      <c r="L57" s="3300">
        <v>303052119</v>
      </c>
      <c r="M57" s="3482"/>
      <c r="O57" s="2257" t="s">
        <v>1980</v>
      </c>
      <c r="Q57" s="3435">
        <v>4042731892</v>
      </c>
      <c r="R57" s="3436"/>
      <c r="S57" s="3437"/>
    </row>
    <row r="58" spans="1:19" s="294" customFormat="1" ht="11.25" customHeight="1">
      <c r="D58" s="333"/>
      <c r="E58" s="2259" t="s">
        <v>4253</v>
      </c>
      <c r="H58" s="3477">
        <v>4042504093</v>
      </c>
      <c r="I58" s="3483"/>
      <c r="J58" s="3484">
        <v>703</v>
      </c>
      <c r="K58" s="2270" t="s">
        <v>1985</v>
      </c>
      <c r="L58" s="3438" t="s">
        <v>5132</v>
      </c>
      <c r="M58" s="3394"/>
      <c r="N58" s="3283"/>
      <c r="O58" s="3283"/>
      <c r="P58" s="3283"/>
      <c r="Q58" s="3394"/>
      <c r="R58" s="3394"/>
      <c r="S58" s="3395"/>
    </row>
    <row r="59" spans="1:19" s="294" customFormat="1" ht="6.4" customHeight="1">
      <c r="D59" s="333"/>
      <c r="E59" s="2269"/>
      <c r="F59" s="2269"/>
      <c r="G59" s="2257"/>
      <c r="H59" s="3485"/>
      <c r="I59" s="3485"/>
      <c r="J59" s="3485"/>
      <c r="K59" s="2270"/>
      <c r="L59" s="3485"/>
      <c r="M59" s="3485"/>
      <c r="N59" s="2256"/>
      <c r="O59" s="2315"/>
      <c r="P59" s="2315"/>
      <c r="Q59" s="2270"/>
      <c r="R59" s="2315"/>
      <c r="S59" s="2315"/>
    </row>
    <row r="60" spans="1:19" s="294" customFormat="1" ht="11.25" customHeight="1">
      <c r="B60" s="296" t="s">
        <v>1986</v>
      </c>
      <c r="C60" s="296" t="s">
        <v>283</v>
      </c>
      <c r="H60" s="3466" t="s">
        <v>5147</v>
      </c>
      <c r="I60" s="3467"/>
      <c r="J60" s="3467"/>
      <c r="K60" s="3467"/>
      <c r="L60" s="3467"/>
      <c r="M60" s="3467"/>
      <c r="N60" s="3468"/>
      <c r="O60" s="2257" t="s">
        <v>1990</v>
      </c>
      <c r="P60" s="2257"/>
      <c r="Q60" s="3466" t="s">
        <v>5136</v>
      </c>
      <c r="R60" s="3467"/>
      <c r="S60" s="3468"/>
    </row>
    <row r="61" spans="1:19" s="294" customFormat="1" ht="11.25" customHeight="1">
      <c r="D61" s="333"/>
      <c r="E61" s="2259" t="s">
        <v>1021</v>
      </c>
      <c r="F61" s="306"/>
      <c r="H61" s="3294" t="s">
        <v>5148</v>
      </c>
      <c r="I61" s="3469"/>
      <c r="J61" s="3469"/>
      <c r="K61" s="3470"/>
      <c r="L61" s="3469"/>
      <c r="M61" s="3469"/>
      <c r="N61" s="3471"/>
      <c r="O61" s="2257" t="s">
        <v>1747</v>
      </c>
      <c r="Q61" s="3315" t="s">
        <v>5143</v>
      </c>
      <c r="R61" s="3379"/>
      <c r="S61" s="3380"/>
    </row>
    <row r="62" spans="1:19" s="294" customFormat="1" ht="11.25" customHeight="1">
      <c r="D62" s="333"/>
      <c r="E62" s="2259" t="s">
        <v>618</v>
      </c>
      <c r="H62" s="3294" t="s">
        <v>2340</v>
      </c>
      <c r="I62" s="3470"/>
      <c r="J62" s="3383"/>
      <c r="K62" s="2262" t="s">
        <v>2705</v>
      </c>
      <c r="L62" s="3294"/>
      <c r="M62" s="3469"/>
      <c r="N62" s="3383"/>
      <c r="O62" s="2257" t="s">
        <v>1721</v>
      </c>
      <c r="Q62" s="3435"/>
      <c r="R62" s="3436"/>
      <c r="S62" s="3437"/>
    </row>
    <row r="63" spans="1:19" s="294" customFormat="1" ht="11.25" customHeight="1">
      <c r="E63" s="2259" t="s">
        <v>1799</v>
      </c>
      <c r="H63" s="3381" t="s">
        <v>848</v>
      </c>
      <c r="K63" s="1054" t="s">
        <v>2230</v>
      </c>
      <c r="L63" s="3300">
        <v>300474264</v>
      </c>
      <c r="M63" s="3482"/>
      <c r="O63" s="2257" t="s">
        <v>1980</v>
      </c>
      <c r="Q63" s="3435">
        <v>4044066697</v>
      </c>
      <c r="R63" s="3436"/>
      <c r="S63" s="3437"/>
    </row>
    <row r="64" spans="1:19" s="294" customFormat="1" ht="11.25" customHeight="1">
      <c r="D64" s="333"/>
      <c r="E64" s="2259" t="s">
        <v>4253</v>
      </c>
      <c r="H64" s="3477">
        <v>4044066697</v>
      </c>
      <c r="I64" s="3483"/>
      <c r="J64" s="3484"/>
      <c r="K64" s="2270" t="s">
        <v>1985</v>
      </c>
      <c r="L64" s="3438" t="s">
        <v>5146</v>
      </c>
      <c r="M64" s="3394"/>
      <c r="N64" s="3283"/>
      <c r="O64" s="3283"/>
      <c r="P64" s="3283"/>
      <c r="Q64" s="3394"/>
      <c r="R64" s="3394"/>
      <c r="S64" s="3395"/>
    </row>
    <row r="65" spans="1:19" s="294" customFormat="1" ht="6.4" customHeight="1">
      <c r="D65" s="333"/>
      <c r="E65" s="2269"/>
      <c r="F65" s="2269"/>
      <c r="G65" s="2257"/>
      <c r="H65" s="3485"/>
      <c r="I65" s="3485"/>
      <c r="J65" s="3485"/>
      <c r="K65" s="2270"/>
      <c r="L65" s="3485"/>
      <c r="M65" s="3485"/>
      <c r="N65" s="2256"/>
      <c r="O65" s="2315"/>
      <c r="P65" s="2315"/>
      <c r="Q65" s="2270"/>
      <c r="R65" s="2315"/>
      <c r="S65" s="2315"/>
    </row>
    <row r="66" spans="1:19" s="294" customFormat="1" ht="11.25" customHeight="1">
      <c r="B66" s="296" t="s">
        <v>749</v>
      </c>
      <c r="C66" s="296" t="s">
        <v>1528</v>
      </c>
      <c r="H66" s="3466" t="s">
        <v>5300</v>
      </c>
      <c r="I66" s="3467"/>
      <c r="J66" s="3467"/>
      <c r="K66" s="3467"/>
      <c r="L66" s="3467"/>
      <c r="M66" s="3467"/>
      <c r="N66" s="3468"/>
      <c r="O66" s="2257" t="s">
        <v>1990</v>
      </c>
      <c r="P66" s="2257"/>
      <c r="Q66" s="3466" t="s">
        <v>5303</v>
      </c>
      <c r="R66" s="3467"/>
      <c r="S66" s="3468"/>
    </row>
    <row r="67" spans="1:19" s="294" customFormat="1" ht="11.25" customHeight="1">
      <c r="D67" s="333"/>
      <c r="E67" s="2259" t="s">
        <v>1021</v>
      </c>
      <c r="F67" s="306"/>
      <c r="H67" s="3294" t="s">
        <v>5301</v>
      </c>
      <c r="I67" s="3469"/>
      <c r="J67" s="3469"/>
      <c r="K67" s="3470"/>
      <c r="L67" s="3469"/>
      <c r="M67" s="3469"/>
      <c r="N67" s="3471"/>
      <c r="O67" s="2257" t="s">
        <v>1747</v>
      </c>
      <c r="Q67" s="3315" t="s">
        <v>5304</v>
      </c>
      <c r="R67" s="3379"/>
      <c r="S67" s="3380"/>
    </row>
    <row r="68" spans="1:19" s="294" customFormat="1" ht="11.25" customHeight="1">
      <c r="D68" s="333"/>
      <c r="E68" s="2259" t="s">
        <v>618</v>
      </c>
      <c r="H68" s="3294" t="s">
        <v>1205</v>
      </c>
      <c r="I68" s="3470"/>
      <c r="J68" s="3383"/>
      <c r="K68" s="2262" t="s">
        <v>2705</v>
      </c>
      <c r="L68" s="3294"/>
      <c r="M68" s="3469"/>
      <c r="N68" s="3383"/>
      <c r="O68" s="2257" t="s">
        <v>1721</v>
      </c>
      <c r="Q68" s="3435">
        <v>2564904866</v>
      </c>
      <c r="R68" s="3436"/>
      <c r="S68" s="3437"/>
    </row>
    <row r="69" spans="1:19" s="294" customFormat="1" ht="11.25" customHeight="1">
      <c r="E69" s="2259" t="s">
        <v>1799</v>
      </c>
      <c r="H69" s="3381" t="s">
        <v>848</v>
      </c>
      <c r="K69" s="1054" t="s">
        <v>2230</v>
      </c>
      <c r="L69" s="3300">
        <v>303063707</v>
      </c>
      <c r="M69" s="3482"/>
      <c r="O69" s="2257" t="s">
        <v>1980</v>
      </c>
      <c r="Q69" s="3435">
        <v>2564904866</v>
      </c>
      <c r="R69" s="3436"/>
      <c r="S69" s="3437"/>
    </row>
    <row r="70" spans="1:19" s="294" customFormat="1" ht="11.25" customHeight="1">
      <c r="D70" s="333"/>
      <c r="E70" s="2259" t="s">
        <v>4253</v>
      </c>
      <c r="H70" s="3477">
        <v>2564904866</v>
      </c>
      <c r="I70" s="3483"/>
      <c r="J70" s="3484"/>
      <c r="K70" s="2270" t="s">
        <v>1985</v>
      </c>
      <c r="L70" s="3438" t="s">
        <v>5302</v>
      </c>
      <c r="M70" s="3394"/>
      <c r="N70" s="3283"/>
      <c r="O70" s="3283"/>
      <c r="P70" s="3283"/>
      <c r="Q70" s="3394"/>
      <c r="R70" s="3394"/>
      <c r="S70" s="3395"/>
    </row>
    <row r="71" spans="1:19" ht="6.4" customHeight="1">
      <c r="H71" s="3485"/>
      <c r="I71" s="3485"/>
      <c r="J71" s="3485"/>
      <c r="K71" s="2270"/>
      <c r="L71" s="3485"/>
      <c r="M71" s="3485"/>
      <c r="N71" s="2256"/>
      <c r="O71" s="2315"/>
      <c r="P71" s="2315"/>
      <c r="Q71" s="2270"/>
      <c r="R71" s="2315"/>
      <c r="S71" s="2315"/>
    </row>
    <row r="72" spans="1:19" s="294" customFormat="1" ht="11.25" customHeight="1">
      <c r="B72" s="296" t="s">
        <v>2116</v>
      </c>
      <c r="C72" s="296" t="s">
        <v>284</v>
      </c>
      <c r="H72" s="3466"/>
      <c r="I72" s="3467"/>
      <c r="J72" s="3467"/>
      <c r="K72" s="3467"/>
      <c r="L72" s="3467"/>
      <c r="M72" s="3467"/>
      <c r="N72" s="3468"/>
      <c r="O72" s="2257" t="s">
        <v>1990</v>
      </c>
      <c r="P72" s="2257"/>
      <c r="Q72" s="3466"/>
      <c r="R72" s="3467"/>
      <c r="S72" s="3468"/>
    </row>
    <row r="73" spans="1:19" s="294" customFormat="1" ht="11.25" customHeight="1">
      <c r="D73" s="333"/>
      <c r="E73" s="2259" t="s">
        <v>1021</v>
      </c>
      <c r="F73" s="306"/>
      <c r="H73" s="3294"/>
      <c r="I73" s="3469"/>
      <c r="J73" s="3469"/>
      <c r="K73" s="3470"/>
      <c r="L73" s="3469"/>
      <c r="M73" s="3469"/>
      <c r="N73" s="3471"/>
      <c r="O73" s="2257" t="s">
        <v>1747</v>
      </c>
      <c r="Q73" s="3315"/>
      <c r="R73" s="3379"/>
      <c r="S73" s="3380"/>
    </row>
    <row r="74" spans="1:19" s="294" customFormat="1" ht="11.25" customHeight="1">
      <c r="D74" s="333"/>
      <c r="E74" s="2259" t="s">
        <v>618</v>
      </c>
      <c r="H74" s="3294"/>
      <c r="I74" s="3470"/>
      <c r="J74" s="3383"/>
      <c r="K74" s="2262" t="s">
        <v>2705</v>
      </c>
      <c r="L74" s="3294"/>
      <c r="M74" s="3469"/>
      <c r="N74" s="3383"/>
      <c r="O74" s="2257" t="s">
        <v>1721</v>
      </c>
      <c r="Q74" s="3435"/>
      <c r="R74" s="3436"/>
      <c r="S74" s="3437"/>
    </row>
    <row r="75" spans="1:19" s="294" customFormat="1" ht="11.25" customHeight="1">
      <c r="E75" s="2259" t="s">
        <v>1799</v>
      </c>
      <c r="H75" s="3381"/>
      <c r="K75" s="1054" t="s">
        <v>2230</v>
      </c>
      <c r="L75" s="3300"/>
      <c r="M75" s="3482"/>
      <c r="O75" s="2257" t="s">
        <v>1980</v>
      </c>
      <c r="Q75" s="3435"/>
      <c r="R75" s="3436"/>
      <c r="S75" s="3437"/>
    </row>
    <row r="76" spans="1:19" s="294" customFormat="1" ht="11.25" customHeight="1">
      <c r="D76" s="333"/>
      <c r="E76" s="2259" t="s">
        <v>4253</v>
      </c>
      <c r="H76" s="3477"/>
      <c r="I76" s="3483"/>
      <c r="J76" s="3484"/>
      <c r="K76" s="2270" t="s">
        <v>1985</v>
      </c>
      <c r="L76" s="3438"/>
      <c r="M76" s="3394"/>
      <c r="N76" s="3283"/>
      <c r="O76" s="3283"/>
      <c r="P76" s="3283"/>
      <c r="Q76" s="3394"/>
      <c r="R76" s="3394"/>
      <c r="S76" s="3395"/>
    </row>
    <row r="77" spans="1:19" ht="6.75" customHeight="1"/>
    <row r="78" spans="1:19" s="2259" customFormat="1" ht="13.15" customHeight="1">
      <c r="A78" s="299" t="s">
        <v>742</v>
      </c>
      <c r="B78" s="299" t="s">
        <v>285</v>
      </c>
      <c r="D78" s="299"/>
      <c r="E78" s="2257"/>
      <c r="F78" s="2261"/>
      <c r="G78" s="2261"/>
      <c r="H78" s="2261"/>
      <c r="I78" s="2261"/>
      <c r="J78" s="2261"/>
      <c r="K78" s="1275" t="s">
        <v>4252</v>
      </c>
      <c r="L78" s="2261"/>
      <c r="M78" s="2261"/>
    </row>
    <row r="79" spans="1:19" s="2259" customFormat="1" ht="3" customHeight="1">
      <c r="A79" s="299"/>
      <c r="B79" s="299"/>
      <c r="D79" s="299"/>
      <c r="E79" s="2257"/>
      <c r="F79" s="2261"/>
      <c r="G79" s="2261"/>
      <c r="H79" s="3489"/>
      <c r="I79" s="3489"/>
      <c r="J79" s="3489"/>
      <c r="K79" s="2256"/>
      <c r="L79" s="3489"/>
      <c r="M79" s="3489"/>
      <c r="N79" s="2256"/>
      <c r="O79" s="2315"/>
      <c r="P79" s="2315"/>
      <c r="Q79" s="2270"/>
      <c r="R79" s="2315"/>
      <c r="S79" s="2315"/>
    </row>
    <row r="80" spans="1:19" s="294" customFormat="1" ht="11.25" customHeight="1">
      <c r="B80" s="296" t="s">
        <v>1984</v>
      </c>
      <c r="C80" s="296" t="s">
        <v>286</v>
      </c>
      <c r="H80" s="3466"/>
      <c r="I80" s="3467"/>
      <c r="J80" s="3467"/>
      <c r="K80" s="3467"/>
      <c r="L80" s="3467"/>
      <c r="M80" s="3467"/>
      <c r="N80" s="3468"/>
      <c r="O80" s="2257" t="s">
        <v>1990</v>
      </c>
      <c r="P80" s="2257"/>
      <c r="Q80" s="3466"/>
      <c r="R80" s="3467"/>
      <c r="S80" s="3468"/>
    </row>
    <row r="81" spans="2:19" s="294" customFormat="1" ht="11.25" customHeight="1">
      <c r="D81" s="333"/>
      <c r="E81" s="2259" t="s">
        <v>1021</v>
      </c>
      <c r="F81" s="306"/>
      <c r="H81" s="3294"/>
      <c r="I81" s="3469"/>
      <c r="J81" s="3469"/>
      <c r="K81" s="3470"/>
      <c r="L81" s="3469"/>
      <c r="M81" s="3469"/>
      <c r="N81" s="3471"/>
      <c r="O81" s="2257" t="s">
        <v>1747</v>
      </c>
      <c r="Q81" s="3315"/>
      <c r="R81" s="3379"/>
      <c r="S81" s="3380"/>
    </row>
    <row r="82" spans="2:19" s="294" customFormat="1" ht="11.25" customHeight="1">
      <c r="D82" s="333"/>
      <c r="E82" s="2259" t="s">
        <v>618</v>
      </c>
      <c r="H82" s="3294"/>
      <c r="I82" s="3470"/>
      <c r="J82" s="3383"/>
      <c r="K82" s="2262" t="s">
        <v>2705</v>
      </c>
      <c r="L82" s="3294"/>
      <c r="M82" s="3469"/>
      <c r="N82" s="3383"/>
      <c r="O82" s="2257" t="s">
        <v>1721</v>
      </c>
      <c r="Q82" s="3435"/>
      <c r="R82" s="3436"/>
      <c r="S82" s="3437"/>
    </row>
    <row r="83" spans="2:19" s="294" customFormat="1" ht="11.25" customHeight="1">
      <c r="E83" s="2259" t="s">
        <v>1799</v>
      </c>
      <c r="H83" s="3381"/>
      <c r="K83" s="1054" t="s">
        <v>2230</v>
      </c>
      <c r="L83" s="3300"/>
      <c r="M83" s="3482"/>
      <c r="O83" s="2257" t="s">
        <v>1980</v>
      </c>
      <c r="Q83" s="3435"/>
      <c r="R83" s="3436"/>
      <c r="S83" s="3437"/>
    </row>
    <row r="84" spans="2:19" s="294" customFormat="1" ht="11.25" customHeight="1">
      <c r="D84" s="333"/>
      <c r="E84" s="2259" t="s">
        <v>4253</v>
      </c>
      <c r="H84" s="3477"/>
      <c r="I84" s="3483"/>
      <c r="J84" s="3484"/>
      <c r="K84" s="2270" t="s">
        <v>1985</v>
      </c>
      <c r="L84" s="3438"/>
      <c r="M84" s="3394"/>
      <c r="N84" s="3283"/>
      <c r="O84" s="3283"/>
      <c r="P84" s="3283"/>
      <c r="Q84" s="3394"/>
      <c r="R84" s="3394"/>
      <c r="S84" s="3395"/>
    </row>
    <row r="85" spans="2:19" ht="6.4" customHeight="1">
      <c r="H85" s="3485"/>
      <c r="I85" s="3485"/>
      <c r="J85" s="3485"/>
      <c r="K85" s="2270"/>
      <c r="L85" s="3485"/>
      <c r="M85" s="3485"/>
      <c r="N85" s="2256"/>
      <c r="O85" s="2315"/>
      <c r="P85" s="2315"/>
      <c r="Q85" s="2270"/>
      <c r="R85" s="2315"/>
      <c r="S85" s="2315"/>
    </row>
    <row r="86" spans="2:19" s="294" customFormat="1" ht="11.25" customHeight="1">
      <c r="B86" s="296" t="s">
        <v>1986</v>
      </c>
      <c r="C86" s="296" t="s">
        <v>287</v>
      </c>
      <c r="H86" s="3466" t="s">
        <v>5149</v>
      </c>
      <c r="I86" s="3467"/>
      <c r="J86" s="3467"/>
      <c r="K86" s="3467"/>
      <c r="L86" s="3467"/>
      <c r="M86" s="3467"/>
      <c r="N86" s="3468"/>
      <c r="O86" s="2257" t="s">
        <v>1990</v>
      </c>
      <c r="P86" s="2257"/>
      <c r="Q86" s="3466" t="s">
        <v>5153</v>
      </c>
      <c r="R86" s="3467"/>
      <c r="S86" s="3468"/>
    </row>
    <row r="87" spans="2:19" s="294" customFormat="1" ht="11.25" customHeight="1">
      <c r="D87" s="333"/>
      <c r="E87" s="2259" t="s">
        <v>1021</v>
      </c>
      <c r="F87" s="306"/>
      <c r="H87" s="3294" t="s">
        <v>5150</v>
      </c>
      <c r="I87" s="3469"/>
      <c r="J87" s="3469"/>
      <c r="K87" s="3470"/>
      <c r="L87" s="3469"/>
      <c r="M87" s="3469"/>
      <c r="N87" s="3471"/>
      <c r="O87" s="2257" t="s">
        <v>1747</v>
      </c>
      <c r="Q87" s="3315" t="s">
        <v>5143</v>
      </c>
      <c r="R87" s="3379"/>
      <c r="S87" s="3380"/>
    </row>
    <row r="88" spans="2:19" s="294" customFormat="1" ht="11.25" customHeight="1">
      <c r="D88" s="333"/>
      <c r="E88" s="2259" t="s">
        <v>618</v>
      </c>
      <c r="H88" s="3294" t="s">
        <v>1696</v>
      </c>
      <c r="I88" s="3470"/>
      <c r="J88" s="3383"/>
      <c r="K88" s="2262" t="s">
        <v>2705</v>
      </c>
      <c r="L88" s="3294" t="s">
        <v>5151</v>
      </c>
      <c r="M88" s="3469"/>
      <c r="N88" s="3383"/>
      <c r="O88" s="2257" t="s">
        <v>1721</v>
      </c>
      <c r="Q88" s="3435">
        <v>2295619997</v>
      </c>
      <c r="R88" s="3436"/>
      <c r="S88" s="3437"/>
    </row>
    <row r="89" spans="2:19" s="294" customFormat="1" ht="11.25" customHeight="1">
      <c r="E89" s="2259" t="s">
        <v>1799</v>
      </c>
      <c r="H89" s="3381" t="s">
        <v>848</v>
      </c>
      <c r="K89" s="1054" t="s">
        <v>2230</v>
      </c>
      <c r="L89" s="3300">
        <v>316022135</v>
      </c>
      <c r="M89" s="3482"/>
      <c r="O89" s="2257" t="s">
        <v>1980</v>
      </c>
      <c r="Q89" s="3435">
        <v>2295619997</v>
      </c>
      <c r="R89" s="3436"/>
      <c r="S89" s="3437"/>
    </row>
    <row r="90" spans="2:19" s="294" customFormat="1" ht="11.25" customHeight="1">
      <c r="D90" s="333"/>
      <c r="E90" s="2259" t="s">
        <v>4253</v>
      </c>
      <c r="H90" s="3477">
        <v>2295066876</v>
      </c>
      <c r="I90" s="3483"/>
      <c r="J90" s="3484"/>
      <c r="K90" s="2270" t="s">
        <v>1985</v>
      </c>
      <c r="L90" s="3438" t="s">
        <v>5152</v>
      </c>
      <c r="M90" s="3394"/>
      <c r="N90" s="3283"/>
      <c r="O90" s="3283"/>
      <c r="P90" s="3283"/>
      <c r="Q90" s="3394"/>
      <c r="R90" s="3394"/>
      <c r="S90" s="3395"/>
    </row>
    <row r="91" spans="2:19" ht="6.4" customHeight="1">
      <c r="H91" s="3485"/>
      <c r="I91" s="3485"/>
      <c r="J91" s="3485"/>
      <c r="K91" s="2270"/>
      <c r="L91" s="3485"/>
      <c r="M91" s="3485"/>
      <c r="N91" s="2256"/>
      <c r="O91" s="2315"/>
      <c r="P91" s="2315"/>
      <c r="Q91" s="2270"/>
      <c r="R91" s="2315"/>
      <c r="S91" s="2315"/>
    </row>
    <row r="92" spans="2:19" s="294" customFormat="1" ht="11.25" customHeight="1">
      <c r="B92" s="296" t="s">
        <v>749</v>
      </c>
      <c r="C92" s="296" t="s">
        <v>288</v>
      </c>
      <c r="F92" s="312"/>
      <c r="H92" s="3466" t="s">
        <v>5154</v>
      </c>
      <c r="I92" s="3467"/>
      <c r="J92" s="3467"/>
      <c r="K92" s="3467"/>
      <c r="L92" s="3467"/>
      <c r="M92" s="3467"/>
      <c r="N92" s="3468"/>
      <c r="O92" s="2257" t="s">
        <v>1990</v>
      </c>
      <c r="P92" s="2257"/>
      <c r="Q92" s="3466" t="s">
        <v>5158</v>
      </c>
      <c r="R92" s="3467"/>
      <c r="S92" s="3468"/>
    </row>
    <row r="93" spans="2:19" s="294" customFormat="1" ht="11.25" customHeight="1">
      <c r="D93" s="333"/>
      <c r="E93" s="2259" t="s">
        <v>1021</v>
      </c>
      <c r="F93" s="306"/>
      <c r="H93" s="3294" t="s">
        <v>5155</v>
      </c>
      <c r="I93" s="3469"/>
      <c r="J93" s="3469"/>
      <c r="K93" s="3470"/>
      <c r="L93" s="3469"/>
      <c r="M93" s="3469"/>
      <c r="N93" s="3471"/>
      <c r="O93" s="2257" t="s">
        <v>1747</v>
      </c>
      <c r="Q93" s="3315" t="s">
        <v>5159</v>
      </c>
      <c r="R93" s="3379"/>
      <c r="S93" s="3380"/>
    </row>
    <row r="94" spans="2:19" s="294" customFormat="1" ht="11.25" customHeight="1">
      <c r="D94" s="333"/>
      <c r="E94" s="2259" t="s">
        <v>618</v>
      </c>
      <c r="H94" s="3294" t="s">
        <v>2529</v>
      </c>
      <c r="I94" s="3470"/>
      <c r="J94" s="3383"/>
      <c r="K94" s="2262" t="s">
        <v>2705</v>
      </c>
      <c r="L94" s="3294" t="s">
        <v>5156</v>
      </c>
      <c r="M94" s="3469"/>
      <c r="N94" s="3383"/>
      <c r="O94" s="2257" t="s">
        <v>1721</v>
      </c>
      <c r="Q94" s="3435">
        <v>8034196556</v>
      </c>
      <c r="R94" s="3436"/>
      <c r="S94" s="3437"/>
    </row>
    <row r="95" spans="2:19" s="294" customFormat="1" ht="11.25" customHeight="1">
      <c r="D95" s="333"/>
      <c r="E95" s="2259" t="s">
        <v>1799</v>
      </c>
      <c r="H95" s="3381" t="s">
        <v>1356</v>
      </c>
      <c r="K95" s="1054" t="s">
        <v>2230</v>
      </c>
      <c r="L95" s="3300">
        <v>292243589</v>
      </c>
      <c r="M95" s="3482"/>
      <c r="O95" s="2257" t="s">
        <v>1980</v>
      </c>
      <c r="Q95" s="3435">
        <v>8034229886</v>
      </c>
      <c r="R95" s="3436"/>
      <c r="S95" s="3437"/>
    </row>
    <row r="96" spans="2:19" s="294" customFormat="1" ht="11.25" customHeight="1">
      <c r="D96" s="333"/>
      <c r="E96" s="2259" t="s">
        <v>4253</v>
      </c>
      <c r="H96" s="3477">
        <v>8034196556</v>
      </c>
      <c r="I96" s="3483"/>
      <c r="J96" s="3484"/>
      <c r="K96" s="2270" t="s">
        <v>1985</v>
      </c>
      <c r="L96" s="3438" t="s">
        <v>5157</v>
      </c>
      <c r="M96" s="3394"/>
      <c r="N96" s="3283"/>
      <c r="O96" s="3283"/>
      <c r="P96" s="3283"/>
      <c r="Q96" s="3394"/>
      <c r="R96" s="3394"/>
      <c r="S96" s="3395"/>
    </row>
    <row r="97" spans="2:19" ht="6.4" customHeight="1">
      <c r="H97" s="3485"/>
      <c r="I97" s="3485"/>
      <c r="J97" s="3485"/>
      <c r="K97" s="2270"/>
      <c r="L97" s="3485"/>
      <c r="M97" s="3485"/>
      <c r="N97" s="2256"/>
      <c r="O97" s="2315"/>
      <c r="P97" s="2315"/>
      <c r="Q97" s="2270"/>
      <c r="R97" s="2315"/>
      <c r="S97" s="2315"/>
    </row>
    <row r="98" spans="2:19" s="294" customFormat="1" ht="11.25" customHeight="1">
      <c r="B98" s="296" t="s">
        <v>2116</v>
      </c>
      <c r="C98" s="296" t="s">
        <v>289</v>
      </c>
      <c r="H98" s="3466" t="s">
        <v>5160</v>
      </c>
      <c r="I98" s="3467"/>
      <c r="J98" s="3467"/>
      <c r="K98" s="3467"/>
      <c r="L98" s="3467"/>
      <c r="M98" s="3467"/>
      <c r="N98" s="3468"/>
      <c r="O98" s="2257" t="s">
        <v>1990</v>
      </c>
      <c r="P98" s="2257"/>
      <c r="Q98" s="3466" t="s">
        <v>5164</v>
      </c>
      <c r="R98" s="3467"/>
      <c r="S98" s="3468"/>
    </row>
    <row r="99" spans="2:19" s="294" customFormat="1" ht="11.25" customHeight="1">
      <c r="D99" s="333"/>
      <c r="E99" s="2259" t="s">
        <v>1021</v>
      </c>
      <c r="F99" s="306"/>
      <c r="H99" s="3294" t="s">
        <v>5161</v>
      </c>
      <c r="I99" s="3469"/>
      <c r="J99" s="3469"/>
      <c r="K99" s="3470"/>
      <c r="L99" s="3469"/>
      <c r="M99" s="3469"/>
      <c r="N99" s="3471"/>
      <c r="O99" s="2257" t="s">
        <v>1747</v>
      </c>
      <c r="Q99" s="3315" t="s">
        <v>5165</v>
      </c>
      <c r="R99" s="3379"/>
      <c r="S99" s="3380"/>
    </row>
    <row r="100" spans="2:19" s="294" customFormat="1" ht="11.25" customHeight="1">
      <c r="D100" s="333"/>
      <c r="E100" s="2259" t="s">
        <v>618</v>
      </c>
      <c r="H100" s="3294" t="s">
        <v>1696</v>
      </c>
      <c r="I100" s="3470"/>
      <c r="J100" s="3383"/>
      <c r="K100" s="2262" t="s">
        <v>2705</v>
      </c>
      <c r="L100" s="3294" t="s">
        <v>5162</v>
      </c>
      <c r="M100" s="3469"/>
      <c r="N100" s="3383"/>
      <c r="O100" s="2257" t="s">
        <v>1721</v>
      </c>
      <c r="Q100" s="3435">
        <v>2296718260</v>
      </c>
      <c r="R100" s="3436"/>
      <c r="S100" s="3437"/>
    </row>
    <row r="101" spans="2:19" s="294" customFormat="1" ht="11.25" customHeight="1">
      <c r="D101" s="333"/>
      <c r="E101" s="2259" t="s">
        <v>1799</v>
      </c>
      <c r="H101" s="3381" t="s">
        <v>848</v>
      </c>
      <c r="K101" s="1054" t="s">
        <v>2230</v>
      </c>
      <c r="L101" s="3300">
        <v>316014531</v>
      </c>
      <c r="M101" s="3482"/>
      <c r="O101" s="2257" t="s">
        <v>1980</v>
      </c>
      <c r="Q101" s="3435">
        <v>2298349704</v>
      </c>
      <c r="R101" s="3436"/>
      <c r="S101" s="3437"/>
    </row>
    <row r="102" spans="2:19" ht="11.25" customHeight="1">
      <c r="E102" s="2259" t="s">
        <v>4253</v>
      </c>
      <c r="F102" s="294"/>
      <c r="G102" s="294"/>
      <c r="H102" s="3477">
        <v>2292427562</v>
      </c>
      <c r="I102" s="3483"/>
      <c r="J102" s="3484"/>
      <c r="K102" s="2270" t="s">
        <v>1985</v>
      </c>
      <c r="L102" s="3438" t="s">
        <v>5163</v>
      </c>
      <c r="M102" s="3394"/>
      <c r="N102" s="3283"/>
      <c r="O102" s="3283"/>
      <c r="P102" s="3283"/>
      <c r="Q102" s="3394"/>
      <c r="R102" s="3394"/>
      <c r="S102" s="3395"/>
    </row>
    <row r="103" spans="2:19" ht="6" customHeight="1">
      <c r="E103" s="2259"/>
      <c r="F103" s="294"/>
      <c r="G103" s="2269"/>
      <c r="H103" s="3485"/>
      <c r="I103" s="3485"/>
      <c r="J103" s="3485"/>
      <c r="K103" s="2270"/>
      <c r="L103" s="3485"/>
      <c r="M103" s="3485"/>
      <c r="N103" s="2256"/>
      <c r="O103" s="2315"/>
      <c r="P103" s="2315"/>
      <c r="Q103" s="2270"/>
      <c r="R103" s="2315"/>
      <c r="S103" s="2315"/>
    </row>
    <row r="104" spans="2:19" s="294" customFormat="1" ht="11.25" customHeight="1">
      <c r="B104" s="296" t="s">
        <v>1735</v>
      </c>
      <c r="C104" s="296" t="s">
        <v>290</v>
      </c>
      <c r="H104" s="3466" t="s">
        <v>5166</v>
      </c>
      <c r="I104" s="3467"/>
      <c r="J104" s="3467"/>
      <c r="K104" s="3467"/>
      <c r="L104" s="3467"/>
      <c r="M104" s="3467"/>
      <c r="N104" s="3468"/>
      <c r="O104" s="2257" t="s">
        <v>1990</v>
      </c>
      <c r="P104" s="2257"/>
      <c r="Q104" s="3466" t="s">
        <v>5170</v>
      </c>
      <c r="R104" s="3467"/>
      <c r="S104" s="3468"/>
    </row>
    <row r="105" spans="2:19" s="294" customFormat="1" ht="11.25" customHeight="1">
      <c r="D105" s="333"/>
      <c r="E105" s="2259" t="s">
        <v>1021</v>
      </c>
      <c r="F105" s="306"/>
      <c r="H105" s="3294" t="s">
        <v>5167</v>
      </c>
      <c r="I105" s="3469"/>
      <c r="J105" s="3469"/>
      <c r="K105" s="3470"/>
      <c r="L105" s="3469"/>
      <c r="M105" s="3469"/>
      <c r="N105" s="3471"/>
      <c r="O105" s="2257" t="s">
        <v>1747</v>
      </c>
      <c r="Q105" s="3315" t="s">
        <v>5165</v>
      </c>
      <c r="R105" s="3379"/>
      <c r="S105" s="3380"/>
    </row>
    <row r="106" spans="2:19" s="294" customFormat="1" ht="11.25" customHeight="1">
      <c r="D106" s="333"/>
      <c r="E106" s="2259" t="s">
        <v>618</v>
      </c>
      <c r="H106" s="3294" t="s">
        <v>1205</v>
      </c>
      <c r="I106" s="3470"/>
      <c r="J106" s="3383"/>
      <c r="K106" s="2262" t="s">
        <v>2705</v>
      </c>
      <c r="L106" s="3294" t="s">
        <v>5168</v>
      </c>
      <c r="M106" s="3469"/>
      <c r="N106" s="3383"/>
      <c r="O106" s="2257" t="s">
        <v>1721</v>
      </c>
      <c r="Q106" s="3435">
        <v>4048988244</v>
      </c>
      <c r="R106" s="3436"/>
      <c r="S106" s="3437"/>
    </row>
    <row r="107" spans="2:19" s="294" customFormat="1" ht="11.25" customHeight="1">
      <c r="D107" s="333"/>
      <c r="E107" s="2259" t="s">
        <v>1799</v>
      </c>
      <c r="H107" s="3381" t="s">
        <v>848</v>
      </c>
      <c r="K107" s="1054" t="s">
        <v>2230</v>
      </c>
      <c r="L107" s="3300">
        <v>303286132</v>
      </c>
      <c r="M107" s="3482"/>
      <c r="O107" s="2257" t="s">
        <v>1980</v>
      </c>
      <c r="Q107" s="3435">
        <v>6783620453</v>
      </c>
      <c r="R107" s="3436"/>
      <c r="S107" s="3437"/>
    </row>
    <row r="108" spans="2:19" ht="11.25" customHeight="1">
      <c r="E108" s="2259" t="s">
        <v>4253</v>
      </c>
      <c r="F108" s="294"/>
      <c r="G108" s="294"/>
      <c r="H108" s="3477">
        <v>4048988244</v>
      </c>
      <c r="I108" s="3483"/>
      <c r="J108" s="3484"/>
      <c r="K108" s="2270" t="s">
        <v>1985</v>
      </c>
      <c r="L108" s="3438" t="s">
        <v>5169</v>
      </c>
      <c r="M108" s="3394"/>
      <c r="N108" s="3283"/>
      <c r="O108" s="3283"/>
      <c r="P108" s="3283"/>
      <c r="Q108" s="3394"/>
      <c r="R108" s="3394"/>
      <c r="S108" s="3395"/>
    </row>
    <row r="109" spans="2:19" ht="6.4" customHeight="1">
      <c r="E109" s="2259"/>
      <c r="F109" s="294"/>
      <c r="G109" s="2269"/>
      <c r="H109" s="3485"/>
      <c r="I109" s="3485"/>
      <c r="J109" s="3485"/>
      <c r="K109" s="2270"/>
      <c r="L109" s="3485"/>
      <c r="M109" s="3485"/>
      <c r="N109" s="2256"/>
      <c r="O109" s="2315"/>
      <c r="P109" s="2315"/>
      <c r="Q109" s="2270"/>
      <c r="R109" s="2315"/>
      <c r="S109" s="2315"/>
    </row>
    <row r="110" spans="2:19" s="294" customFormat="1" ht="11.25" customHeight="1">
      <c r="B110" s="296" t="s">
        <v>1736</v>
      </c>
      <c r="C110" s="296" t="s">
        <v>291</v>
      </c>
      <c r="H110" s="3466" t="s">
        <v>5171</v>
      </c>
      <c r="I110" s="3467"/>
      <c r="J110" s="3467"/>
      <c r="K110" s="3467"/>
      <c r="L110" s="3467"/>
      <c r="M110" s="3467"/>
      <c r="N110" s="3468"/>
      <c r="O110" s="2257" t="s">
        <v>1990</v>
      </c>
      <c r="P110" s="2257"/>
      <c r="Q110" s="3466" t="s">
        <v>5175</v>
      </c>
      <c r="R110" s="3467"/>
      <c r="S110" s="3468"/>
    </row>
    <row r="111" spans="2:19" s="294" customFormat="1" ht="11.25" customHeight="1">
      <c r="D111" s="333"/>
      <c r="E111" s="2259" t="s">
        <v>1021</v>
      </c>
      <c r="F111" s="306"/>
      <c r="H111" s="3294" t="s">
        <v>5172</v>
      </c>
      <c r="I111" s="3469"/>
      <c r="J111" s="3469"/>
      <c r="K111" s="3470"/>
      <c r="L111" s="3469"/>
      <c r="M111" s="3469"/>
      <c r="N111" s="3471"/>
      <c r="O111" s="2257" t="s">
        <v>1747</v>
      </c>
      <c r="Q111" s="3315" t="s">
        <v>5165</v>
      </c>
      <c r="R111" s="3379"/>
      <c r="S111" s="3380"/>
    </row>
    <row r="112" spans="2:19" s="294" customFormat="1" ht="11.25" customHeight="1">
      <c r="D112" s="333"/>
      <c r="E112" s="2259" t="s">
        <v>618</v>
      </c>
      <c r="H112" s="3294" t="s">
        <v>196</v>
      </c>
      <c r="I112" s="3470"/>
      <c r="J112" s="3383"/>
      <c r="K112" s="2262" t="s">
        <v>2705</v>
      </c>
      <c r="L112" s="3294" t="s">
        <v>5173</v>
      </c>
      <c r="M112" s="3469"/>
      <c r="N112" s="3383"/>
      <c r="O112" s="2257" t="s">
        <v>1721</v>
      </c>
      <c r="Q112" s="3435">
        <v>4043752800</v>
      </c>
      <c r="R112" s="3436"/>
      <c r="S112" s="3437"/>
    </row>
    <row r="113" spans="1:22" s="294" customFormat="1" ht="11.25" customHeight="1">
      <c r="D113" s="337"/>
      <c r="E113" s="2259" t="s">
        <v>1799</v>
      </c>
      <c r="H113" s="3381" t="s">
        <v>848</v>
      </c>
      <c r="K113" s="1054" t="s">
        <v>2230</v>
      </c>
      <c r="L113" s="3300">
        <v>300303330</v>
      </c>
      <c r="M113" s="3482"/>
      <c r="O113" s="2257" t="s">
        <v>1980</v>
      </c>
      <c r="Q113" s="3435">
        <v>4042903390</v>
      </c>
      <c r="R113" s="3436"/>
      <c r="S113" s="3437"/>
    </row>
    <row r="114" spans="1:22" s="294" customFormat="1" ht="11.25" customHeight="1">
      <c r="D114" s="337"/>
      <c r="E114" s="2259" t="s">
        <v>4253</v>
      </c>
      <c r="H114" s="3477">
        <v>4043732800</v>
      </c>
      <c r="I114" s="3483"/>
      <c r="J114" s="3484"/>
      <c r="K114" s="2270" t="s">
        <v>1985</v>
      </c>
      <c r="L114" s="3438" t="s">
        <v>5174</v>
      </c>
      <c r="M114" s="3394"/>
      <c r="N114" s="3283"/>
      <c r="O114" s="3283"/>
      <c r="P114" s="3283"/>
      <c r="Q114" s="3394"/>
      <c r="R114" s="3394"/>
      <c r="S114" s="3395"/>
    </row>
    <row r="115" spans="1:22" ht="3" customHeight="1"/>
    <row r="116" spans="1:22" s="294" customFormat="1" ht="12" customHeight="1">
      <c r="A116" s="296" t="s">
        <v>1792</v>
      </c>
      <c r="B116" s="296" t="s">
        <v>2604</v>
      </c>
      <c r="F116" s="296"/>
      <c r="G116" s="2270"/>
      <c r="H116" s="2270"/>
      <c r="I116" s="2270"/>
      <c r="J116" s="2270"/>
      <c r="K116" s="2270"/>
      <c r="L116" s="2270"/>
      <c r="M116" s="2270"/>
      <c r="N116" s="2270"/>
      <c r="O116" s="2270"/>
      <c r="P116" s="2270"/>
      <c r="Q116" s="2262"/>
    </row>
    <row r="117" spans="1:22" s="294" customFormat="1" ht="11.25" customHeight="1">
      <c r="B117" s="296" t="s">
        <v>1984</v>
      </c>
      <c r="C117" s="296" t="s">
        <v>3577</v>
      </c>
      <c r="H117" s="3466"/>
      <c r="I117" s="3490"/>
      <c r="J117" s="3491"/>
      <c r="K117" s="2270" t="s">
        <v>2475</v>
      </c>
      <c r="L117" s="3466"/>
      <c r="M117" s="3467"/>
      <c r="N117" s="3468"/>
      <c r="O117" s="2259" t="s">
        <v>3578</v>
      </c>
      <c r="Q117" s="3492"/>
      <c r="R117" s="3493"/>
      <c r="S117" s="3494"/>
    </row>
    <row r="118" spans="1:22" s="294" customFormat="1" ht="11.25" customHeight="1">
      <c r="D118" s="333"/>
      <c r="E118" s="2259" t="s">
        <v>1021</v>
      </c>
      <c r="F118" s="306"/>
      <c r="H118" s="3386"/>
      <c r="I118" s="3495"/>
      <c r="J118" s="3496"/>
      <c r="K118" s="3387"/>
      <c r="L118" s="3495"/>
      <c r="M118" s="3495"/>
      <c r="N118" s="3497"/>
      <c r="O118" s="2259" t="s">
        <v>618</v>
      </c>
      <c r="Q118" s="3498"/>
      <c r="R118" s="3390"/>
      <c r="S118" s="3391"/>
    </row>
    <row r="119" spans="1:22" s="294" customFormat="1" ht="11.25" customHeight="1">
      <c r="D119" s="333"/>
      <c r="E119" s="2259" t="s">
        <v>1799</v>
      </c>
      <c r="H119" s="3499"/>
      <c r="I119" s="1054" t="s">
        <v>2230</v>
      </c>
      <c r="J119" s="3382"/>
      <c r="K119" s="3383"/>
      <c r="L119" s="2270" t="s">
        <v>1985</v>
      </c>
      <c r="M119" s="3282"/>
      <c r="N119" s="3283"/>
      <c r="O119" s="3283"/>
      <c r="P119" s="3283"/>
      <c r="Q119" s="3394"/>
      <c r="R119" s="3394"/>
      <c r="S119" s="3395"/>
    </row>
    <row r="120" spans="1:22" ht="12" customHeight="1">
      <c r="B120" s="296" t="s">
        <v>1986</v>
      </c>
      <c r="C120" s="296" t="s">
        <v>5006</v>
      </c>
      <c r="H120" s="2152"/>
      <c r="I120" s="2152"/>
      <c r="J120" s="2152"/>
      <c r="K120" s="2152"/>
      <c r="L120" s="2152"/>
      <c r="M120" s="2152"/>
      <c r="N120" s="2152"/>
      <c r="O120" s="2152"/>
      <c r="P120" s="2152"/>
      <c r="Q120" s="2152"/>
      <c r="R120" s="2152"/>
      <c r="S120" s="2152"/>
    </row>
    <row r="121" spans="1:22" ht="11.25" customHeight="1" thickBot="1">
      <c r="A121" s="2393" t="s">
        <v>3877</v>
      </c>
      <c r="B121" s="2393"/>
      <c r="C121" s="2393"/>
      <c r="D121" s="2393"/>
      <c r="E121" s="2394"/>
      <c r="F121" s="3500" t="s">
        <v>2511</v>
      </c>
      <c r="G121" s="3501" t="s">
        <v>3478</v>
      </c>
      <c r="H121" s="3502"/>
      <c r="I121" s="3502"/>
      <c r="J121" s="3502"/>
      <c r="K121" s="3502"/>
      <c r="L121" s="3502"/>
      <c r="M121" s="3502"/>
      <c r="N121" s="3502"/>
      <c r="O121" s="3502"/>
      <c r="P121" s="3502"/>
      <c r="Q121" s="3502"/>
      <c r="R121" s="3502"/>
      <c r="S121" s="3503"/>
    </row>
    <row r="122" spans="1:22" s="294" customFormat="1" ht="25.5" customHeight="1" thickBot="1">
      <c r="B122" s="497"/>
      <c r="C122" s="1091" t="s">
        <v>1987</v>
      </c>
      <c r="D122" s="2364" t="s">
        <v>2837</v>
      </c>
      <c r="E122" s="2364"/>
      <c r="F122" s="3504" t="s">
        <v>2990</v>
      </c>
      <c r="G122" s="3505" t="s">
        <v>5176</v>
      </c>
      <c r="H122" s="3506"/>
      <c r="I122" s="3506"/>
      <c r="J122" s="3506"/>
      <c r="K122" s="3506"/>
      <c r="L122" s="3506"/>
      <c r="M122" s="3506"/>
      <c r="N122" s="3506"/>
      <c r="O122" s="3506"/>
      <c r="P122" s="3506"/>
      <c r="Q122" s="3506"/>
      <c r="R122" s="3506"/>
      <c r="S122" s="3507"/>
      <c r="U122" s="2395" t="s">
        <v>2032</v>
      </c>
      <c r="V122" s="2395"/>
    </row>
    <row r="123" spans="1:22" s="294" customFormat="1" ht="25.5" customHeight="1" thickBot="1">
      <c r="B123" s="497"/>
      <c r="C123" s="606" t="s">
        <v>1989</v>
      </c>
      <c r="D123" s="2331" t="s">
        <v>2902</v>
      </c>
      <c r="E123" s="2323"/>
      <c r="F123" s="3504" t="s">
        <v>2993</v>
      </c>
      <c r="G123" s="3508"/>
      <c r="H123" s="3508"/>
      <c r="I123" s="3508"/>
      <c r="J123" s="3508"/>
      <c r="K123" s="3508"/>
      <c r="L123" s="3508"/>
      <c r="M123" s="3508"/>
      <c r="N123" s="3508"/>
      <c r="O123" s="3508"/>
      <c r="P123" s="3508"/>
      <c r="Q123" s="3508"/>
      <c r="R123" s="3508"/>
      <c r="S123" s="3509"/>
      <c r="U123" s="2395"/>
      <c r="V123" s="2395"/>
    </row>
    <row r="124" spans="1:22" s="294" customFormat="1" ht="25.5" customHeight="1" thickBot="1">
      <c r="B124" s="497"/>
      <c r="C124" s="606" t="s">
        <v>2535</v>
      </c>
      <c r="D124" s="2331" t="s">
        <v>2878</v>
      </c>
      <c r="E124" s="2323"/>
      <c r="F124" s="3504" t="s">
        <v>2990</v>
      </c>
      <c r="G124" s="3508" t="s">
        <v>5177</v>
      </c>
      <c r="H124" s="3508"/>
      <c r="I124" s="3508"/>
      <c r="J124" s="3508"/>
      <c r="K124" s="3508"/>
      <c r="L124" s="3508"/>
      <c r="M124" s="3508"/>
      <c r="N124" s="3508"/>
      <c r="O124" s="3508"/>
      <c r="P124" s="3508"/>
      <c r="Q124" s="3508"/>
      <c r="R124" s="3508"/>
      <c r="S124" s="3509"/>
      <c r="U124" s="2395"/>
      <c r="V124" s="2395"/>
    </row>
    <row r="125" spans="1:22" s="294" customFormat="1" ht="25.5" customHeight="1" thickBot="1">
      <c r="B125" s="497"/>
      <c r="C125" s="606" t="s">
        <v>1224</v>
      </c>
      <c r="D125" s="2331" t="s">
        <v>2838</v>
      </c>
      <c r="E125" s="2323"/>
      <c r="F125" s="3504" t="s">
        <v>2993</v>
      </c>
      <c r="G125" s="3508"/>
      <c r="H125" s="3508"/>
      <c r="I125" s="3508"/>
      <c r="J125" s="3508"/>
      <c r="K125" s="3508"/>
      <c r="L125" s="3508"/>
      <c r="M125" s="3508"/>
      <c r="N125" s="3508"/>
      <c r="O125" s="3508"/>
      <c r="P125" s="3508"/>
      <c r="Q125" s="3508"/>
      <c r="R125" s="3508"/>
      <c r="S125" s="3509"/>
      <c r="U125" s="2395"/>
      <c r="V125" s="2395"/>
    </row>
    <row r="126" spans="1:22" s="294" customFormat="1" ht="25.5" customHeight="1" thickBot="1">
      <c r="B126" s="497"/>
      <c r="C126" s="606" t="s">
        <v>1225</v>
      </c>
      <c r="D126" s="2331" t="s">
        <v>3466</v>
      </c>
      <c r="E126" s="2323"/>
      <c r="F126" s="3504" t="s">
        <v>2993</v>
      </c>
      <c r="G126" s="3508"/>
      <c r="H126" s="3508"/>
      <c r="I126" s="3508"/>
      <c r="J126" s="3508"/>
      <c r="K126" s="3508"/>
      <c r="L126" s="3508"/>
      <c r="M126" s="3508"/>
      <c r="N126" s="3508"/>
      <c r="O126" s="3508"/>
      <c r="P126" s="3508"/>
      <c r="Q126" s="3508"/>
      <c r="R126" s="3508"/>
      <c r="S126" s="3509"/>
      <c r="U126" s="2395"/>
      <c r="V126" s="2395"/>
    </row>
    <row r="127" spans="1:22" s="294" customFormat="1" ht="25.5" customHeight="1" thickBot="1">
      <c r="B127" s="497"/>
      <c r="C127" s="606" t="s">
        <v>1882</v>
      </c>
      <c r="D127" s="2331" t="s">
        <v>3467</v>
      </c>
      <c r="E127" s="2323"/>
      <c r="F127" s="3504" t="s">
        <v>2993</v>
      </c>
      <c r="G127" s="3508"/>
      <c r="H127" s="3508"/>
      <c r="I127" s="3508"/>
      <c r="J127" s="3508"/>
      <c r="K127" s="3508"/>
      <c r="L127" s="3508"/>
      <c r="M127" s="3508"/>
      <c r="N127" s="3508"/>
      <c r="O127" s="3508"/>
      <c r="P127" s="3508"/>
      <c r="Q127" s="3508"/>
      <c r="R127" s="3508"/>
      <c r="S127" s="3509"/>
      <c r="U127" s="2395"/>
      <c r="V127" s="2395"/>
    </row>
    <row r="128" spans="1:22" s="294" customFormat="1" ht="25.5" customHeight="1" thickBot="1">
      <c r="B128" s="497"/>
      <c r="C128" s="606" t="s">
        <v>503</v>
      </c>
      <c r="D128" s="2331" t="s">
        <v>2839</v>
      </c>
      <c r="E128" s="2323"/>
      <c r="F128" s="3504" t="s">
        <v>2993</v>
      </c>
      <c r="G128" s="3508"/>
      <c r="H128" s="3508"/>
      <c r="I128" s="3508"/>
      <c r="J128" s="3508"/>
      <c r="K128" s="3508"/>
      <c r="L128" s="3508"/>
      <c r="M128" s="3508"/>
      <c r="N128" s="3508"/>
      <c r="O128" s="3508"/>
      <c r="P128" s="3508"/>
      <c r="Q128" s="3508"/>
      <c r="R128" s="3508"/>
      <c r="S128" s="3509"/>
    </row>
    <row r="129" spans="1:22" s="294" customFormat="1" ht="25.5" customHeight="1" thickBot="1">
      <c r="B129" s="497"/>
      <c r="C129" s="606" t="s">
        <v>504</v>
      </c>
      <c r="D129" s="2331" t="s">
        <v>5027</v>
      </c>
      <c r="E129" s="2323"/>
      <c r="F129" s="3504" t="s">
        <v>2993</v>
      </c>
      <c r="G129" s="3508"/>
      <c r="H129" s="3508"/>
      <c r="I129" s="3508"/>
      <c r="J129" s="3508"/>
      <c r="K129" s="3508"/>
      <c r="L129" s="3508"/>
      <c r="M129" s="3508"/>
      <c r="N129" s="3508"/>
      <c r="O129" s="3508"/>
      <c r="P129" s="3508"/>
      <c r="Q129" s="3508"/>
      <c r="R129" s="3508"/>
      <c r="S129" s="3509"/>
    </row>
    <row r="130" spans="1:22" s="294" customFormat="1" ht="25.5" customHeight="1" thickBot="1">
      <c r="B130" s="497"/>
      <c r="C130" s="606" t="s">
        <v>5026</v>
      </c>
      <c r="D130" s="3510" t="s">
        <v>3876</v>
      </c>
      <c r="E130" s="3511"/>
      <c r="F130" s="3504" t="s">
        <v>4936</v>
      </c>
      <c r="G130" s="3512"/>
      <c r="H130" s="3512"/>
      <c r="I130" s="3512"/>
      <c r="J130" s="3512"/>
      <c r="K130" s="3512"/>
      <c r="L130" s="3512"/>
      <c r="M130" s="3512"/>
      <c r="N130" s="3512"/>
      <c r="O130" s="3512"/>
      <c r="P130" s="3512"/>
      <c r="Q130" s="3512"/>
      <c r="R130" s="3512"/>
      <c r="S130" s="3513"/>
    </row>
    <row r="131" spans="1:22" s="294" customFormat="1" ht="13.15" customHeight="1">
      <c r="A131" s="296" t="s">
        <v>1794</v>
      </c>
      <c r="B131" s="296" t="s">
        <v>2847</v>
      </c>
      <c r="F131" s="296"/>
      <c r="G131" s="2270"/>
      <c r="H131" s="2270"/>
      <c r="I131" s="2270"/>
      <c r="J131" s="2270"/>
      <c r="K131" s="2270"/>
      <c r="L131" s="2270"/>
      <c r="M131" s="2270"/>
      <c r="N131" s="2270"/>
      <c r="O131" s="2270"/>
      <c r="P131" s="2270"/>
      <c r="Q131" s="2262"/>
    </row>
    <row r="132" spans="1:22" s="294" customFormat="1" ht="2.25" customHeight="1">
      <c r="A132" s="296"/>
      <c r="B132" s="296"/>
      <c r="F132" s="296"/>
      <c r="G132" s="2270"/>
      <c r="H132" s="2270"/>
      <c r="I132" s="2270"/>
      <c r="J132" s="2270"/>
      <c r="K132" s="2270"/>
      <c r="L132" s="2270"/>
      <c r="M132" s="2270"/>
      <c r="N132" s="2270"/>
      <c r="O132" s="2270"/>
      <c r="P132" s="2270"/>
      <c r="Q132" s="2262"/>
    </row>
    <row r="133" spans="1:22" ht="13.15" customHeight="1">
      <c r="B133" s="296" t="s">
        <v>749</v>
      </c>
      <c r="C133" s="296" t="s">
        <v>5007</v>
      </c>
    </row>
    <row r="134" spans="1:22" s="294" customFormat="1" ht="13.5" customHeight="1">
      <c r="A134" s="2363" t="s">
        <v>640</v>
      </c>
      <c r="B134" s="2364"/>
      <c r="C134" s="2364"/>
      <c r="D134" s="2364"/>
      <c r="E134" s="2368" t="s">
        <v>3448</v>
      </c>
      <c r="F134" s="2369"/>
      <c r="G134" s="2369"/>
      <c r="H134" s="2369"/>
      <c r="I134" s="2370"/>
      <c r="J134" s="2374" t="s">
        <v>3449</v>
      </c>
      <c r="K134" s="2377" t="s">
        <v>2908</v>
      </c>
      <c r="L134" s="2377" t="s">
        <v>2909</v>
      </c>
      <c r="M134" s="2380" t="s">
        <v>3458</v>
      </c>
      <c r="N134" s="2381"/>
      <c r="O134" s="2381"/>
      <c r="P134" s="2381"/>
      <c r="Q134" s="2381"/>
      <c r="R134" s="2381"/>
      <c r="S134" s="2382"/>
    </row>
    <row r="135" spans="1:22" s="294" customFormat="1" ht="13.5" customHeight="1">
      <c r="A135" s="2365"/>
      <c r="B135" s="2323"/>
      <c r="C135" s="2323"/>
      <c r="D135" s="2323"/>
      <c r="E135" s="2371"/>
      <c r="F135" s="2372"/>
      <c r="G135" s="2372"/>
      <c r="H135" s="2372"/>
      <c r="I135" s="2373"/>
      <c r="J135" s="2375"/>
      <c r="K135" s="2378"/>
      <c r="L135" s="2378"/>
      <c r="M135" s="2383"/>
      <c r="N135" s="2384"/>
      <c r="O135" s="2384"/>
      <c r="P135" s="2384"/>
      <c r="Q135" s="2384"/>
      <c r="R135" s="2384"/>
      <c r="S135" s="2385"/>
    </row>
    <row r="136" spans="1:22" s="294" customFormat="1" ht="13.5" customHeight="1">
      <c r="A136" s="2365"/>
      <c r="B136" s="2323"/>
      <c r="C136" s="2323"/>
      <c r="D136" s="2323"/>
      <c r="E136" s="2371"/>
      <c r="F136" s="2372"/>
      <c r="G136" s="2372"/>
      <c r="H136" s="2372"/>
      <c r="I136" s="2373"/>
      <c r="J136" s="2375"/>
      <c r="K136" s="2378"/>
      <c r="L136" s="2378"/>
      <c r="M136" s="2383"/>
      <c r="N136" s="2384"/>
      <c r="O136" s="2384"/>
      <c r="P136" s="2384"/>
      <c r="Q136" s="2384"/>
      <c r="R136" s="2384"/>
      <c r="S136" s="2385"/>
    </row>
    <row r="137" spans="1:22" s="294" customFormat="1" ht="23.25" customHeight="1">
      <c r="A137" s="2365"/>
      <c r="B137" s="2323"/>
      <c r="C137" s="2323"/>
      <c r="D137" s="2323"/>
      <c r="E137" s="2386" t="s">
        <v>3716</v>
      </c>
      <c r="F137" s="2387"/>
      <c r="G137" s="2387"/>
      <c r="H137" s="2388"/>
      <c r="I137" s="607"/>
      <c r="J137" s="2375"/>
      <c r="K137" s="2378"/>
      <c r="L137" s="2378"/>
      <c r="M137" s="2383"/>
      <c r="N137" s="2384"/>
      <c r="O137" s="2384"/>
      <c r="P137" s="2384"/>
      <c r="Q137" s="2384"/>
      <c r="R137" s="2384"/>
      <c r="S137" s="2385"/>
    </row>
    <row r="138" spans="1:22" s="294" customFormat="1" ht="13.5" customHeight="1">
      <c r="A138" s="2366"/>
      <c r="B138" s="2367"/>
      <c r="C138" s="2367"/>
      <c r="D138" s="2367"/>
      <c r="E138" s="2389"/>
      <c r="F138" s="2390"/>
      <c r="G138" s="2390"/>
      <c r="H138" s="2391"/>
      <c r="I138" s="2156" t="s">
        <v>2511</v>
      </c>
      <c r="J138" s="2376"/>
      <c r="K138" s="2379"/>
      <c r="L138" s="2378"/>
      <c r="M138" s="2157" t="s">
        <v>2511</v>
      </c>
      <c r="N138" s="2352" t="s">
        <v>2907</v>
      </c>
      <c r="O138" s="2352"/>
      <c r="P138" s="2352"/>
      <c r="Q138" s="2352"/>
      <c r="R138" s="2352"/>
      <c r="S138" s="2392"/>
    </row>
    <row r="139" spans="1:22" s="294" customFormat="1" ht="24" customHeight="1">
      <c r="A139" s="2360" t="s">
        <v>3443</v>
      </c>
      <c r="B139" s="2361"/>
      <c r="C139" s="2361"/>
      <c r="D139" s="2362"/>
      <c r="E139" s="3514"/>
      <c r="F139" s="3506"/>
      <c r="G139" s="3506"/>
      <c r="H139" s="3506"/>
      <c r="I139" s="3515" t="s">
        <v>2993</v>
      </c>
      <c r="J139" s="3516" t="s">
        <v>2993</v>
      </c>
      <c r="K139" s="3517" t="s">
        <v>5144</v>
      </c>
      <c r="L139" s="3518">
        <v>1E-4</v>
      </c>
      <c r="M139" s="3519" t="s">
        <v>2993</v>
      </c>
      <c r="N139" s="3520"/>
      <c r="O139" s="3506"/>
      <c r="P139" s="3506"/>
      <c r="Q139" s="3506"/>
      <c r="R139" s="3506"/>
      <c r="S139" s="3507"/>
    </row>
    <row r="140" spans="1:22" s="294" customFormat="1" ht="24" customHeight="1">
      <c r="A140" s="2354" t="s">
        <v>3444</v>
      </c>
      <c r="B140" s="2355"/>
      <c r="C140" s="2355"/>
      <c r="D140" s="2356"/>
      <c r="E140" s="3521"/>
      <c r="F140" s="3508"/>
      <c r="G140" s="3508"/>
      <c r="H140" s="3508"/>
      <c r="I140" s="3522" t="s">
        <v>4936</v>
      </c>
      <c r="J140" s="3523" t="s">
        <v>4936</v>
      </c>
      <c r="K140" s="3524"/>
      <c r="L140" s="3525"/>
      <c r="M140" s="3526" t="s">
        <v>4936</v>
      </c>
      <c r="N140" s="3527"/>
      <c r="O140" s="3508"/>
      <c r="P140" s="3508"/>
      <c r="Q140" s="3508"/>
      <c r="R140" s="3508"/>
      <c r="S140" s="3509"/>
      <c r="U140" s="2395" t="s">
        <v>2032</v>
      </c>
      <c r="V140" s="2395"/>
    </row>
    <row r="141" spans="1:22" s="294" customFormat="1" ht="24" customHeight="1">
      <c r="A141" s="2354" t="s">
        <v>3445</v>
      </c>
      <c r="B141" s="2355"/>
      <c r="C141" s="2355"/>
      <c r="D141" s="2356"/>
      <c r="E141" s="3521"/>
      <c r="F141" s="3508"/>
      <c r="G141" s="3508"/>
      <c r="H141" s="3508"/>
      <c r="I141" s="3522" t="s">
        <v>4936</v>
      </c>
      <c r="J141" s="3523" t="s">
        <v>4936</v>
      </c>
      <c r="K141" s="3524"/>
      <c r="L141" s="3525"/>
      <c r="M141" s="3526" t="s">
        <v>4936</v>
      </c>
      <c r="N141" s="3527"/>
      <c r="O141" s="3508"/>
      <c r="P141" s="3508"/>
      <c r="Q141" s="3508"/>
      <c r="R141" s="3508"/>
      <c r="S141" s="3509"/>
      <c r="U141" s="2395"/>
      <c r="V141" s="2395"/>
    </row>
    <row r="142" spans="1:22" s="294" customFormat="1" ht="24" customHeight="1">
      <c r="A142" s="2354" t="s">
        <v>3446</v>
      </c>
      <c r="B142" s="2355"/>
      <c r="C142" s="2355"/>
      <c r="D142" s="2356"/>
      <c r="E142" s="3521"/>
      <c r="F142" s="3508"/>
      <c r="G142" s="3508"/>
      <c r="H142" s="3508"/>
      <c r="I142" s="3522" t="s">
        <v>2993</v>
      </c>
      <c r="J142" s="3523" t="s">
        <v>2993</v>
      </c>
      <c r="K142" s="3524" t="s">
        <v>5144</v>
      </c>
      <c r="L142" s="3525">
        <v>0.9899</v>
      </c>
      <c r="M142" s="3526" t="s">
        <v>2993</v>
      </c>
      <c r="N142" s="3527"/>
      <c r="O142" s="3508"/>
      <c r="P142" s="3508"/>
      <c r="Q142" s="3508"/>
      <c r="R142" s="3508"/>
      <c r="S142" s="3509"/>
      <c r="U142" s="2395"/>
      <c r="V142" s="2395"/>
    </row>
    <row r="143" spans="1:22" s="294" customFormat="1" ht="24" customHeight="1">
      <c r="A143" s="2354" t="s">
        <v>3447</v>
      </c>
      <c r="B143" s="2355"/>
      <c r="C143" s="2355"/>
      <c r="D143" s="2356"/>
      <c r="E143" s="3521"/>
      <c r="F143" s="3508"/>
      <c r="G143" s="3508"/>
      <c r="H143" s="3508"/>
      <c r="I143" s="3522" t="s">
        <v>2993</v>
      </c>
      <c r="J143" s="3523" t="s">
        <v>2993</v>
      </c>
      <c r="K143" s="3524" t="s">
        <v>5144</v>
      </c>
      <c r="L143" s="3525">
        <v>0.01</v>
      </c>
      <c r="M143" s="3526" t="s">
        <v>2993</v>
      </c>
      <c r="N143" s="3527"/>
      <c r="O143" s="3508"/>
      <c r="P143" s="3508"/>
      <c r="Q143" s="3508"/>
      <c r="R143" s="3508"/>
      <c r="S143" s="3509"/>
      <c r="U143" s="2395"/>
      <c r="V143" s="2395"/>
    </row>
    <row r="144" spans="1:22" s="294" customFormat="1" ht="24" customHeight="1">
      <c r="A144" s="2354" t="s">
        <v>2895</v>
      </c>
      <c r="B144" s="2355"/>
      <c r="C144" s="2355"/>
      <c r="D144" s="2356"/>
      <c r="E144" s="3521"/>
      <c r="F144" s="3508"/>
      <c r="G144" s="3508"/>
      <c r="H144" s="3508"/>
      <c r="I144" s="3522" t="s">
        <v>4936</v>
      </c>
      <c r="J144" s="3523" t="s">
        <v>4936</v>
      </c>
      <c r="K144" s="3524"/>
      <c r="L144" s="3525"/>
      <c r="M144" s="3526" t="s">
        <v>4936</v>
      </c>
      <c r="N144" s="3527"/>
      <c r="O144" s="3508"/>
      <c r="P144" s="3508"/>
      <c r="Q144" s="3508"/>
      <c r="R144" s="3508"/>
      <c r="S144" s="3509"/>
      <c r="U144" s="2395"/>
      <c r="V144" s="2395"/>
    </row>
    <row r="145" spans="1:24" s="294" customFormat="1" ht="24" customHeight="1">
      <c r="A145" s="2354" t="s">
        <v>653</v>
      </c>
      <c r="B145" s="2355"/>
      <c r="C145" s="2355"/>
      <c r="D145" s="2356"/>
      <c r="E145" s="3521"/>
      <c r="F145" s="3508"/>
      <c r="G145" s="3508"/>
      <c r="H145" s="3508"/>
      <c r="I145" s="3522" t="s">
        <v>2993</v>
      </c>
      <c r="J145" s="3523" t="s">
        <v>2993</v>
      </c>
      <c r="K145" s="3524" t="s">
        <v>5144</v>
      </c>
      <c r="L145" s="3525" t="s">
        <v>970</v>
      </c>
      <c r="M145" s="3526" t="s">
        <v>2993</v>
      </c>
      <c r="N145" s="3527"/>
      <c r="O145" s="3508"/>
      <c r="P145" s="3508"/>
      <c r="Q145" s="3508"/>
      <c r="R145" s="3508"/>
      <c r="S145" s="3509"/>
      <c r="U145" s="2395"/>
      <c r="V145" s="2395"/>
    </row>
    <row r="146" spans="1:24" s="294" customFormat="1" ht="24" customHeight="1">
      <c r="A146" s="2354" t="s">
        <v>2896</v>
      </c>
      <c r="B146" s="2355"/>
      <c r="C146" s="2355"/>
      <c r="D146" s="2356"/>
      <c r="E146" s="3521"/>
      <c r="F146" s="3508"/>
      <c r="G146" s="3508"/>
      <c r="H146" s="3508"/>
      <c r="I146" s="3522" t="s">
        <v>2993</v>
      </c>
      <c r="J146" s="3523" t="s">
        <v>2993</v>
      </c>
      <c r="K146" s="3524" t="s">
        <v>5144</v>
      </c>
      <c r="L146" s="3525" t="s">
        <v>970</v>
      </c>
      <c r="M146" s="3526" t="s">
        <v>2993</v>
      </c>
      <c r="N146" s="3527"/>
      <c r="O146" s="3508"/>
      <c r="P146" s="3508"/>
      <c r="Q146" s="3508"/>
      <c r="R146" s="3508"/>
      <c r="S146" s="3509"/>
    </row>
    <row r="147" spans="1:24" s="294" customFormat="1" ht="24" customHeight="1">
      <c r="A147" s="2354" t="s">
        <v>2897</v>
      </c>
      <c r="B147" s="2355"/>
      <c r="C147" s="2355"/>
      <c r="D147" s="2356"/>
      <c r="E147" s="3521"/>
      <c r="F147" s="3508"/>
      <c r="G147" s="3508"/>
      <c r="H147" s="3508"/>
      <c r="I147" s="3522" t="s">
        <v>2993</v>
      </c>
      <c r="J147" s="3523" t="s">
        <v>2993</v>
      </c>
      <c r="K147" s="3524" t="s">
        <v>2601</v>
      </c>
      <c r="L147" s="3525" t="s">
        <v>970</v>
      </c>
      <c r="M147" s="3526" t="s">
        <v>2993</v>
      </c>
      <c r="N147" s="3527"/>
      <c r="O147" s="3508"/>
      <c r="P147" s="3508"/>
      <c r="Q147" s="3508"/>
      <c r="R147" s="3508"/>
      <c r="S147" s="3509"/>
    </row>
    <row r="148" spans="1:24" s="294" customFormat="1" ht="24" customHeight="1">
      <c r="A148" s="2354" t="s">
        <v>2899</v>
      </c>
      <c r="B148" s="2355"/>
      <c r="C148" s="2355"/>
      <c r="D148" s="2356"/>
      <c r="E148" s="3521"/>
      <c r="F148" s="3508"/>
      <c r="G148" s="3508"/>
      <c r="H148" s="3508"/>
      <c r="I148" s="3522" t="s">
        <v>4936</v>
      </c>
      <c r="J148" s="3523" t="s">
        <v>4936</v>
      </c>
      <c r="K148" s="3524"/>
      <c r="L148" s="3525"/>
      <c r="M148" s="3526" t="s">
        <v>4936</v>
      </c>
      <c r="N148" s="3527"/>
      <c r="O148" s="3508"/>
      <c r="P148" s="3508"/>
      <c r="Q148" s="3508"/>
      <c r="R148" s="3508"/>
      <c r="S148" s="3509"/>
    </row>
    <row r="149" spans="1:24" s="294" customFormat="1" ht="24" customHeight="1">
      <c r="A149" s="2354" t="s">
        <v>2898</v>
      </c>
      <c r="B149" s="2355"/>
      <c r="C149" s="2355"/>
      <c r="D149" s="2356"/>
      <c r="E149" s="3521"/>
      <c r="F149" s="3508"/>
      <c r="G149" s="3508"/>
      <c r="H149" s="3508"/>
      <c r="I149" s="3522" t="s">
        <v>4936</v>
      </c>
      <c r="J149" s="3523" t="s">
        <v>4936</v>
      </c>
      <c r="K149" s="3524"/>
      <c r="L149" s="3525"/>
      <c r="M149" s="3526" t="s">
        <v>4936</v>
      </c>
      <c r="N149" s="3527"/>
      <c r="O149" s="3508"/>
      <c r="P149" s="3508"/>
      <c r="Q149" s="3508"/>
      <c r="R149" s="3508"/>
      <c r="S149" s="3509"/>
    </row>
    <row r="150" spans="1:24" s="294" customFormat="1" ht="24" customHeight="1">
      <c r="A150" s="2354" t="s">
        <v>1529</v>
      </c>
      <c r="B150" s="2355"/>
      <c r="C150" s="2355"/>
      <c r="D150" s="2356"/>
      <c r="E150" s="3521"/>
      <c r="F150" s="3508"/>
      <c r="G150" s="3508"/>
      <c r="H150" s="3508"/>
      <c r="I150" s="3522" t="s">
        <v>2993</v>
      </c>
      <c r="J150" s="3523" t="s">
        <v>2993</v>
      </c>
      <c r="K150" s="3524"/>
      <c r="L150" s="3525" t="s">
        <v>970</v>
      </c>
      <c r="M150" s="3526" t="s">
        <v>2993</v>
      </c>
      <c r="N150" s="3527"/>
      <c r="O150" s="3508"/>
      <c r="P150" s="3508"/>
      <c r="Q150" s="3508"/>
      <c r="R150" s="3508"/>
      <c r="S150" s="3509"/>
    </row>
    <row r="151" spans="1:24" s="294" customFormat="1" ht="24" customHeight="1">
      <c r="A151" s="2357" t="s">
        <v>2900</v>
      </c>
      <c r="B151" s="2358"/>
      <c r="C151" s="2358"/>
      <c r="D151" s="2359"/>
      <c r="E151" s="3528"/>
      <c r="F151" s="3512"/>
      <c r="G151" s="3512"/>
      <c r="H151" s="3512"/>
      <c r="I151" s="3529" t="s">
        <v>2993</v>
      </c>
      <c r="J151" s="3530" t="s">
        <v>2993</v>
      </c>
      <c r="K151" s="3531"/>
      <c r="L151" s="3525" t="s">
        <v>970</v>
      </c>
      <c r="M151" s="3532" t="s">
        <v>2993</v>
      </c>
      <c r="N151" s="3533"/>
      <c r="O151" s="3512"/>
      <c r="P151" s="3512"/>
      <c r="Q151" s="3512"/>
      <c r="R151" s="3512"/>
      <c r="S151" s="3513"/>
    </row>
    <row r="152" spans="1:24" s="2269" customFormat="1" ht="12" customHeight="1">
      <c r="G152" s="304"/>
      <c r="H152" s="304"/>
      <c r="I152" s="304"/>
      <c r="J152" s="2270"/>
      <c r="K152" s="319" t="s">
        <v>539</v>
      </c>
      <c r="L152" s="545">
        <f>SUM(L139:S151)</f>
        <v>1</v>
      </c>
      <c r="M152" s="2270"/>
      <c r="P152" s="302"/>
    </row>
    <row r="153" spans="1:24" ht="11.25" customHeight="1">
      <c r="A153" s="321" t="s">
        <v>530</v>
      </c>
      <c r="B153" s="332"/>
      <c r="C153" s="321" t="s">
        <v>572</v>
      </c>
      <c r="N153" s="321" t="s">
        <v>530</v>
      </c>
      <c r="O153" s="321" t="s">
        <v>79</v>
      </c>
    </row>
    <row r="154" spans="1:24" ht="60" customHeight="1">
      <c r="A154" s="3534" t="s">
        <v>5305</v>
      </c>
      <c r="B154" s="3535"/>
      <c r="C154" s="3535"/>
      <c r="D154" s="3535"/>
      <c r="E154" s="3535"/>
      <c r="F154" s="3535"/>
      <c r="G154" s="3535"/>
      <c r="H154" s="3535"/>
      <c r="I154" s="3535"/>
      <c r="J154" s="3535"/>
      <c r="K154" s="3535"/>
      <c r="L154" s="3535"/>
      <c r="M154" s="3536"/>
      <c r="N154" s="3537"/>
      <c r="O154" s="3538"/>
      <c r="P154" s="3538"/>
      <c r="Q154" s="3538"/>
      <c r="R154" s="3538"/>
      <c r="S154" s="3539"/>
      <c r="T154" s="2322" t="s">
        <v>2694</v>
      </c>
      <c r="U154" s="2322"/>
      <c r="V154" s="2322"/>
      <c r="W154" s="2322"/>
      <c r="X154" s="2322"/>
    </row>
    <row r="155" spans="1:24" s="294" customFormat="1" ht="12" customHeight="1">
      <c r="A155" s="299"/>
      <c r="B155" s="312"/>
      <c r="C155" s="312"/>
      <c r="D155" s="312"/>
      <c r="E155" s="312"/>
      <c r="F155" s="312"/>
      <c r="G155" s="312"/>
      <c r="H155" s="312"/>
      <c r="I155" s="312"/>
      <c r="J155" s="312"/>
      <c r="K155" s="312"/>
      <c r="L155" s="312"/>
      <c r="M155" s="312"/>
      <c r="N155" s="312"/>
      <c r="O155" s="312"/>
      <c r="T155" s="2322"/>
      <c r="U155" s="2322"/>
      <c r="V155" s="2322"/>
      <c r="W155" s="2322"/>
      <c r="X155" s="232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40" t="s">
        <v>1799</v>
      </c>
    </row>
    <row r="160" spans="1:24" s="294" customFormat="1" ht="12" customHeight="1">
      <c r="A160" s="333"/>
      <c r="B160" s="312"/>
      <c r="C160" s="312"/>
      <c r="D160" s="312"/>
      <c r="E160" s="312"/>
      <c r="F160" s="312"/>
      <c r="G160" s="312"/>
      <c r="H160" s="312"/>
      <c r="I160" s="312"/>
      <c r="J160" s="312"/>
      <c r="K160" s="312"/>
      <c r="L160" s="312"/>
      <c r="M160" s="312"/>
      <c r="N160" s="312"/>
      <c r="O160" s="312"/>
      <c r="P160" s="3541" t="s">
        <v>838</v>
      </c>
    </row>
    <row r="161" spans="1:16" s="294" customFormat="1" ht="12" customHeight="1">
      <c r="A161" s="333"/>
      <c r="B161" s="312"/>
      <c r="C161" s="312"/>
      <c r="D161" s="312"/>
      <c r="E161" s="312"/>
      <c r="F161" s="312"/>
      <c r="G161" s="312"/>
      <c r="H161" s="312"/>
      <c r="I161" s="312"/>
      <c r="J161" s="312"/>
      <c r="K161" s="312"/>
      <c r="L161" s="312"/>
      <c r="M161" s="312"/>
      <c r="N161" s="312"/>
      <c r="O161" s="312"/>
      <c r="P161" s="3541" t="s">
        <v>839</v>
      </c>
    </row>
    <row r="162" spans="1:16" s="294" customFormat="1" ht="12" customHeight="1">
      <c r="A162" s="333"/>
      <c r="B162" s="312"/>
      <c r="C162" s="312"/>
      <c r="D162" s="312"/>
      <c r="E162" s="312"/>
      <c r="F162" s="312"/>
      <c r="G162" s="312"/>
      <c r="H162" s="312"/>
      <c r="I162" s="312"/>
      <c r="J162" s="312"/>
      <c r="K162" s="312"/>
      <c r="L162" s="312"/>
      <c r="M162" s="312"/>
      <c r="N162" s="312"/>
      <c r="O162" s="312"/>
      <c r="P162" s="3541" t="s">
        <v>840</v>
      </c>
    </row>
    <row r="163" spans="1:16" s="294" customFormat="1" ht="12" customHeight="1">
      <c r="A163" s="480"/>
      <c r="B163" s="312"/>
      <c r="C163" s="312"/>
      <c r="D163" s="312"/>
      <c r="E163" s="312"/>
      <c r="F163" s="312"/>
      <c r="G163" s="312"/>
      <c r="H163" s="312"/>
      <c r="I163" s="312"/>
      <c r="J163" s="312"/>
      <c r="K163" s="312"/>
      <c r="L163" s="312"/>
      <c r="M163" s="312"/>
      <c r="N163" s="312"/>
      <c r="O163" s="312"/>
      <c r="P163" s="3541" t="s">
        <v>841</v>
      </c>
    </row>
    <row r="164" spans="1:16" s="294" customFormat="1" ht="12" customHeight="1">
      <c r="B164" s="312"/>
      <c r="C164" s="312"/>
      <c r="D164" s="312"/>
      <c r="E164" s="312"/>
      <c r="F164" s="312"/>
      <c r="G164" s="312"/>
      <c r="H164" s="312"/>
      <c r="I164" s="312"/>
      <c r="J164" s="312"/>
      <c r="K164" s="312"/>
      <c r="L164" s="312"/>
      <c r="M164" s="312"/>
      <c r="N164" s="312"/>
      <c r="O164" s="312"/>
      <c r="P164" s="3541" t="s">
        <v>842</v>
      </c>
    </row>
    <row r="165" spans="1:16" s="294" customFormat="1" ht="12" customHeight="1">
      <c r="B165" s="312"/>
      <c r="C165" s="312"/>
      <c r="D165" s="312"/>
      <c r="E165" s="312"/>
      <c r="F165" s="312"/>
      <c r="G165" s="312"/>
      <c r="H165" s="312"/>
      <c r="I165" s="312"/>
      <c r="J165" s="312"/>
      <c r="K165" s="312"/>
      <c r="L165" s="312"/>
      <c r="M165" s="312"/>
      <c r="N165" s="312"/>
      <c r="O165" s="312"/>
      <c r="P165" s="3541" t="s">
        <v>843</v>
      </c>
    </row>
    <row r="166" spans="1:16" s="294" customFormat="1" ht="12" customHeight="1">
      <c r="B166" s="312"/>
      <c r="C166" s="312"/>
      <c r="D166" s="312"/>
      <c r="E166" s="312"/>
      <c r="F166" s="312"/>
      <c r="G166" s="312"/>
      <c r="H166" s="312"/>
      <c r="I166" s="312"/>
      <c r="J166" s="312"/>
      <c r="K166" s="312"/>
      <c r="L166" s="312"/>
      <c r="M166" s="312"/>
      <c r="N166" s="312"/>
      <c r="O166" s="312"/>
      <c r="P166" s="3541" t="s">
        <v>844</v>
      </c>
    </row>
    <row r="167" spans="1:16" s="294" customFormat="1" ht="12" customHeight="1">
      <c r="B167" s="312"/>
      <c r="C167" s="312"/>
      <c r="D167" s="312"/>
      <c r="E167" s="312"/>
      <c r="F167" s="312"/>
      <c r="G167" s="312"/>
      <c r="H167" s="312"/>
      <c r="I167" s="312"/>
      <c r="J167" s="312"/>
      <c r="K167" s="312"/>
      <c r="L167" s="312"/>
      <c r="M167" s="312"/>
      <c r="N167" s="312"/>
      <c r="O167" s="312"/>
      <c r="P167" s="3541" t="s">
        <v>845</v>
      </c>
    </row>
    <row r="168" spans="1:16" ht="12" customHeight="1">
      <c r="P168" s="3541" t="s">
        <v>846</v>
      </c>
    </row>
    <row r="169" spans="1:16" ht="12" customHeight="1">
      <c r="A169" s="321"/>
      <c r="P169" s="3541" t="s">
        <v>847</v>
      </c>
    </row>
    <row r="170" spans="1:16" ht="12" customHeight="1">
      <c r="P170" s="3541" t="s">
        <v>848</v>
      </c>
    </row>
    <row r="171" spans="1:16" ht="12" customHeight="1">
      <c r="P171" s="3541" t="s">
        <v>849</v>
      </c>
    </row>
    <row r="172" spans="1:16" ht="12" customHeight="1">
      <c r="P172" s="3541" t="s">
        <v>850</v>
      </c>
    </row>
    <row r="173" spans="1:16" ht="12" customHeight="1">
      <c r="P173" s="3541" t="s">
        <v>851</v>
      </c>
    </row>
    <row r="174" spans="1:16" ht="12" customHeight="1">
      <c r="P174" s="3541" t="s">
        <v>852</v>
      </c>
    </row>
    <row r="175" spans="1:16" ht="12" customHeight="1">
      <c r="P175" s="3541" t="s">
        <v>853</v>
      </c>
    </row>
    <row r="176" spans="1:16" ht="12" customHeight="1">
      <c r="P176" s="3541" t="s">
        <v>854</v>
      </c>
    </row>
    <row r="177" spans="16:16" ht="12" customHeight="1">
      <c r="P177" s="3541" t="s">
        <v>855</v>
      </c>
    </row>
    <row r="178" spans="16:16" ht="12" customHeight="1">
      <c r="P178" s="3541" t="s">
        <v>856</v>
      </c>
    </row>
    <row r="179" spans="16:16" ht="12" customHeight="1">
      <c r="P179" s="3541" t="s">
        <v>857</v>
      </c>
    </row>
    <row r="180" spans="16:16" ht="12" customHeight="1">
      <c r="P180" s="3541" t="s">
        <v>858</v>
      </c>
    </row>
    <row r="181" spans="16:16" ht="12" customHeight="1">
      <c r="P181" s="3541" t="s">
        <v>859</v>
      </c>
    </row>
    <row r="182" spans="16:16" ht="12" customHeight="1">
      <c r="P182" s="3541" t="s">
        <v>860</v>
      </c>
    </row>
    <row r="183" spans="16:16" ht="12" customHeight="1">
      <c r="P183" s="3541" t="s">
        <v>861</v>
      </c>
    </row>
    <row r="184" spans="16:16" ht="12" customHeight="1">
      <c r="P184" s="3541" t="s">
        <v>862</v>
      </c>
    </row>
    <row r="185" spans="16:16" ht="12" customHeight="1">
      <c r="P185" s="3541" t="s">
        <v>1341</v>
      </c>
    </row>
    <row r="186" spans="16:16" ht="12" customHeight="1">
      <c r="P186" s="3541" t="s">
        <v>1342</v>
      </c>
    </row>
    <row r="187" spans="16:16" ht="12" customHeight="1">
      <c r="P187" s="3541" t="s">
        <v>1343</v>
      </c>
    </row>
    <row r="188" spans="16:16" ht="12" customHeight="1">
      <c r="P188" s="3541" t="s">
        <v>1344</v>
      </c>
    </row>
    <row r="189" spans="16:16" ht="12" customHeight="1">
      <c r="P189" s="3541" t="s">
        <v>1345</v>
      </c>
    </row>
    <row r="190" spans="16:16" ht="13.5">
      <c r="P190" s="3541" t="s">
        <v>1346</v>
      </c>
    </row>
    <row r="191" spans="16:16" ht="12" customHeight="1">
      <c r="P191" s="3541" t="s">
        <v>1347</v>
      </c>
    </row>
    <row r="192" spans="16:16" ht="12" customHeight="1">
      <c r="P192" s="3541" t="s">
        <v>1348</v>
      </c>
    </row>
    <row r="193" spans="16:16" ht="12" customHeight="1">
      <c r="P193" s="3541" t="s">
        <v>1349</v>
      </c>
    </row>
    <row r="194" spans="16:16" ht="12" customHeight="1">
      <c r="P194" s="3541" t="s">
        <v>1350</v>
      </c>
    </row>
    <row r="195" spans="16:16" ht="12" customHeight="1">
      <c r="P195" s="3541" t="s">
        <v>1351</v>
      </c>
    </row>
    <row r="196" spans="16:16" ht="12" customHeight="1">
      <c r="P196" s="3541" t="s">
        <v>1352</v>
      </c>
    </row>
    <row r="197" spans="16:16" ht="12" customHeight="1">
      <c r="P197" s="3541" t="s">
        <v>1353</v>
      </c>
    </row>
    <row r="198" spans="16:16" ht="12" customHeight="1">
      <c r="P198" s="3541" t="s">
        <v>1354</v>
      </c>
    </row>
    <row r="199" spans="16:16" ht="12" customHeight="1">
      <c r="P199" s="3541" t="s">
        <v>1355</v>
      </c>
    </row>
    <row r="200" spans="16:16" ht="12" customHeight="1">
      <c r="P200" s="3541" t="s">
        <v>1356</v>
      </c>
    </row>
    <row r="201" spans="16:16" ht="12" customHeight="1">
      <c r="P201" s="3541" t="s">
        <v>1357</v>
      </c>
    </row>
    <row r="202" spans="16:16" ht="12" customHeight="1">
      <c r="P202" s="3541" t="s">
        <v>1358</v>
      </c>
    </row>
    <row r="203" spans="16:16" ht="12" customHeight="1">
      <c r="P203" s="3541" t="s">
        <v>1359</v>
      </c>
    </row>
    <row r="204" spans="16:16" ht="12" customHeight="1">
      <c r="P204" s="3541" t="s">
        <v>1360</v>
      </c>
    </row>
    <row r="205" spans="16:16" ht="12" customHeight="1">
      <c r="P205" s="3541" t="s">
        <v>1361</v>
      </c>
    </row>
    <row r="206" spans="16:16" ht="12" customHeight="1">
      <c r="P206" s="3541" t="s">
        <v>1362</v>
      </c>
    </row>
    <row r="207" spans="16:16" ht="12" customHeight="1">
      <c r="P207" s="3541" t="s">
        <v>1363</v>
      </c>
    </row>
    <row r="208" spans="16:16" ht="12" customHeight="1">
      <c r="P208" s="3541" t="s">
        <v>1364</v>
      </c>
    </row>
    <row r="209" spans="16:16" ht="12" customHeight="1">
      <c r="P209" s="3541" t="s">
        <v>1365</v>
      </c>
    </row>
    <row r="210" spans="16:16" ht="12" customHeight="1">
      <c r="P210" s="3541" t="s">
        <v>1366</v>
      </c>
    </row>
  </sheetData>
  <sheetProtection algorithmName="SHA-512" hashValue="iPRAmYLKtFasEerSjhfinBofrUOAKkoGy7xSdah76cIhIkyp7gJK4H0HzwnsJhR155XnBAh6Uv8Wj7X3xvjGMA==" saltValue="26+KX8ICvdVNpVhpscglR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114 H9:H10 H44:I44 H37:H38 H30 H24:H25 H108:H109"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15" workbookViewId="0">
      <selection activeCell="A15" sqref="A1:XFD1048576"/>
    </sheetView>
  </sheetViews>
  <sheetFormatPr defaultColWidth="9.140625" defaultRowHeight="13.5"/>
  <cols>
    <col min="1" max="1" width="4.140625" style="339" customWidth="1"/>
    <col min="2" max="17" width="8.140625" style="339" customWidth="1"/>
    <col min="18" max="18" width="3.140625" style="339" customWidth="1"/>
    <col min="19" max="19" width="13.42578125" style="339" customWidth="1"/>
    <col min="20" max="20" width="98.7109375" style="339" customWidth="1"/>
    <col min="21" max="16384" width="9.140625" style="339"/>
  </cols>
  <sheetData>
    <row r="1" spans="1:20" s="269" customFormat="1" ht="13.9" customHeight="1">
      <c r="A1" s="2396" t="str">
        <f>CONCATENATE("PART THREE - SOURCES OF FUNDS","  -  ",'Part I-Project Information'!$O$6," ",'Part I-Project Information'!$F$34,", ",'Part I-Project Information'!$F$38,", ",'Part I-Project Information'!$J$39," County")</f>
        <v>PART THREE - SOURCES OF FUNDS  -  2019-078 Abbington Sound, Kingsland, Camden County</v>
      </c>
      <c r="B1" s="2397"/>
      <c r="C1" s="2397"/>
      <c r="D1" s="2397"/>
      <c r="E1" s="2397"/>
      <c r="F1" s="2397"/>
      <c r="G1" s="2397"/>
      <c r="H1" s="2397"/>
      <c r="I1" s="2397"/>
      <c r="J1" s="2397"/>
      <c r="K1" s="2397"/>
      <c r="L1" s="2397"/>
      <c r="M1" s="2397"/>
      <c r="N1" s="2397"/>
      <c r="O1" s="2397"/>
      <c r="P1" s="2397"/>
      <c r="Q1" s="2398"/>
      <c r="S1" s="2440" t="str">
        <f>$A$1</f>
        <v>PART THREE - SOURCES OF FUNDS  -  2019-078 Abbington Sound, Kingsland, Camden County</v>
      </c>
      <c r="T1" s="2440"/>
    </row>
    <row r="2" spans="1:20" ht="17.649999999999999" customHeight="1">
      <c r="A2" s="312"/>
      <c r="B2" s="312"/>
      <c r="C2" s="312"/>
      <c r="D2" s="312"/>
      <c r="E2" s="312"/>
      <c r="F2" s="312"/>
      <c r="G2" s="1290"/>
      <c r="H2" s="1290"/>
      <c r="I2" s="1290"/>
      <c r="J2" s="1290"/>
      <c r="K2" s="1290"/>
      <c r="L2" s="1290"/>
    </row>
    <row r="3" spans="1:20" s="269" customFormat="1" ht="13.15" customHeight="1">
      <c r="A3" s="296" t="s">
        <v>616</v>
      </c>
      <c r="B3" s="304" t="s">
        <v>2492</v>
      </c>
      <c r="C3" s="294"/>
      <c r="D3" s="2269"/>
      <c r="E3" s="2269"/>
      <c r="F3" s="2269"/>
      <c r="G3" s="2269"/>
      <c r="L3" s="2441" t="str">
        <f>'Part I-Project Information'!$B$6</f>
        <v>April 2019 Final</v>
      </c>
      <c r="M3" s="2442"/>
      <c r="N3" s="2442"/>
      <c r="O3" s="2442"/>
      <c r="P3" s="2443"/>
      <c r="S3" s="340" t="str">
        <f>B3</f>
        <v>GOVERNMENT FUNDING SOURCES  (check all that apply)</v>
      </c>
    </row>
    <row r="4" spans="1:20" s="269" customFormat="1" ht="15.75" customHeight="1">
      <c r="A4" s="321"/>
      <c r="B4" s="480"/>
      <c r="C4" s="315"/>
      <c r="D4" s="2269"/>
      <c r="E4" s="2269"/>
      <c r="F4" s="2269"/>
      <c r="G4" s="2269"/>
      <c r="S4" s="2429" t="s">
        <v>2684</v>
      </c>
      <c r="T4" s="2429"/>
    </row>
    <row r="5" spans="1:20" s="269" customFormat="1" ht="16.5" customHeight="1">
      <c r="A5" s="480"/>
      <c r="B5" s="3439" t="s">
        <v>2990</v>
      </c>
      <c r="C5" s="2257" t="s">
        <v>2411</v>
      </c>
      <c r="D5" s="294"/>
      <c r="E5" s="3439"/>
      <c r="F5" s="2257" t="s">
        <v>3720</v>
      </c>
      <c r="G5" s="294"/>
      <c r="H5" s="3542"/>
      <c r="I5" s="3543"/>
      <c r="L5" s="3439"/>
      <c r="M5" s="2257" t="s">
        <v>1537</v>
      </c>
      <c r="S5" s="3544"/>
      <c r="T5" s="3545"/>
    </row>
    <row r="6" spans="1:20" s="269" customFormat="1" ht="16.5" customHeight="1">
      <c r="A6" s="480"/>
      <c r="B6" s="3319"/>
      <c r="C6" s="2257" t="s">
        <v>5001</v>
      </c>
      <c r="D6" s="294"/>
      <c r="E6" s="3374"/>
      <c r="F6" s="2257" t="s">
        <v>3721</v>
      </c>
      <c r="H6" s="3546"/>
      <c r="I6" s="3547"/>
      <c r="L6" s="3319"/>
      <c r="M6" s="2257" t="s">
        <v>549</v>
      </c>
      <c r="S6" s="3548"/>
      <c r="T6" s="3549"/>
    </row>
    <row r="7" spans="1:20" s="269" customFormat="1" ht="16.5" customHeight="1">
      <c r="A7" s="294"/>
      <c r="B7" s="3319"/>
      <c r="C7" s="2257" t="s">
        <v>551</v>
      </c>
      <c r="F7" s="294" t="s">
        <v>5000</v>
      </c>
      <c r="H7" s="3550" t="s">
        <v>3450</v>
      </c>
      <c r="I7" s="3551"/>
      <c r="J7" s="3552"/>
      <c r="L7" s="3319"/>
      <c r="M7" s="2259" t="s">
        <v>3617</v>
      </c>
      <c r="S7" s="3548"/>
      <c r="T7" s="3549"/>
    </row>
    <row r="8" spans="1:20" s="269" customFormat="1" ht="16.5" customHeight="1">
      <c r="A8" s="480"/>
      <c r="B8" s="3319"/>
      <c r="C8" s="2257" t="s">
        <v>2602</v>
      </c>
      <c r="E8" s="3439"/>
      <c r="F8" s="2259" t="s">
        <v>2610</v>
      </c>
      <c r="L8" s="3319"/>
      <c r="M8" s="2259" t="s">
        <v>5002</v>
      </c>
      <c r="S8" s="3553"/>
      <c r="T8" s="3554"/>
    </row>
    <row r="9" spans="1:20" s="269" customFormat="1" ht="16.5" customHeight="1">
      <c r="A9" s="480"/>
      <c r="B9" s="3319"/>
      <c r="C9" s="2257" t="s">
        <v>2603</v>
      </c>
      <c r="E9" s="3319"/>
      <c r="F9" s="2259" t="s">
        <v>3719</v>
      </c>
      <c r="H9" s="3555"/>
      <c r="I9" s="3556"/>
      <c r="J9" s="3552"/>
      <c r="L9" s="3319"/>
      <c r="M9" s="2257" t="s">
        <v>3678</v>
      </c>
      <c r="S9" s="3544"/>
      <c r="T9" s="3545"/>
    </row>
    <row r="10" spans="1:20" s="269" customFormat="1" ht="16.5" customHeight="1">
      <c r="A10" s="480"/>
      <c r="B10" s="3319"/>
      <c r="C10" s="2259" t="s">
        <v>3683</v>
      </c>
      <c r="E10" s="3557"/>
      <c r="F10" s="3558" t="s">
        <v>4716</v>
      </c>
      <c r="G10" s="3401"/>
      <c r="H10" s="3401"/>
      <c r="I10" s="3401"/>
      <c r="J10" s="3419"/>
      <c r="L10" s="3319"/>
      <c r="M10" s="294" t="s">
        <v>2611</v>
      </c>
      <c r="S10" s="3548"/>
      <c r="T10" s="3549"/>
    </row>
    <row r="11" spans="1:20" s="269" customFormat="1" ht="16.5" customHeight="1">
      <c r="A11" s="480"/>
      <c r="B11" s="3319"/>
      <c r="C11" s="294" t="s">
        <v>3884</v>
      </c>
      <c r="F11" s="3559" t="s">
        <v>4717</v>
      </c>
      <c r="G11" s="3560"/>
      <c r="H11" s="3560"/>
      <c r="I11" s="3560"/>
      <c r="J11" s="3561"/>
      <c r="L11" s="3319"/>
      <c r="M11" s="294" t="s">
        <v>3722</v>
      </c>
      <c r="S11" s="3548"/>
      <c r="T11" s="3549"/>
    </row>
    <row r="12" spans="1:20" s="269" customFormat="1" ht="16.5" customHeight="1">
      <c r="A12" s="480"/>
      <c r="B12" s="3319"/>
      <c r="C12" s="294" t="s">
        <v>2609</v>
      </c>
      <c r="E12" s="3562"/>
      <c r="F12" s="3558"/>
      <c r="G12" s="3401"/>
      <c r="H12" s="3401"/>
      <c r="I12" s="3401"/>
      <c r="J12" s="3419"/>
      <c r="L12" s="3319"/>
      <c r="M12" s="294" t="s">
        <v>2797</v>
      </c>
      <c r="S12" s="3548"/>
      <c r="T12" s="3549"/>
    </row>
    <row r="13" spans="1:20" s="269" customFormat="1" ht="16.5" customHeight="1">
      <c r="A13" s="480"/>
      <c r="B13" s="3319"/>
      <c r="C13" s="294" t="s">
        <v>3717</v>
      </c>
      <c r="F13" s="3559"/>
      <c r="G13" s="3560"/>
      <c r="H13" s="3560"/>
      <c r="I13" s="3560"/>
      <c r="J13" s="3561"/>
      <c r="L13" s="3319"/>
      <c r="M13" s="2259" t="s">
        <v>3883</v>
      </c>
      <c r="S13" s="3553"/>
      <c r="T13" s="3554"/>
    </row>
    <row r="14" spans="1:20" s="269" customFormat="1" ht="16.5" customHeight="1">
      <c r="A14" s="480"/>
      <c r="B14" s="3374"/>
      <c r="C14" s="2257" t="s">
        <v>1803</v>
      </c>
      <c r="E14" s="3305"/>
      <c r="F14" s="2257" t="s">
        <v>4999</v>
      </c>
      <c r="I14" s="3563"/>
      <c r="J14" s="3564"/>
      <c r="L14" s="3374"/>
      <c r="M14" s="289" t="s">
        <v>5004</v>
      </c>
    </row>
    <row r="15" spans="1:20" s="269" customFormat="1" ht="16.899999999999999"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1" t="s">
        <v>2346</v>
      </c>
      <c r="C17" s="294"/>
      <c r="D17" s="2269"/>
      <c r="E17" s="294"/>
      <c r="F17" s="294"/>
      <c r="G17" s="294"/>
      <c r="H17" s="269"/>
      <c r="L17" s="294"/>
      <c r="M17" s="2269"/>
      <c r="N17" s="2438"/>
      <c r="O17" s="2438"/>
      <c r="P17" s="294"/>
      <c r="Q17" s="294"/>
      <c r="S17" s="340" t="str">
        <f>B17</f>
        <v>CONSTRUCTION FINANCING</v>
      </c>
    </row>
    <row r="18" spans="1:20" s="340" customFormat="1" ht="5.25" customHeight="1">
      <c r="A18" s="296"/>
      <c r="B18" s="2261"/>
      <c r="C18" s="294"/>
      <c r="K18" s="294"/>
      <c r="L18" s="294"/>
      <c r="M18" s="2269"/>
      <c r="N18" s="2262"/>
      <c r="O18" s="2262"/>
      <c r="P18" s="294"/>
      <c r="Q18" s="294"/>
    </row>
    <row r="19" spans="1:20" s="269" customFormat="1" ht="16.899999999999999" customHeight="1">
      <c r="A19" s="294"/>
      <c r="B19" s="2257" t="s">
        <v>1872</v>
      </c>
      <c r="C19" s="294"/>
      <c r="D19" s="294"/>
      <c r="E19" s="294"/>
      <c r="F19" s="294"/>
      <c r="G19" s="294"/>
      <c r="H19" s="2439" t="s">
        <v>1297</v>
      </c>
      <c r="I19" s="2439"/>
      <c r="J19" s="2439"/>
      <c r="K19" s="2439"/>
      <c r="L19" s="2353" t="s">
        <v>4955</v>
      </c>
      <c r="M19" s="2353"/>
      <c r="N19" s="2353" t="s">
        <v>1507</v>
      </c>
      <c r="O19" s="2353"/>
      <c r="P19" s="2353" t="s">
        <v>1630</v>
      </c>
      <c r="Q19" s="2353"/>
      <c r="S19" s="2429" t="s">
        <v>2684</v>
      </c>
      <c r="T19" s="2429"/>
    </row>
    <row r="20" spans="1:20" s="269" customFormat="1" ht="15.75" customHeight="1">
      <c r="A20" s="294"/>
      <c r="B20" s="2430" t="s">
        <v>1591</v>
      </c>
      <c r="C20" s="2431"/>
      <c r="D20" s="2431"/>
      <c r="E20" s="2267"/>
      <c r="F20" s="2267"/>
      <c r="G20" s="2267"/>
      <c r="H20" s="3565" t="s">
        <v>5285</v>
      </c>
      <c r="I20" s="3566"/>
      <c r="J20" s="3566"/>
      <c r="K20" s="3567"/>
      <c r="L20" s="3568">
        <v>4150000</v>
      </c>
      <c r="M20" s="3569"/>
      <c r="N20" s="3570">
        <v>0.01</v>
      </c>
      <c r="O20" s="3571"/>
      <c r="P20" s="3572">
        <v>24</v>
      </c>
      <c r="Q20" s="3573"/>
      <c r="S20" s="3544"/>
      <c r="T20" s="3545"/>
    </row>
    <row r="21" spans="1:20" s="269" customFormat="1" ht="15.75" customHeight="1">
      <c r="A21" s="294"/>
      <c r="B21" s="2412" t="s">
        <v>1592</v>
      </c>
      <c r="C21" s="2413"/>
      <c r="D21" s="2413"/>
      <c r="E21" s="2269"/>
      <c r="F21" s="2269"/>
      <c r="G21" s="2269"/>
      <c r="H21" s="3574" t="s">
        <v>5284</v>
      </c>
      <c r="I21" s="3575"/>
      <c r="J21" s="3575"/>
      <c r="K21" s="3576"/>
      <c r="L21" s="3577">
        <v>6399799.9199999999</v>
      </c>
      <c r="M21" s="3578"/>
      <c r="N21" s="3579">
        <v>6.5000000000000002E-2</v>
      </c>
      <c r="O21" s="3580"/>
      <c r="P21" s="3581">
        <v>24</v>
      </c>
      <c r="Q21" s="3582"/>
      <c r="S21" s="3548"/>
      <c r="T21" s="3549"/>
    </row>
    <row r="22" spans="1:20" s="269" customFormat="1" ht="15.75" customHeight="1">
      <c r="A22" s="294"/>
      <c r="B22" s="2444" t="s">
        <v>1593</v>
      </c>
      <c r="C22" s="2445"/>
      <c r="D22" s="2445"/>
      <c r="E22" s="2266"/>
      <c r="F22" s="2266"/>
      <c r="G22" s="2266"/>
      <c r="H22" s="3583"/>
      <c r="I22" s="3584"/>
      <c r="J22" s="3584"/>
      <c r="K22" s="3585"/>
      <c r="L22" s="3586"/>
      <c r="M22" s="3587"/>
      <c r="N22" s="3588"/>
      <c r="O22" s="3589"/>
      <c r="P22" s="3590"/>
      <c r="Q22" s="3591"/>
      <c r="S22" s="3548"/>
      <c r="T22" s="3549"/>
    </row>
    <row r="23" spans="1:20" s="269" customFormat="1" ht="15.75" customHeight="1">
      <c r="A23" s="294"/>
      <c r="B23" s="2430" t="s">
        <v>2216</v>
      </c>
      <c r="C23" s="2431"/>
      <c r="D23" s="2431"/>
      <c r="E23" s="2269"/>
      <c r="F23" s="2269"/>
      <c r="G23" s="2269"/>
      <c r="H23" s="3592"/>
      <c r="I23" s="3593"/>
      <c r="J23" s="3593"/>
      <c r="K23" s="3594"/>
      <c r="L23" s="3595"/>
      <c r="M23" s="3596"/>
      <c r="N23" s="2432"/>
      <c r="O23" s="2433"/>
      <c r="P23" s="2427"/>
      <c r="Q23" s="2427"/>
      <c r="S23" s="3548"/>
      <c r="T23" s="3549"/>
    </row>
    <row r="24" spans="1:20" s="269" customFormat="1" ht="15.75" customHeight="1">
      <c r="A24" s="294"/>
      <c r="B24" s="2412" t="s">
        <v>801</v>
      </c>
      <c r="C24" s="2413"/>
      <c r="D24" s="2413"/>
      <c r="E24" s="2269"/>
      <c r="H24" s="3574"/>
      <c r="I24" s="3575"/>
      <c r="J24" s="3575"/>
      <c r="K24" s="3576"/>
      <c r="L24" s="3577"/>
      <c r="M24" s="3578"/>
      <c r="N24" s="2432"/>
      <c r="O24" s="2433"/>
      <c r="P24" s="2427"/>
      <c r="Q24" s="2427"/>
      <c r="S24" s="3548"/>
      <c r="T24" s="3549"/>
    </row>
    <row r="25" spans="1:20" s="269" customFormat="1" ht="15.75" customHeight="1">
      <c r="A25" s="294"/>
      <c r="B25" s="2412" t="s">
        <v>641</v>
      </c>
      <c r="C25" s="2413"/>
      <c r="D25" s="2413"/>
      <c r="E25" s="2269"/>
      <c r="H25" s="3574"/>
      <c r="I25" s="3575"/>
      <c r="J25" s="3575"/>
      <c r="K25" s="3576"/>
      <c r="L25" s="3577"/>
      <c r="M25" s="3578"/>
      <c r="N25" s="2432"/>
      <c r="O25" s="2433"/>
      <c r="P25" s="2427"/>
      <c r="Q25" s="2427"/>
      <c r="S25" s="3548"/>
      <c r="T25" s="3549"/>
    </row>
    <row r="26" spans="1:20" s="269" customFormat="1" ht="15.75" customHeight="1">
      <c r="A26" s="294"/>
      <c r="B26" s="2412" t="s">
        <v>802</v>
      </c>
      <c r="C26" s="2413"/>
      <c r="D26" s="2413"/>
      <c r="E26" s="2269"/>
      <c r="H26" s="3574" t="s">
        <v>5271</v>
      </c>
      <c r="I26" s="3575"/>
      <c r="J26" s="3575"/>
      <c r="K26" s="3576"/>
      <c r="L26" s="3577">
        <v>3531646</v>
      </c>
      <c r="M26" s="3578"/>
      <c r="N26" s="294"/>
      <c r="Q26" s="294"/>
      <c r="S26" s="3553"/>
      <c r="T26" s="3554"/>
    </row>
    <row r="27" spans="1:20" s="269" customFormat="1" ht="15.75" customHeight="1">
      <c r="A27" s="294"/>
      <c r="B27" s="2412" t="s">
        <v>803</v>
      </c>
      <c r="C27" s="2413"/>
      <c r="D27" s="2413"/>
      <c r="E27" s="2269"/>
      <c r="H27" s="3574" t="s">
        <v>5272</v>
      </c>
      <c r="I27" s="3575"/>
      <c r="J27" s="3575"/>
      <c r="K27" s="3576"/>
      <c r="L27" s="3577">
        <v>1942405</v>
      </c>
      <c r="M27" s="3578"/>
      <c r="N27" s="294"/>
      <c r="Q27" s="294"/>
      <c r="S27" s="3544"/>
      <c r="T27" s="3545"/>
    </row>
    <row r="28" spans="1:20" s="269" customFormat="1" ht="15.75" customHeight="1">
      <c r="A28" s="294"/>
      <c r="B28" s="2268" t="s">
        <v>242</v>
      </c>
      <c r="C28" s="2269"/>
      <c r="D28" s="3597"/>
      <c r="E28" s="3597"/>
      <c r="F28" s="3597"/>
      <c r="G28" s="3597"/>
      <c r="H28" s="3574"/>
      <c r="I28" s="3575"/>
      <c r="J28" s="3575"/>
      <c r="K28" s="3576"/>
      <c r="L28" s="3577"/>
      <c r="M28" s="3578"/>
      <c r="N28" s="294"/>
      <c r="Q28" s="294"/>
      <c r="S28" s="3548"/>
      <c r="T28" s="3549"/>
    </row>
    <row r="29" spans="1:20" s="269" customFormat="1" ht="15.75" customHeight="1">
      <c r="A29" s="294"/>
      <c r="B29" s="2268" t="s">
        <v>242</v>
      </c>
      <c r="C29" s="2269"/>
      <c r="D29" s="3598"/>
      <c r="E29" s="3598"/>
      <c r="F29" s="3598"/>
      <c r="G29" s="3598"/>
      <c r="H29" s="3574"/>
      <c r="I29" s="3575"/>
      <c r="J29" s="3575"/>
      <c r="K29" s="3576"/>
      <c r="L29" s="3577"/>
      <c r="M29" s="3578"/>
      <c r="N29" s="294"/>
      <c r="S29" s="3548"/>
      <c r="T29" s="3549"/>
    </row>
    <row r="30" spans="1:20" s="269" customFormat="1" ht="15.75" customHeight="1">
      <c r="A30" s="294"/>
      <c r="B30" s="2265" t="s">
        <v>242</v>
      </c>
      <c r="C30" s="2266"/>
      <c r="D30" s="3599"/>
      <c r="E30" s="3599"/>
      <c r="F30" s="3599"/>
      <c r="G30" s="3599"/>
      <c r="H30" s="3583"/>
      <c r="I30" s="3584"/>
      <c r="J30" s="3584"/>
      <c r="K30" s="3585"/>
      <c r="L30" s="3586"/>
      <c r="M30" s="3587"/>
      <c r="N30" s="294"/>
      <c r="S30" s="3548"/>
      <c r="T30" s="3549"/>
    </row>
    <row r="31" spans="1:20" s="269" customFormat="1" ht="16.5" customHeight="1">
      <c r="A31" s="294"/>
      <c r="B31" s="2261" t="s">
        <v>1298</v>
      </c>
      <c r="C31" s="294"/>
      <c r="D31" s="294"/>
      <c r="E31" s="294"/>
      <c r="F31" s="294"/>
      <c r="G31" s="294"/>
      <c r="H31" s="294"/>
      <c r="I31" s="294"/>
      <c r="L31" s="2434">
        <f>SUM(L20:L30)</f>
        <v>16023850.92</v>
      </c>
      <c r="M31" s="2435"/>
      <c r="N31" s="312"/>
      <c r="S31" s="3548"/>
      <c r="T31" s="3549"/>
    </row>
    <row r="32" spans="1:20" s="269" customFormat="1" ht="16.5" customHeight="1">
      <c r="A32" s="294"/>
      <c r="B32" s="2257" t="s">
        <v>1299</v>
      </c>
      <c r="C32" s="294"/>
      <c r="D32" s="294"/>
      <c r="E32" s="294"/>
      <c r="F32" s="294"/>
      <c r="G32" s="294"/>
      <c r="H32" s="294"/>
      <c r="I32" s="294"/>
      <c r="L32" s="3600">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13537516</v>
      </c>
      <c r="M32" s="3601"/>
      <c r="N32" s="850"/>
      <c r="S32" s="3548"/>
      <c r="T32" s="3549"/>
    </row>
    <row r="33" spans="1:20" s="269" customFormat="1" ht="16.5" customHeight="1">
      <c r="A33" s="294"/>
      <c r="B33" s="2259" t="s">
        <v>2158</v>
      </c>
      <c r="C33" s="294"/>
      <c r="D33" s="294"/>
      <c r="E33" s="294"/>
      <c r="F33" s="294"/>
      <c r="G33" s="294"/>
      <c r="H33" s="294"/>
      <c r="I33" s="294"/>
      <c r="L33" s="2436">
        <f ca="1">L31-L32</f>
        <v>2486334.92</v>
      </c>
      <c r="M33" s="2437"/>
      <c r="N33" s="850"/>
      <c r="S33" s="3553"/>
      <c r="T33" s="3554"/>
    </row>
    <row r="34" spans="1:20" ht="9.4" customHeight="1">
      <c r="A34" s="321"/>
      <c r="B34" s="2261"/>
      <c r="C34" s="312"/>
      <c r="D34" s="312"/>
      <c r="E34" s="312"/>
      <c r="F34" s="312"/>
      <c r="G34" s="312"/>
      <c r="H34" s="312"/>
      <c r="I34" s="312"/>
      <c r="J34" s="312"/>
      <c r="K34" s="312"/>
      <c r="L34" s="312"/>
      <c r="M34" s="2270"/>
      <c r="N34" s="2270"/>
    </row>
    <row r="35" spans="1:20" ht="9.4" customHeight="1">
      <c r="A35" s="296" t="s">
        <v>742</v>
      </c>
      <c r="B35" s="2261" t="s">
        <v>800</v>
      </c>
      <c r="C35" s="312"/>
      <c r="D35" s="312"/>
      <c r="E35" s="312"/>
      <c r="F35" s="312"/>
      <c r="G35" s="312"/>
      <c r="H35" s="312"/>
      <c r="I35" s="312"/>
      <c r="J35" s="312"/>
      <c r="K35" s="312"/>
      <c r="L35" s="312"/>
      <c r="M35" s="2270"/>
      <c r="N35" s="2270"/>
      <c r="O35" s="312"/>
      <c r="S35" s="340" t="str">
        <f>B35</f>
        <v>PERMANENT FINANCING</v>
      </c>
    </row>
    <row r="36" spans="1:20" s="269" customFormat="1" ht="13.15" customHeight="1">
      <c r="A36" s="294"/>
      <c r="B36" s="294"/>
      <c r="C36" s="294"/>
      <c r="D36" s="294"/>
      <c r="E36" s="294"/>
      <c r="F36" s="2270"/>
      <c r="G36" s="2270"/>
      <c r="H36" s="2427"/>
      <c r="I36" s="2427"/>
      <c r="K36" s="366" t="s">
        <v>2100</v>
      </c>
      <c r="L36" s="2270" t="s">
        <v>1295</v>
      </c>
      <c r="M36" s="2270" t="s">
        <v>1300</v>
      </c>
      <c r="P36" s="2428" t="s">
        <v>34</v>
      </c>
      <c r="Q36" s="2428"/>
      <c r="S36" s="340"/>
    </row>
    <row r="37" spans="1:20" s="269" customFormat="1" ht="13.15" customHeight="1">
      <c r="A37" s="294"/>
      <c r="B37" s="2263" t="s">
        <v>1872</v>
      </c>
      <c r="C37" s="2266"/>
      <c r="D37" s="2266"/>
      <c r="E37" s="2334" t="s">
        <v>1297</v>
      </c>
      <c r="F37" s="2334"/>
      <c r="G37" s="2334"/>
      <c r="H37" s="2334"/>
      <c r="I37" s="2353" t="s">
        <v>4954</v>
      </c>
      <c r="J37" s="2353"/>
      <c r="K37" s="2256" t="s">
        <v>1806</v>
      </c>
      <c r="L37" s="2256" t="s">
        <v>2215</v>
      </c>
      <c r="M37" s="2256" t="s">
        <v>2215</v>
      </c>
      <c r="N37" s="2353" t="s">
        <v>74</v>
      </c>
      <c r="O37" s="2353"/>
      <c r="P37" s="3602"/>
      <c r="Q37" s="3602"/>
      <c r="S37" s="2429" t="s">
        <v>2684</v>
      </c>
      <c r="T37" s="2429"/>
    </row>
    <row r="38" spans="1:20" s="269" customFormat="1" ht="15.75" customHeight="1">
      <c r="A38" s="294"/>
      <c r="B38" s="2430" t="s">
        <v>2615</v>
      </c>
      <c r="C38" s="2431"/>
      <c r="D38" s="2431"/>
      <c r="E38" s="3565" t="s">
        <v>5285</v>
      </c>
      <c r="F38" s="3566"/>
      <c r="G38" s="3566"/>
      <c r="H38" s="3567"/>
      <c r="I38" s="3603">
        <v>4150000</v>
      </c>
      <c r="J38" s="3604"/>
      <c r="K38" s="3605">
        <v>0.01</v>
      </c>
      <c r="L38" s="3373">
        <v>20</v>
      </c>
      <c r="M38" s="3373">
        <v>20</v>
      </c>
      <c r="N38" s="3606" t="s">
        <v>5178</v>
      </c>
      <c r="O38" s="3606"/>
      <c r="P38" s="3607">
        <f>IF(OR(I38&lt;=0,I38=""),"",IF(N38="Cash Flow",0,IF(N38="Amortizing",-PMT(K38/12,M38*12,I38,0,0)*12,"")))</f>
        <v>229027.36486498272</v>
      </c>
      <c r="Q38" s="3607"/>
      <c r="S38" s="3544"/>
      <c r="T38" s="3545"/>
    </row>
    <row r="39" spans="1:20" s="269" customFormat="1" ht="15.75" customHeight="1">
      <c r="A39" s="294"/>
      <c r="B39" s="2412" t="s">
        <v>2616</v>
      </c>
      <c r="C39" s="2413"/>
      <c r="D39" s="2413"/>
      <c r="E39" s="3574"/>
      <c r="F39" s="3575"/>
      <c r="G39" s="3575"/>
      <c r="H39" s="3576"/>
      <c r="I39" s="3608"/>
      <c r="J39" s="3609"/>
      <c r="K39" s="3610"/>
      <c r="L39" s="3319"/>
      <c r="M39" s="3319"/>
      <c r="N39" s="3611"/>
      <c r="O39" s="3611"/>
      <c r="P39" s="3612" t="str">
        <f>IF(OR(I39&lt;=0,I39=""),"",IF(N39="Cash Flow",0,IF(N39="Amortizing",-PMT(K39/12,M39*12,I39,0,0)*12,"")))</f>
        <v/>
      </c>
      <c r="Q39" s="3612"/>
      <c r="S39" s="3548"/>
      <c r="T39" s="3549"/>
    </row>
    <row r="40" spans="1:20" s="269" customFormat="1" ht="15.75" customHeight="1">
      <c r="A40" s="294"/>
      <c r="B40" s="2412" t="s">
        <v>2617</v>
      </c>
      <c r="C40" s="2413"/>
      <c r="D40" s="2413"/>
      <c r="E40" s="3574"/>
      <c r="F40" s="3575"/>
      <c r="G40" s="3575"/>
      <c r="H40" s="3576"/>
      <c r="I40" s="3608"/>
      <c r="J40" s="3609"/>
      <c r="K40" s="3610"/>
      <c r="L40" s="3319"/>
      <c r="M40" s="3319"/>
      <c r="N40" s="3611"/>
      <c r="O40" s="3611"/>
      <c r="P40" s="3612" t="str">
        <f>IF(OR(I40&lt;=0,I40=""),"",IF(N40="Cash Flow",0,IF(N40="Amortizing",-PMT(K40/12,M40*12,I40,0,0)*12,"")))</f>
        <v/>
      </c>
      <c r="Q40" s="3612"/>
      <c r="S40" s="3548"/>
      <c r="T40" s="3549"/>
    </row>
    <row r="41" spans="1:20" s="269" customFormat="1" ht="15.75" customHeight="1">
      <c r="A41" s="294"/>
      <c r="B41" s="2268" t="s">
        <v>741</v>
      </c>
      <c r="C41" s="3613"/>
      <c r="D41" s="3614"/>
      <c r="E41" s="3574"/>
      <c r="F41" s="3575"/>
      <c r="G41" s="3575"/>
      <c r="H41" s="3576"/>
      <c r="I41" s="3615"/>
      <c r="J41" s="3616"/>
      <c r="K41" s="3617"/>
      <c r="L41" s="3374"/>
      <c r="M41" s="3374"/>
      <c r="N41" s="3618"/>
      <c r="O41" s="3618"/>
      <c r="P41" s="3619" t="str">
        <f>IF(OR(I41&lt;=0,I41=""),"",IF(N41="Cash Flow",0,IF(N41="Amortizing",-PMT(K41/12,M41*12,I41,0,0)*12,"")))</f>
        <v/>
      </c>
      <c r="Q41" s="3619"/>
      <c r="S41" s="3548"/>
      <c r="T41" s="3549"/>
    </row>
    <row r="42" spans="1:20" s="269" customFormat="1" ht="15.75" customHeight="1">
      <c r="A42" s="294"/>
      <c r="B42" s="2268" t="s">
        <v>2750</v>
      </c>
      <c r="C42" s="2269"/>
      <c r="D42" s="2274"/>
      <c r="E42" s="3574"/>
      <c r="F42" s="3575"/>
      <c r="G42" s="3575"/>
      <c r="H42" s="3576"/>
      <c r="I42" s="3608"/>
      <c r="J42" s="3609"/>
      <c r="K42" s="459"/>
      <c r="L42" s="2272"/>
      <c r="M42" s="2272"/>
      <c r="N42" s="2422"/>
      <c r="O42" s="2422"/>
      <c r="P42" s="2421"/>
      <c r="Q42" s="2421"/>
      <c r="S42" s="3548"/>
      <c r="T42" s="3549"/>
    </row>
    <row r="43" spans="1:20" s="269" customFormat="1" ht="15.75" customHeight="1">
      <c r="A43" s="294"/>
      <c r="B43" s="2265" t="s">
        <v>228</v>
      </c>
      <c r="C43" s="2266"/>
      <c r="D43" s="367">
        <f>IF(OR(I43="",I43=0,'Part IV-A-Uses of Funds'!$G$118="",'Part IV-A-Uses of Funds'!$G$118=0),"",I43/'Part IV-A-Uses of Funds'!$G$118)</f>
        <v>0.44761444444444443</v>
      </c>
      <c r="E43" s="3583" t="s">
        <v>5179</v>
      </c>
      <c r="F43" s="3584"/>
      <c r="G43" s="3584"/>
      <c r="H43" s="3585"/>
      <c r="I43" s="3620">
        <v>805706</v>
      </c>
      <c r="J43" s="3621"/>
      <c r="K43" s="3622"/>
      <c r="L43" s="3305"/>
      <c r="M43" s="3305"/>
      <c r="N43" s="3623"/>
      <c r="O43" s="3624"/>
      <c r="P43" s="3625" t="str">
        <f>IF(OR(I43&lt;=0,I43=""),"",IF(N43="Cash Flow",0,IF(N43="Amortizing",-PMT(K43/12,M43*12,I43,0,0)*12,"")))</f>
        <v/>
      </c>
      <c r="Q43" s="3626"/>
      <c r="S43" s="3548"/>
      <c r="T43" s="3549"/>
    </row>
    <row r="44" spans="1:20" s="269" customFormat="1" ht="3" customHeight="1">
      <c r="A44" s="294"/>
      <c r="B44" s="294"/>
      <c r="C44" s="294"/>
      <c r="D44" s="294"/>
      <c r="E44" s="294"/>
      <c r="F44" s="294"/>
      <c r="G44" s="294"/>
      <c r="H44" s="294"/>
      <c r="I44" s="2316"/>
      <c r="J44" s="3627"/>
      <c r="K44" s="2318"/>
      <c r="L44" s="2270"/>
      <c r="M44" s="2270"/>
      <c r="N44" s="2319"/>
      <c r="O44" s="2319"/>
      <c r="P44" s="2270"/>
      <c r="Q44" s="2270"/>
      <c r="S44" s="3548"/>
      <c r="T44" s="3549"/>
    </row>
    <row r="45" spans="1:20" s="269" customFormat="1" ht="14.25" customHeight="1">
      <c r="A45" s="294"/>
      <c r="B45" s="1067" t="s">
        <v>4180</v>
      </c>
      <c r="C45" s="2269"/>
      <c r="E45" s="269" t="s">
        <v>4082</v>
      </c>
      <c r="F45" s="2419" t="e">
        <f>IF(OR($I$43="",$I$43=0,'Part VII-Pro Forma'!$S$35=0,'Part VII-Pro Forma'!$S$35=""),"",VLOOKUP($L$43,'Part VII-Pro Forma'!$Q$20:$S$40,3))</f>
        <v>#N/A</v>
      </c>
      <c r="G45" s="2420"/>
      <c r="H45" s="608" t="s">
        <v>4179</v>
      </c>
      <c r="I45" s="2419" t="e">
        <f>IF(OR($I$43="",$I$43=0,'Part VII-Pro Forma'!$R$35=0,'Part VII-Pro Forma'!$R$35=""),"",VLOOKUP($L$43,'Part VII-Pro Forma'!$Q$20:$S$35,2))</f>
        <v>#N/A</v>
      </c>
      <c r="J45" s="2420"/>
      <c r="K45" s="608" t="s">
        <v>4181</v>
      </c>
      <c r="L45" s="2423" t="e">
        <f>IF(OR($F$45 = 0,$F$45 =""),"",$I$45/$F$45)</f>
        <v>#N/A</v>
      </c>
      <c r="M45" s="2424"/>
      <c r="N45" s="3628" t="s">
        <v>4966</v>
      </c>
      <c r="O45" s="3629"/>
      <c r="P45" s="2425">
        <f ca="1">IF(OR($I$60=0,$I$58&gt;$I$59),0,ABS($I$58-$I$59))</f>
        <v>0</v>
      </c>
      <c r="Q45" s="2426"/>
      <c r="S45" s="3548"/>
      <c r="T45" s="3549"/>
    </row>
    <row r="46" spans="1:20" s="269" customFormat="1" ht="3" customHeight="1">
      <c r="A46" s="294"/>
      <c r="B46" s="294"/>
      <c r="C46" s="294"/>
      <c r="D46" s="294"/>
      <c r="E46" s="294"/>
      <c r="F46" s="294"/>
      <c r="G46" s="294"/>
      <c r="H46" s="294"/>
      <c r="I46" s="3630"/>
      <c r="J46" s="3631"/>
      <c r="K46" s="2318"/>
      <c r="L46" s="2270"/>
      <c r="M46" s="2270"/>
      <c r="N46" s="2319"/>
      <c r="O46" s="2319"/>
      <c r="P46" s="2270"/>
      <c r="Q46" s="2270"/>
      <c r="S46" s="3553"/>
      <c r="T46" s="3554"/>
    </row>
    <row r="47" spans="1:20" s="269" customFormat="1" ht="15.75" customHeight="1">
      <c r="A47" s="294"/>
      <c r="B47" s="2409" t="s">
        <v>2216</v>
      </c>
      <c r="C47" s="2410"/>
      <c r="D47" s="2411"/>
      <c r="E47" s="3565"/>
      <c r="F47" s="3566"/>
      <c r="G47" s="3566"/>
      <c r="H47" s="3567"/>
      <c r="I47" s="3632"/>
      <c r="J47" s="3633"/>
      <c r="K47" s="368"/>
      <c r="L47" s="368"/>
      <c r="M47" s="368"/>
      <c r="N47" s="368"/>
      <c r="O47" s="368"/>
      <c r="P47" s="368"/>
      <c r="Q47" s="368"/>
      <c r="S47" s="3544"/>
      <c r="T47" s="3545"/>
    </row>
    <row r="48" spans="1:20" s="269" customFormat="1" ht="15.75" customHeight="1">
      <c r="A48" s="294"/>
      <c r="B48" s="2412" t="s">
        <v>801</v>
      </c>
      <c r="C48" s="2413"/>
      <c r="D48" s="2414"/>
      <c r="E48" s="3574"/>
      <c r="F48" s="3575"/>
      <c r="G48" s="3575"/>
      <c r="H48" s="3576"/>
      <c r="I48" s="3608"/>
      <c r="J48" s="3609"/>
      <c r="L48" s="2415" t="s">
        <v>517</v>
      </c>
      <c r="M48" s="2415"/>
      <c r="N48" s="2416" t="s">
        <v>518</v>
      </c>
      <c r="O48" s="2416"/>
      <c r="P48" s="399" t="s">
        <v>516</v>
      </c>
      <c r="Q48" s="368"/>
      <c r="S48" s="3548"/>
      <c r="T48" s="3549"/>
    </row>
    <row r="49" spans="1:23" s="269" customFormat="1" ht="15.75" customHeight="1">
      <c r="A49" s="294"/>
      <c r="B49" s="2412" t="s">
        <v>802</v>
      </c>
      <c r="C49" s="2413"/>
      <c r="D49" s="2414"/>
      <c r="E49" s="3574" t="s">
        <v>5271</v>
      </c>
      <c r="F49" s="3575"/>
      <c r="G49" s="3575"/>
      <c r="H49" s="3576"/>
      <c r="I49" s="3608">
        <v>7063293</v>
      </c>
      <c r="J49" s="3608"/>
      <c r="L49" s="2417">
        <f ca="1">'Part IV-A-Uses of Funds'!$J$175*10*'Part IV-A-Uses of Funds'!$N$168</f>
        <v>7064000</v>
      </c>
      <c r="M49" s="2417"/>
      <c r="N49" s="2418">
        <f ca="1">I49-L49</f>
        <v>-707</v>
      </c>
      <c r="O49" s="2418"/>
      <c r="P49" s="400" t="s">
        <v>2561</v>
      </c>
      <c r="Q49" s="368"/>
      <c r="S49" s="3548"/>
      <c r="T49" s="3549"/>
    </row>
    <row r="50" spans="1:23" s="269" customFormat="1" ht="15.75" customHeight="1">
      <c r="A50" s="294"/>
      <c r="B50" s="2412" t="s">
        <v>803</v>
      </c>
      <c r="C50" s="2413"/>
      <c r="D50" s="2414"/>
      <c r="E50" s="3574" t="s">
        <v>5272</v>
      </c>
      <c r="F50" s="3575"/>
      <c r="G50" s="3575"/>
      <c r="H50" s="3576"/>
      <c r="I50" s="3608">
        <v>3884811</v>
      </c>
      <c r="J50" s="3608"/>
      <c r="L50" s="2417">
        <f ca="1">'Part IV-A-Uses of Funds'!$J$175*10*'Part IV-A-Uses of Funds'!$Q$168</f>
        <v>3885200</v>
      </c>
      <c r="M50" s="2417"/>
      <c r="N50" s="2418">
        <f ca="1">I50-L50</f>
        <v>-389</v>
      </c>
      <c r="O50" s="2418"/>
      <c r="P50" s="401">
        <f ca="1">I49/I59</f>
        <v>0.44412584343050354</v>
      </c>
      <c r="Q50" s="368"/>
      <c r="S50" s="3548"/>
      <c r="T50" s="3549"/>
    </row>
    <row r="51" spans="1:23" s="269" customFormat="1" ht="15.75" customHeight="1">
      <c r="A51" s="294"/>
      <c r="B51" s="2412" t="s">
        <v>1410</v>
      </c>
      <c r="C51" s="2413"/>
      <c r="D51" s="2414"/>
      <c r="E51" s="3574"/>
      <c r="F51" s="3575"/>
      <c r="G51" s="3575"/>
      <c r="H51" s="3576"/>
      <c r="I51" s="3608"/>
      <c r="J51" s="3608"/>
      <c r="P51" s="401">
        <f ca="1">I50/I59</f>
        <v>0.24426920445507469</v>
      </c>
      <c r="Q51" s="368"/>
      <c r="S51" s="3553"/>
      <c r="T51" s="3554"/>
    </row>
    <row r="52" spans="1:23" s="269" customFormat="1" ht="15.75" customHeight="1">
      <c r="A52" s="294"/>
      <c r="B52" s="2268" t="s">
        <v>531</v>
      </c>
      <c r="C52" s="2269"/>
      <c r="D52" s="2274"/>
      <c r="E52" s="3574"/>
      <c r="F52" s="3575"/>
      <c r="G52" s="3575"/>
      <c r="H52" s="3576"/>
      <c r="I52" s="3608"/>
      <c r="J52" s="3608"/>
      <c r="K52" s="294"/>
      <c r="P52" s="402">
        <f ca="1">SUM(P50:P51)</f>
        <v>0.68839504788557826</v>
      </c>
      <c r="Q52" s="368"/>
      <c r="S52" s="3548"/>
      <c r="T52" s="3549"/>
    </row>
    <row r="53" spans="1:23" s="269" customFormat="1" ht="15.75" customHeight="1">
      <c r="A53" s="294"/>
      <c r="B53" s="2268" t="s">
        <v>1870</v>
      </c>
      <c r="C53" s="2269"/>
      <c r="D53" s="2274"/>
      <c r="E53" s="3574"/>
      <c r="F53" s="3575"/>
      <c r="G53" s="3575"/>
      <c r="H53" s="3576"/>
      <c r="I53" s="3608"/>
      <c r="J53" s="3608"/>
      <c r="N53" s="369"/>
      <c r="O53" s="369"/>
      <c r="P53" s="369"/>
      <c r="Q53" s="368"/>
      <c r="S53" s="3548"/>
      <c r="T53" s="3549"/>
    </row>
    <row r="54" spans="1:23" s="269" customFormat="1" ht="15.75" customHeight="1">
      <c r="A54" s="294"/>
      <c r="B54" s="2268" t="s">
        <v>1871</v>
      </c>
      <c r="C54" s="2269"/>
      <c r="D54" s="2274"/>
      <c r="E54" s="3574"/>
      <c r="F54" s="3575"/>
      <c r="G54" s="3575"/>
      <c r="H54" s="3576"/>
      <c r="I54" s="3608"/>
      <c r="J54" s="3608"/>
      <c r="M54" s="369"/>
      <c r="N54" s="369"/>
      <c r="O54" s="369"/>
      <c r="P54" s="369"/>
      <c r="Q54" s="368"/>
      <c r="S54" s="3548"/>
      <c r="T54" s="3549"/>
    </row>
    <row r="55" spans="1:23" s="269" customFormat="1" ht="15.75" customHeight="1">
      <c r="A55" s="294"/>
      <c r="B55" s="2268" t="s">
        <v>741</v>
      </c>
      <c r="C55" s="3597"/>
      <c r="D55" s="3597"/>
      <c r="E55" s="3574"/>
      <c r="F55" s="3575"/>
      <c r="G55" s="3575"/>
      <c r="H55" s="3576"/>
      <c r="I55" s="3608"/>
      <c r="J55" s="3608"/>
      <c r="M55" s="369"/>
      <c r="N55" s="369"/>
      <c r="O55" s="369"/>
      <c r="P55" s="369"/>
      <c r="Q55" s="368"/>
      <c r="S55" s="3548"/>
      <c r="T55" s="3549"/>
    </row>
    <row r="56" spans="1:23" s="269" customFormat="1" ht="15.75" customHeight="1">
      <c r="A56" s="294"/>
      <c r="B56" s="2268" t="s">
        <v>741</v>
      </c>
      <c r="C56" s="3598"/>
      <c r="D56" s="3598"/>
      <c r="E56" s="3574"/>
      <c r="F56" s="3575"/>
      <c r="G56" s="3575"/>
      <c r="H56" s="3576"/>
      <c r="I56" s="3608"/>
      <c r="J56" s="3608"/>
      <c r="K56" s="294"/>
      <c r="L56" s="370"/>
      <c r="M56" s="369"/>
      <c r="N56" s="369"/>
      <c r="O56" s="369"/>
      <c r="P56" s="369"/>
      <c r="Q56" s="368"/>
      <c r="S56" s="3548"/>
      <c r="T56" s="3549"/>
    </row>
    <row r="57" spans="1:23" s="269" customFormat="1" ht="15.75" customHeight="1">
      <c r="A57" s="294"/>
      <c r="B57" s="2265" t="s">
        <v>741</v>
      </c>
      <c r="C57" s="3599"/>
      <c r="D57" s="3599"/>
      <c r="E57" s="3583"/>
      <c r="F57" s="3584"/>
      <c r="G57" s="3584"/>
      <c r="H57" s="3585"/>
      <c r="I57" s="3634"/>
      <c r="J57" s="3634"/>
      <c r="K57" s="294"/>
      <c r="L57" s="370"/>
      <c r="M57" s="369"/>
      <c r="N57" s="369"/>
      <c r="O57" s="369"/>
      <c r="P57" s="369"/>
      <c r="Q57" s="368"/>
      <c r="S57" s="3548"/>
      <c r="T57" s="3549"/>
    </row>
    <row r="58" spans="1:23" s="269" customFormat="1" ht="14.25" customHeight="1">
      <c r="A58" s="294"/>
      <c r="B58" s="2257" t="s">
        <v>2217</v>
      </c>
      <c r="C58" s="294"/>
      <c r="D58" s="294"/>
      <c r="E58" s="294"/>
      <c r="F58" s="294"/>
      <c r="G58" s="294"/>
      <c r="I58" s="2403">
        <f>SUM(I38:J43)+SUM(I47:J57)</f>
        <v>15903810</v>
      </c>
      <c r="J58" s="2404"/>
      <c r="K58" s="294"/>
      <c r="L58" s="370"/>
      <c r="M58" s="369"/>
      <c r="N58" s="369"/>
      <c r="O58" s="369"/>
      <c r="P58" s="369"/>
      <c r="Q58" s="368"/>
      <c r="S58" s="3548"/>
      <c r="T58" s="3549"/>
    </row>
    <row r="59" spans="1:23" s="269" customFormat="1" ht="14.25" customHeight="1" thickBot="1">
      <c r="A59" s="294"/>
      <c r="B59" s="2257" t="s">
        <v>2218</v>
      </c>
      <c r="C59" s="294"/>
      <c r="D59" s="294"/>
      <c r="E59" s="294"/>
      <c r="F59" s="294"/>
      <c r="G59" s="294"/>
      <c r="I59" s="2405">
        <f ca="1">'Part IV-A-Uses of Funds'!$G$132</f>
        <v>15903809.932432491</v>
      </c>
      <c r="J59" s="2406"/>
      <c r="K59" s="294"/>
      <c r="L59" s="370"/>
      <c r="M59" s="369"/>
      <c r="N59" s="369"/>
      <c r="O59" s="369"/>
      <c r="P59" s="369"/>
      <c r="Q59" s="368"/>
      <c r="S59" s="3548"/>
      <c r="T59" s="3549"/>
    </row>
    <row r="60" spans="1:23" s="269" customFormat="1" ht="14.25" customHeight="1" thickBot="1">
      <c r="A60" s="294"/>
      <c r="B60" s="2259" t="s">
        <v>1525</v>
      </c>
      <c r="C60" s="294"/>
      <c r="D60" s="294"/>
      <c r="E60" s="294"/>
      <c r="F60" s="294"/>
      <c r="G60" s="294"/>
      <c r="I60" s="2407">
        <f ca="1">I58-I59</f>
        <v>6.7567508667707443E-2</v>
      </c>
      <c r="J60" s="2408"/>
      <c r="K60" s="294"/>
      <c r="L60" s="370"/>
      <c r="M60" s="369"/>
      <c r="N60" s="369"/>
      <c r="O60" s="369"/>
      <c r="P60" s="369"/>
      <c r="Q60" s="368"/>
      <c r="S60" s="3553"/>
      <c r="T60" s="3554"/>
    </row>
    <row r="61" spans="1:23" s="269" customFormat="1" ht="13.15" customHeight="1">
      <c r="A61" s="294" t="s">
        <v>3468</v>
      </c>
      <c r="B61" s="225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35" t="s">
        <v>5286</v>
      </c>
      <c r="B64" s="3635"/>
      <c r="C64" s="3635"/>
      <c r="D64" s="3635"/>
      <c r="E64" s="3635"/>
      <c r="F64" s="3635"/>
      <c r="G64" s="3635"/>
      <c r="H64" s="3635"/>
      <c r="I64" s="3635"/>
      <c r="J64" s="3635"/>
      <c r="K64" s="3635"/>
      <c r="L64" s="3635"/>
      <c r="M64" s="3636"/>
      <c r="N64" s="3636"/>
      <c r="O64" s="3636"/>
      <c r="P64" s="3636"/>
      <c r="Q64" s="3636"/>
      <c r="S64" s="2402" t="s">
        <v>2694</v>
      </c>
      <c r="T64" s="2402"/>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72"/>
    </row>
    <row r="78" spans="1:23" s="269" customFormat="1" ht="14.65" customHeight="1">
      <c r="A78" s="2172"/>
    </row>
    <row r="79" spans="1:23" s="269" customFormat="1" ht="14.65" customHeight="1">
      <c r="A79" s="2173"/>
    </row>
    <row r="80" spans="1:23" s="269" customFormat="1" ht="14.65" customHeight="1">
      <c r="A80" s="2174"/>
    </row>
    <row r="81" spans="1:1" s="269" customFormat="1" ht="14.65" customHeight="1">
      <c r="A81" s="2172"/>
    </row>
    <row r="82" spans="1:1" s="269" customFormat="1" ht="14.65" customHeight="1">
      <c r="A82" s="2172"/>
    </row>
    <row r="83" spans="1:1" s="269" customFormat="1" ht="14.65" customHeight="1">
      <c r="A83" s="2173"/>
    </row>
    <row r="84" spans="1:1" s="269" customFormat="1" ht="14.65" customHeight="1">
      <c r="A84" s="2174"/>
    </row>
    <row r="85" spans="1:1" s="269" customFormat="1" ht="14.65" customHeight="1">
      <c r="A85" s="2172"/>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7qg4T2WY1QiSb+GS1iyaLQe6lVPrHtxXbf6hWOZ+JESigkbawoDhZd1rv2m/q4+EO+C5Ygqz5Uz/gV8RdLWY2A==" saltValue="KpWlNAOdemmPRCXmO4DrvQ=="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39" priority="6" stopIfTrue="1" operator="equal">
      <formula>"Make a selection FIRST --&gt;"</formula>
    </cfRule>
  </conditionalFormatting>
  <conditionalFormatting sqref="J46">
    <cfRule type="cellIs" dxfId="238" priority="5" operator="equal">
      <formula>"No"</formula>
    </cfRule>
  </conditionalFormatting>
  <conditionalFormatting sqref="J44">
    <cfRule type="cellIs" dxfId="237" priority="4" operator="equal">
      <formula>"No"</formula>
    </cfRule>
  </conditionalFormatting>
  <conditionalFormatting sqref="D43">
    <cfRule type="cellIs" dxfId="236" priority="3" operator="greaterThan">
      <formula>50.000001%</formula>
    </cfRule>
  </conditionalFormatting>
  <conditionalFormatting sqref="P45:Q45">
    <cfRule type="cellIs" dxfId="23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3"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140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7109375" style="26"/>
  </cols>
  <sheetData>
    <row r="1" spans="1:17" s="164" customFormat="1" ht="16.149999999999999" customHeight="1">
      <c r="A1" s="2446" t="e">
        <f>CONCATENATE("PART III B: USD 538 LOAN","  -  ",#REF!," ",#REF!,", ",#REF!,", ",#REF!," County")</f>
        <v>#REF!</v>
      </c>
      <c r="B1" s="2447"/>
      <c r="C1" s="2447"/>
      <c r="D1" s="2447"/>
      <c r="E1" s="2447"/>
      <c r="F1" s="2448"/>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2455" t="s">
        <v>218</v>
      </c>
      <c r="B3" s="2455"/>
      <c r="C3" s="2455"/>
      <c r="D3" s="2455"/>
      <c r="E3" s="2455"/>
      <c r="F3" s="2455"/>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1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4" customHeight="1">
      <c r="A14" s="2456" t="s">
        <v>128</v>
      </c>
      <c r="B14" s="2456"/>
      <c r="C14" s="2456"/>
      <c r="D14" s="2456"/>
      <c r="E14" s="2456"/>
      <c r="F14" s="2456"/>
      <c r="G14" s="193"/>
      <c r="H14" s="193"/>
    </row>
    <row r="15" spans="1:17" ht="5.65" customHeight="1">
      <c r="A15" s="27"/>
      <c r="E15" s="204"/>
      <c r="F15" s="193"/>
      <c r="G15" s="193"/>
      <c r="H15" s="193"/>
    </row>
    <row r="16" spans="1:17" ht="13.15" customHeight="1">
      <c r="A16" s="206" t="s">
        <v>2481</v>
      </c>
      <c r="B16" s="207" t="s">
        <v>2478</v>
      </c>
      <c r="C16" s="207" t="s">
        <v>2479</v>
      </c>
      <c r="D16" s="2452" t="s">
        <v>2255</v>
      </c>
      <c r="E16" s="2452"/>
      <c r="F16" s="193"/>
      <c r="G16" s="193"/>
      <c r="H16" s="193"/>
    </row>
    <row r="17" spans="1:8" ht="12.4" customHeight="1">
      <c r="A17" s="80">
        <v>1</v>
      </c>
      <c r="B17" s="182">
        <f>IF(A17&gt;$C$9,0,SUM(C64:C75)*($C$6/$C$7))</f>
        <v>0</v>
      </c>
      <c r="C17" s="205">
        <f>IF(A17&gt;C9,0,(E63+K63)*$C$8)</f>
        <v>0</v>
      </c>
      <c r="D17" s="2457">
        <f t="shared" ref="D17:D56" si="0">IF(A17&gt;$C$9,0,$C$11+C17)</f>
        <v>0</v>
      </c>
      <c r="E17" s="2457"/>
      <c r="F17" s="193"/>
      <c r="G17" s="193"/>
      <c r="H17" s="193"/>
    </row>
    <row r="18" spans="1:8" ht="12.4" customHeight="1">
      <c r="A18" s="80">
        <v>2</v>
      </c>
      <c r="B18" s="182">
        <f>IF(A18&gt;C9,0,SUM(C76:C87)*($C$6/$C$7))</f>
        <v>0</v>
      </c>
      <c r="C18" s="212">
        <f>IF(A18&gt;C9,0,(E75+K75)*$C$8)</f>
        <v>0</v>
      </c>
      <c r="D18" s="2449">
        <f t="shared" si="0"/>
        <v>0</v>
      </c>
      <c r="E18" s="2449"/>
      <c r="F18" s="193"/>
      <c r="G18" s="193"/>
      <c r="H18" s="193"/>
    </row>
    <row r="19" spans="1:8" ht="12.4" customHeight="1">
      <c r="A19" s="80">
        <v>3</v>
      </c>
      <c r="B19" s="182">
        <f>IF(A19&gt;C9,0,SUM(C88:C99)*($C$6/$C$7))</f>
        <v>0</v>
      </c>
      <c r="C19" s="205">
        <f>IF(A19&gt;C9,0,(E87+K87)*$C$8)</f>
        <v>0</v>
      </c>
      <c r="D19" s="2449">
        <f t="shared" si="0"/>
        <v>0</v>
      </c>
      <c r="E19" s="2449"/>
      <c r="F19" s="193"/>
      <c r="G19" s="193"/>
      <c r="H19" s="193"/>
    </row>
    <row r="20" spans="1:8" ht="12.4" customHeight="1">
      <c r="A20" s="80">
        <v>4</v>
      </c>
      <c r="B20" s="182">
        <f>IF(A20&gt;C9,0,SUM(C100:C111)*($C$6/$C$7))</f>
        <v>0</v>
      </c>
      <c r="C20" s="205">
        <f>IF(A20&gt;C9,0,(E99+K99)*$C$8)</f>
        <v>0</v>
      </c>
      <c r="D20" s="2449">
        <f t="shared" si="0"/>
        <v>0</v>
      </c>
      <c r="E20" s="2449"/>
      <c r="F20" s="193"/>
      <c r="G20" s="193"/>
      <c r="H20" s="193"/>
    </row>
    <row r="21" spans="1:8" ht="12.4" customHeight="1">
      <c r="A21" s="80">
        <v>5</v>
      </c>
      <c r="B21" s="182">
        <f>IF(A21&gt;C9,0,SUM(C112:C123)*($C$6/$C$7))</f>
        <v>0</v>
      </c>
      <c r="C21" s="205">
        <f>IF(A21&gt;C9,0,(E111+K111)*$C$8)</f>
        <v>0</v>
      </c>
      <c r="D21" s="2450">
        <f t="shared" si="0"/>
        <v>0</v>
      </c>
      <c r="E21" s="2450"/>
      <c r="F21" s="193"/>
      <c r="G21" s="193"/>
      <c r="H21" s="193"/>
    </row>
    <row r="22" spans="1:8" ht="12.4" customHeight="1">
      <c r="A22" s="183">
        <v>6</v>
      </c>
      <c r="B22" s="184">
        <f>IF(A22&gt;C9,0,SUM(C124:C135)*($C$6/$C$7))</f>
        <v>0</v>
      </c>
      <c r="C22" s="209">
        <f>IF(A22&gt;C9,0,(E123+K123)*$C$8)</f>
        <v>0</v>
      </c>
      <c r="D22" s="2449">
        <f t="shared" si="0"/>
        <v>0</v>
      </c>
      <c r="E22" s="2449"/>
      <c r="F22" s="193"/>
      <c r="G22" s="193"/>
      <c r="H22" s="193"/>
    </row>
    <row r="23" spans="1:8" ht="12.4" customHeight="1">
      <c r="A23" s="185">
        <v>7</v>
      </c>
      <c r="B23" s="186">
        <f>IF(A23&gt;C9,0,SUM(C136:C147)*($C$6/$C$7))</f>
        <v>0</v>
      </c>
      <c r="C23" s="187">
        <f>IF(A23&gt;C9,0,(E135+K135)*$C$8)</f>
        <v>0</v>
      </c>
      <c r="D23" s="2449">
        <f t="shared" si="0"/>
        <v>0</v>
      </c>
      <c r="E23" s="2449"/>
      <c r="F23" s="193"/>
      <c r="G23" s="193"/>
      <c r="H23" s="193"/>
    </row>
    <row r="24" spans="1:8" ht="12.4" customHeight="1">
      <c r="A24" s="185">
        <v>8</v>
      </c>
      <c r="B24" s="186">
        <f>IF(A24&gt;C9,0,SUM(C148:C159)*($C$6/$C$7))</f>
        <v>0</v>
      </c>
      <c r="C24" s="187">
        <f>IF(A24&gt;C9,0,(E147+K147)*$C$8)</f>
        <v>0</v>
      </c>
      <c r="D24" s="2449">
        <f t="shared" si="0"/>
        <v>0</v>
      </c>
      <c r="E24" s="2449"/>
      <c r="F24" s="193"/>
      <c r="G24" s="193"/>
      <c r="H24" s="193"/>
    </row>
    <row r="25" spans="1:8" ht="12.4" customHeight="1">
      <c r="A25" s="185">
        <v>9</v>
      </c>
      <c r="B25" s="186">
        <f>IF(A25&gt;C9,0,SUM(C160:C171)*($C$6/$C$7))</f>
        <v>0</v>
      </c>
      <c r="C25" s="187">
        <f>IF(A25&gt;C9,0,(E159+K159)*$C$8)</f>
        <v>0</v>
      </c>
      <c r="D25" s="2449">
        <f t="shared" si="0"/>
        <v>0</v>
      </c>
      <c r="E25" s="2449"/>
      <c r="F25" s="193"/>
      <c r="G25" s="193"/>
      <c r="H25" s="193"/>
    </row>
    <row r="26" spans="1:8" ht="12.4" customHeight="1">
      <c r="A26" s="188">
        <v>10</v>
      </c>
      <c r="B26" s="189">
        <f>IF(A26&gt;C9,0,SUM(C172:C183)*($C$6/$C$7))</f>
        <v>0</v>
      </c>
      <c r="C26" s="208">
        <f>IF(A26&gt;C9,0,(E171+K171)*$C$8)</f>
        <v>0</v>
      </c>
      <c r="D26" s="2450">
        <f t="shared" si="0"/>
        <v>0</v>
      </c>
      <c r="E26" s="2450"/>
      <c r="F26" s="193"/>
      <c r="G26" s="193"/>
      <c r="H26" s="193"/>
    </row>
    <row r="27" spans="1:8" ht="12.4" customHeight="1">
      <c r="A27" s="190">
        <v>11</v>
      </c>
      <c r="B27" s="182">
        <f>IF(A27&gt;C9,0,SUM(C184:C195)*($C$6/$C$7))</f>
        <v>0</v>
      </c>
      <c r="C27" s="205">
        <f>IF(A27&gt;C9,0,(E183+K183)*$C$8)</f>
        <v>0</v>
      </c>
      <c r="D27" s="2449">
        <f t="shared" si="0"/>
        <v>0</v>
      </c>
      <c r="E27" s="2449"/>
      <c r="F27" s="193"/>
      <c r="G27" s="193"/>
      <c r="H27" s="193"/>
    </row>
    <row r="28" spans="1:8" ht="12.4" customHeight="1">
      <c r="A28" s="190">
        <v>12</v>
      </c>
      <c r="B28" s="182">
        <f>IF(A28&gt;C9,0,SUM(C196:C207)*($C$6/$C$7))</f>
        <v>0</v>
      </c>
      <c r="C28" s="205">
        <f>IF(A28&gt;C9,0,(E195+K195)*$C$8)</f>
        <v>0</v>
      </c>
      <c r="D28" s="2449">
        <f t="shared" si="0"/>
        <v>0</v>
      </c>
      <c r="E28" s="2449"/>
      <c r="F28" s="193"/>
      <c r="G28" s="193"/>
      <c r="H28" s="193"/>
    </row>
    <row r="29" spans="1:8" ht="12.4" customHeight="1">
      <c r="A29" s="190">
        <v>13</v>
      </c>
      <c r="B29" s="182">
        <f>IF(A29&gt;C9,0,SUM(C208:C219)*($C$6/$C$7))</f>
        <v>0</v>
      </c>
      <c r="C29" s="205">
        <f>IF(A29&gt;C9,0,(E207+K207)*$C$8)</f>
        <v>0</v>
      </c>
      <c r="D29" s="2449">
        <f t="shared" si="0"/>
        <v>0</v>
      </c>
      <c r="E29" s="2449"/>
      <c r="F29" s="193"/>
      <c r="G29" s="193"/>
      <c r="H29" s="193"/>
    </row>
    <row r="30" spans="1:8" ht="12.4" customHeight="1">
      <c r="A30" s="190">
        <v>14</v>
      </c>
      <c r="B30" s="182">
        <f>IF(A30&gt;C9,0,SUM(C220:C231)*($C$6/$C$7))</f>
        <v>0</v>
      </c>
      <c r="C30" s="205">
        <f>IF(A30&gt;C9,0,(E219+K219)*$C$8)</f>
        <v>0</v>
      </c>
      <c r="D30" s="2449">
        <f t="shared" si="0"/>
        <v>0</v>
      </c>
      <c r="E30" s="2449"/>
      <c r="F30" s="193"/>
      <c r="G30" s="193"/>
      <c r="H30" s="193"/>
    </row>
    <row r="31" spans="1:8" ht="12.4" customHeight="1">
      <c r="A31" s="190">
        <v>15</v>
      </c>
      <c r="B31" s="182">
        <f>IF(A31&gt;C9,0,SUM(C232:C243)*($C$6/$C$7))</f>
        <v>0</v>
      </c>
      <c r="C31" s="205">
        <f>IF(A31&gt;C9,0,(E231+K231)*$C$8)</f>
        <v>0</v>
      </c>
      <c r="D31" s="2450">
        <f t="shared" si="0"/>
        <v>0</v>
      </c>
      <c r="E31" s="2450"/>
      <c r="F31" s="193"/>
      <c r="G31" s="193"/>
      <c r="H31" s="193"/>
    </row>
    <row r="32" spans="1:8" ht="12.4" customHeight="1">
      <c r="A32" s="192">
        <v>16</v>
      </c>
      <c r="B32" s="184">
        <f>IF(A32&gt;C9,0,SUM(C244:C255)*($C$6/$C$7))</f>
        <v>0</v>
      </c>
      <c r="C32" s="209">
        <f>IF(A32&gt;C9,0,(E243+K243)*$C$8)</f>
        <v>0</v>
      </c>
      <c r="D32" s="2449">
        <f t="shared" si="0"/>
        <v>0</v>
      </c>
      <c r="E32" s="2449"/>
      <c r="F32" s="193"/>
      <c r="G32" s="193"/>
      <c r="H32" s="193"/>
    </row>
    <row r="33" spans="1:8" ht="12.4" customHeight="1">
      <c r="A33" s="185">
        <v>17</v>
      </c>
      <c r="B33" s="186">
        <f>IF(A33&gt;C9,0,SUM(C256:C267)*($C$6/$C$7))</f>
        <v>0</v>
      </c>
      <c r="C33" s="187">
        <f>IF(A33&gt;C9,0,(E255+K255)*$C$8)</f>
        <v>0</v>
      </c>
      <c r="D33" s="2449">
        <f t="shared" si="0"/>
        <v>0</v>
      </c>
      <c r="E33" s="2449"/>
      <c r="F33" s="193"/>
      <c r="G33" s="193"/>
      <c r="H33" s="193"/>
    </row>
    <row r="34" spans="1:8" ht="12.4" customHeight="1">
      <c r="A34" s="185">
        <v>18</v>
      </c>
      <c r="B34" s="186">
        <f>IF(A34&gt;C9,0,SUM(C268:C279)*($C$6/$C$7))</f>
        <v>0</v>
      </c>
      <c r="C34" s="187">
        <f>IF(A34&gt;C9,0,(E267+K267)*$C$8)</f>
        <v>0</v>
      </c>
      <c r="D34" s="2449">
        <f t="shared" si="0"/>
        <v>0</v>
      </c>
      <c r="E34" s="2449"/>
      <c r="F34" s="193"/>
      <c r="G34" s="193"/>
      <c r="H34" s="193"/>
    </row>
    <row r="35" spans="1:8" ht="12.4" customHeight="1">
      <c r="A35" s="185">
        <v>19</v>
      </c>
      <c r="B35" s="186">
        <f>IF(A35&gt;C9,0,SUM(C280:C291)*($C$6/$C$7))</f>
        <v>0</v>
      </c>
      <c r="C35" s="187">
        <f>IF(A35&gt;C9,0,(E279+K279)*$C$8)</f>
        <v>0</v>
      </c>
      <c r="D35" s="2449">
        <f t="shared" si="0"/>
        <v>0</v>
      </c>
      <c r="E35" s="2449"/>
      <c r="F35" s="193"/>
      <c r="G35" s="193"/>
      <c r="H35" s="193"/>
    </row>
    <row r="36" spans="1:8" ht="12.4" customHeight="1">
      <c r="A36" s="188">
        <v>20</v>
      </c>
      <c r="B36" s="189">
        <f>IF(A36&gt;C9,0,SUM(C292:C303)*($C$6/$C$7))</f>
        <v>0</v>
      </c>
      <c r="C36" s="208">
        <f>IF(A36&gt;C9,0,(E291+K291)*$C$8)</f>
        <v>0</v>
      </c>
      <c r="D36" s="2450">
        <f t="shared" si="0"/>
        <v>0</v>
      </c>
      <c r="E36" s="2450"/>
      <c r="F36" s="193"/>
      <c r="G36" s="193"/>
      <c r="H36" s="193"/>
    </row>
    <row r="37" spans="1:8" ht="12.4" customHeight="1">
      <c r="A37" s="80">
        <v>21</v>
      </c>
      <c r="B37" s="184">
        <f>IF(A37&gt;C9,0,SUM(C293:C304)*($C$6/$C$7))</f>
        <v>0</v>
      </c>
      <c r="C37" s="209">
        <f>IF(A37&gt;C9,0,(E303+K303)*$C$8)</f>
        <v>0</v>
      </c>
      <c r="D37" s="2451">
        <f t="shared" si="0"/>
        <v>0</v>
      </c>
      <c r="E37" s="2451"/>
      <c r="F37" s="193"/>
      <c r="G37" s="193"/>
      <c r="H37" s="193"/>
    </row>
    <row r="38" spans="1:8" ht="12.4" customHeight="1">
      <c r="A38" s="80">
        <v>22</v>
      </c>
      <c r="B38" s="186">
        <f>IF(A38&gt;C9,0,SUM(C294:C305)*($C$6/$C$7))</f>
        <v>0</v>
      </c>
      <c r="C38" s="187">
        <f>IF(A38&gt;C9,0,(E315+K315)*$C$8)</f>
        <v>0</v>
      </c>
      <c r="D38" s="2449">
        <f t="shared" si="0"/>
        <v>0</v>
      </c>
      <c r="E38" s="2449"/>
      <c r="F38" s="193"/>
      <c r="G38" s="193"/>
      <c r="H38" s="193"/>
    </row>
    <row r="39" spans="1:8" ht="12.4" customHeight="1">
      <c r="A39" s="80">
        <v>23</v>
      </c>
      <c r="B39" s="186">
        <f>IF(A39&gt;C9,0,SUM(C295:C306)*($C$6/$C$7))</f>
        <v>0</v>
      </c>
      <c r="C39" s="187">
        <f>IF(A39&gt;C9,0,(E327+K327)*$C$8)</f>
        <v>0</v>
      </c>
      <c r="D39" s="2449">
        <f t="shared" si="0"/>
        <v>0</v>
      </c>
      <c r="E39" s="2449"/>
      <c r="F39" s="193"/>
      <c r="G39" s="193"/>
      <c r="H39" s="193"/>
    </row>
    <row r="40" spans="1:8" ht="12.4" customHeight="1">
      <c r="A40" s="80">
        <v>24</v>
      </c>
      <c r="B40" s="186">
        <f>IF(A40&gt;C9,0,SUM(C296:C307)*($C$6/$C$7))</f>
        <v>0</v>
      </c>
      <c r="C40" s="187">
        <f>IF(A40&gt;C9,0,(E339+K339)*$C$8)</f>
        <v>0</v>
      </c>
      <c r="D40" s="2449">
        <f t="shared" si="0"/>
        <v>0</v>
      </c>
      <c r="E40" s="2449"/>
      <c r="F40" s="193"/>
      <c r="G40" s="193"/>
      <c r="H40" s="193"/>
    </row>
    <row r="41" spans="1:8" ht="12.4" customHeight="1">
      <c r="A41" s="80">
        <v>25</v>
      </c>
      <c r="B41" s="189">
        <f>IF(A41&gt;C9,0,SUM(C297:C308)*($C$6/$C$7))</f>
        <v>0</v>
      </c>
      <c r="C41" s="208">
        <f>IF(A41&gt;C9,0,(E351+K351)*$C$8)</f>
        <v>0</v>
      </c>
      <c r="D41" s="2450">
        <f t="shared" si="0"/>
        <v>0</v>
      </c>
      <c r="E41" s="2450"/>
      <c r="F41" s="193"/>
      <c r="G41" s="193"/>
      <c r="H41" s="193"/>
    </row>
    <row r="42" spans="1:8" ht="12.4" customHeight="1">
      <c r="A42" s="183">
        <v>26</v>
      </c>
      <c r="B42" s="184">
        <f>IF(A42&gt;C9,0,SUM(C298:C309)*($C$6/$C$7))</f>
        <v>0</v>
      </c>
      <c r="C42" s="209">
        <f>IF(A42&gt;C9,0,(E363+K363)*$C$8)</f>
        <v>0</v>
      </c>
      <c r="D42" s="2451">
        <f t="shared" si="0"/>
        <v>0</v>
      </c>
      <c r="E42" s="2451"/>
      <c r="F42" s="193"/>
      <c r="G42" s="193"/>
      <c r="H42" s="193"/>
    </row>
    <row r="43" spans="1:8" ht="12.4" customHeight="1">
      <c r="A43" s="185">
        <v>27</v>
      </c>
      <c r="B43" s="186">
        <f>IF(A43&gt;C9,0,SUM(C299:C310)*($C$6/$C$7))</f>
        <v>0</v>
      </c>
      <c r="C43" s="187">
        <f>IF(A43&gt;C9,0,(E375+K375)*$C$8)</f>
        <v>0</v>
      </c>
      <c r="D43" s="2449">
        <f t="shared" si="0"/>
        <v>0</v>
      </c>
      <c r="E43" s="2449"/>
      <c r="F43" s="193"/>
      <c r="G43" s="193"/>
      <c r="H43" s="193"/>
    </row>
    <row r="44" spans="1:8" ht="12.4" customHeight="1">
      <c r="A44" s="185">
        <v>28</v>
      </c>
      <c r="B44" s="186">
        <f>IF(A44&gt;C9,0,SUM(C300:C311)*($C$6/$C$7))</f>
        <v>0</v>
      </c>
      <c r="C44" s="187">
        <f>IF(A44&gt;C9,0,(E387+K387)*$C$8)</f>
        <v>0</v>
      </c>
      <c r="D44" s="2449">
        <f t="shared" si="0"/>
        <v>0</v>
      </c>
      <c r="E44" s="2449"/>
      <c r="F44" s="193"/>
      <c r="G44" s="193"/>
      <c r="H44" s="193"/>
    </row>
    <row r="45" spans="1:8" ht="12.4" customHeight="1">
      <c r="A45" s="185">
        <v>29</v>
      </c>
      <c r="B45" s="186">
        <f>IF(A45&gt;C9,0,SUM(C301:C312)*($C$6/$C$7))</f>
        <v>0</v>
      </c>
      <c r="C45" s="187">
        <f>IF(A45&gt;C9,0,(E411+K411)*$C$8)</f>
        <v>0</v>
      </c>
      <c r="D45" s="2449">
        <f t="shared" si="0"/>
        <v>0</v>
      </c>
      <c r="E45" s="2449"/>
      <c r="F45" s="193"/>
      <c r="G45" s="193"/>
      <c r="H45" s="193"/>
    </row>
    <row r="46" spans="1:8" ht="12.4" customHeight="1">
      <c r="A46" s="188">
        <v>30</v>
      </c>
      <c r="B46" s="189">
        <f>IF(A46&gt;C9,0,SUM(C302:C313)*($C$6/$C$7))</f>
        <v>0</v>
      </c>
      <c r="C46" s="208">
        <f>IF(A46&gt;C9,0,(E423+K423)*$C$8)</f>
        <v>0</v>
      </c>
      <c r="D46" s="2450">
        <f t="shared" si="0"/>
        <v>0</v>
      </c>
      <c r="E46" s="2450"/>
      <c r="F46" s="193"/>
      <c r="G46" s="193"/>
      <c r="H46" s="193"/>
    </row>
    <row r="47" spans="1:8" ht="12.4" customHeight="1">
      <c r="A47" s="192">
        <v>31</v>
      </c>
      <c r="B47" s="184">
        <f>IF(A47&gt;C9,0,SUM(C303:C314)*($C$6/$C$7))</f>
        <v>0</v>
      </c>
      <c r="C47" s="209">
        <f>IF(A47&gt;C9,0,(E435+K435)*$C$8)</f>
        <v>0</v>
      </c>
      <c r="D47" s="2451">
        <f t="shared" si="0"/>
        <v>0</v>
      </c>
      <c r="E47" s="2451"/>
      <c r="F47" s="193"/>
      <c r="G47" s="193"/>
      <c r="H47" s="193"/>
    </row>
    <row r="48" spans="1:8" ht="12.4" customHeight="1">
      <c r="A48" s="185">
        <v>32</v>
      </c>
      <c r="B48" s="186">
        <f>IF(A48&gt;C9,0,SUM(C304:C315)*($C$6/$C$7))</f>
        <v>0</v>
      </c>
      <c r="C48" s="187">
        <f>IF(A48&gt;C9,0,(E447+K447)*$C$8)</f>
        <v>0</v>
      </c>
      <c r="D48" s="2449">
        <f t="shared" si="0"/>
        <v>0</v>
      </c>
      <c r="E48" s="2449"/>
      <c r="F48" s="193"/>
      <c r="G48" s="193"/>
      <c r="H48" s="193"/>
    </row>
    <row r="49" spans="1:12" ht="12.4" customHeight="1">
      <c r="A49" s="185">
        <v>33</v>
      </c>
      <c r="B49" s="186">
        <f>IF(A49&gt;C9,0,SUM(C305:C316)*($C$6/$C$7))</f>
        <v>0</v>
      </c>
      <c r="C49" s="187">
        <f>IF(A49&gt;C9,0,(E459+K459)*$C$8)</f>
        <v>0</v>
      </c>
      <c r="D49" s="2449">
        <f t="shared" si="0"/>
        <v>0</v>
      </c>
      <c r="E49" s="2449"/>
      <c r="F49" s="193"/>
      <c r="G49" s="193"/>
      <c r="H49" s="193"/>
    </row>
    <row r="50" spans="1:12" ht="12.4" customHeight="1">
      <c r="A50" s="185">
        <v>34</v>
      </c>
      <c r="B50" s="186">
        <f>IF(A50&gt;C9,0,SUM(C306:C317)*($C$6/$C$7))</f>
        <v>0</v>
      </c>
      <c r="C50" s="187">
        <f>IF(A50&gt;C9,0,(E471+K471)*$C$8)</f>
        <v>0</v>
      </c>
      <c r="D50" s="2449">
        <f t="shared" si="0"/>
        <v>0</v>
      </c>
      <c r="E50" s="2449"/>
      <c r="F50" s="193"/>
      <c r="G50" s="193"/>
      <c r="H50" s="193"/>
    </row>
    <row r="51" spans="1:12" ht="12.4" customHeight="1">
      <c r="A51" s="188">
        <v>35</v>
      </c>
      <c r="B51" s="189">
        <f>IF(A51&gt;C9,0,SUM(C307:C318)*($C$6/$C$7))</f>
        <v>0</v>
      </c>
      <c r="C51" s="208">
        <f>IF(A51&gt;C9,0,(E483+K483)*$C$8)</f>
        <v>0</v>
      </c>
      <c r="D51" s="2450">
        <f t="shared" si="0"/>
        <v>0</v>
      </c>
      <c r="E51" s="2450"/>
      <c r="F51" s="193"/>
      <c r="G51" s="193"/>
      <c r="H51" s="193"/>
    </row>
    <row r="52" spans="1:12" ht="12.4" customHeight="1">
      <c r="A52" s="192">
        <v>36</v>
      </c>
      <c r="B52" s="184">
        <f>IF(A52&gt;C9,0,SUM(C308:C319)*($C$6/$C$7))</f>
        <v>0</v>
      </c>
      <c r="C52" s="209">
        <f>IF(A52&gt;C9,0,(E495+K495)*$C$8)</f>
        <v>0</v>
      </c>
      <c r="D52" s="2451">
        <f t="shared" si="0"/>
        <v>0</v>
      </c>
      <c r="E52" s="2451"/>
      <c r="F52" s="193"/>
      <c r="G52" s="193"/>
      <c r="H52" s="193"/>
    </row>
    <row r="53" spans="1:12" ht="12.4" customHeight="1">
      <c r="A53" s="185">
        <v>37</v>
      </c>
      <c r="B53" s="186">
        <f>IF(A53&gt;C9,0,SUM(C309:C320)*($C$6/$C$7))</f>
        <v>0</v>
      </c>
      <c r="C53" s="187">
        <f>IF(A53&gt;C9,0,(E507+K507)*$C$8)</f>
        <v>0</v>
      </c>
      <c r="D53" s="2449">
        <f t="shared" si="0"/>
        <v>0</v>
      </c>
      <c r="E53" s="2449"/>
      <c r="F53" s="193"/>
      <c r="G53" s="193"/>
      <c r="H53" s="193"/>
    </row>
    <row r="54" spans="1:12" ht="12.4" customHeight="1">
      <c r="A54" s="185">
        <v>38</v>
      </c>
      <c r="B54" s="186">
        <f>IF(A54&gt;C9,0,SUM(C310:C321)*($C$6/$C$7))</f>
        <v>0</v>
      </c>
      <c r="C54" s="187">
        <f>IF(A54&gt;C9,0,(E519+K519)*$C$8)</f>
        <v>0</v>
      </c>
      <c r="D54" s="2449">
        <f t="shared" si="0"/>
        <v>0</v>
      </c>
      <c r="E54" s="2449"/>
      <c r="F54" s="193"/>
      <c r="G54" s="193"/>
      <c r="H54" s="193"/>
    </row>
    <row r="55" spans="1:12" ht="12.4" customHeight="1">
      <c r="A55" s="185">
        <v>39</v>
      </c>
      <c r="B55" s="186">
        <f>IF(A55&gt;C9,0,SUM(C311:C322)*($C$6/$C$7))</f>
        <v>0</v>
      </c>
      <c r="C55" s="187">
        <f>IF(A55&gt;C9,0,(E531+K531)*$C$8)</f>
        <v>0</v>
      </c>
      <c r="D55" s="2449">
        <f t="shared" si="0"/>
        <v>0</v>
      </c>
      <c r="E55" s="2449"/>
      <c r="F55" s="193"/>
      <c r="G55" s="193"/>
      <c r="H55" s="193"/>
    </row>
    <row r="56" spans="1:12" ht="12.4" customHeight="1">
      <c r="A56" s="188">
        <v>40</v>
      </c>
      <c r="B56" s="189">
        <f>IF(A56&gt;C9,0,SUM(C312:C323)*($C$6/$C$7))</f>
        <v>0</v>
      </c>
      <c r="C56" s="208">
        <f>IF(A56&gt;C9,0,(E543+K543)*$C$8)</f>
        <v>0</v>
      </c>
      <c r="D56" s="2450">
        <f t="shared" si="0"/>
        <v>0</v>
      </c>
      <c r="E56" s="2450"/>
      <c r="F56" s="193"/>
      <c r="G56" s="193"/>
      <c r="H56" s="193"/>
    </row>
    <row r="57" spans="1:12" ht="3" customHeight="1">
      <c r="A57" s="193"/>
      <c r="B57" s="193"/>
      <c r="C57" s="193"/>
      <c r="D57" s="193"/>
      <c r="E57" s="193"/>
      <c r="F57" s="193"/>
      <c r="G57" s="193"/>
      <c r="H57" s="193"/>
    </row>
    <row r="58" spans="1:12" ht="13.15" customHeight="1">
      <c r="A58" s="2453" t="e">
        <f>CONCATENATE(#REF!," ",#REF!,", ",#REF!,", ",#REF!," County")</f>
        <v>#REF!</v>
      </c>
      <c r="B58" s="2453"/>
      <c r="C58" s="2453"/>
      <c r="D58" s="2453"/>
      <c r="E58" s="2453"/>
      <c r="F58" s="2453"/>
      <c r="G58" s="2453" t="e">
        <f>CONCATENATE(#REF!," ",#REF!,", ",#REF!,", ",#REF!," County")</f>
        <v>#REF!</v>
      </c>
      <c r="H58" s="2453"/>
      <c r="I58" s="2453"/>
      <c r="J58" s="2453"/>
      <c r="K58" s="2453"/>
      <c r="L58" s="2453"/>
    </row>
    <row r="59" spans="1:12" ht="15">
      <c r="A59" s="2454" t="s">
        <v>2472</v>
      </c>
      <c r="B59" s="2454"/>
      <c r="C59" s="2454"/>
      <c r="D59" s="2454"/>
      <c r="E59" s="2454"/>
      <c r="F59" s="2454"/>
      <c r="G59" s="2454" t="s">
        <v>2472</v>
      </c>
      <c r="H59" s="2454"/>
      <c r="I59" s="2454"/>
      <c r="J59" s="2454"/>
      <c r="K59" s="2454"/>
      <c r="L59" s="2454"/>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4"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140625" style="26" customWidth="1"/>
    <col min="2" max="6" width="16.7109375" style="26" customWidth="1"/>
    <col min="7" max="7" width="11.42578125" style="26" customWidth="1"/>
    <col min="8" max="8" width="2.140625" style="80" customWidth="1"/>
    <col min="9" max="9" width="10.42578125" style="26" bestFit="1" customWidth="1"/>
    <col min="10" max="10" width="12.140625" style="26" customWidth="1"/>
    <col min="11" max="11" width="10.7109375" style="26" customWidth="1"/>
    <col min="12" max="16384" width="8.7109375" style="26"/>
  </cols>
  <sheetData>
    <row r="1" spans="1:17" s="164" customFormat="1" ht="16.149999999999999" customHeight="1">
      <c r="A1" s="2446" t="e">
        <f>CONCATENATE("PART III C  - HUD INSURED LOAN","  -  ",#REF!," ",#REF!,", ",#REF!,", ",#REF!," County")</f>
        <v>#REF!</v>
      </c>
      <c r="B1" s="2447"/>
      <c r="C1" s="2447"/>
      <c r="D1" s="2447"/>
      <c r="E1" s="2447"/>
      <c r="F1" s="2448"/>
      <c r="G1" s="162"/>
      <c r="H1" s="162"/>
      <c r="I1" s="162"/>
      <c r="J1" s="162"/>
      <c r="K1" s="162"/>
      <c r="L1" s="162"/>
      <c r="M1" s="162"/>
      <c r="N1" s="162"/>
      <c r="O1" s="162"/>
      <c r="P1" s="162"/>
      <c r="Q1" s="162"/>
    </row>
    <row r="2" spans="1:17">
      <c r="A2" s="12"/>
      <c r="B2" s="181"/>
      <c r="C2" s="181"/>
      <c r="D2" s="181"/>
    </row>
    <row r="3" spans="1:17" ht="15.4" customHeight="1">
      <c r="A3" s="2455" t="s">
        <v>218</v>
      </c>
      <c r="B3" s="2455"/>
      <c r="C3" s="2455"/>
      <c r="D3" s="2455"/>
      <c r="E3" s="2455"/>
      <c r="F3" s="2455"/>
      <c r="G3" s="225"/>
      <c r="H3" s="225"/>
    </row>
    <row r="4" spans="1:17">
      <c r="A4" s="12"/>
      <c r="B4" s="181"/>
      <c r="C4" s="181"/>
      <c r="D4" s="181"/>
    </row>
    <row r="5" spans="1:17" ht="13.15" customHeight="1">
      <c r="A5" s="26" t="s">
        <v>2256</v>
      </c>
      <c r="D5" s="220"/>
      <c r="E5" s="2458" t="s">
        <v>956</v>
      </c>
      <c r="F5" s="2459"/>
      <c r="G5" s="159"/>
    </row>
    <row r="6" spans="1:17">
      <c r="E6" s="2459"/>
      <c r="F6" s="2459"/>
      <c r="G6" s="159"/>
    </row>
    <row r="7" spans="1:17">
      <c r="A7" s="26" t="s">
        <v>2464</v>
      </c>
      <c r="C7" s="26" t="s">
        <v>2465</v>
      </c>
      <c r="D7" s="221"/>
      <c r="E7" s="2459"/>
      <c r="F7" s="2459"/>
      <c r="G7" s="159"/>
    </row>
    <row r="8" spans="1:17">
      <c r="C8" s="26" t="s">
        <v>2466</v>
      </c>
      <c r="D8" s="221"/>
      <c r="E8" s="2459"/>
      <c r="F8" s="2459"/>
      <c r="G8" s="159"/>
    </row>
    <row r="9" spans="1:17">
      <c r="C9" s="26" t="s">
        <v>2467</v>
      </c>
      <c r="D9" s="221"/>
      <c r="E9" s="2459"/>
      <c r="F9" s="2459"/>
      <c r="G9" s="159"/>
    </row>
    <row r="10" spans="1:17">
      <c r="C10" s="26" t="s">
        <v>2480</v>
      </c>
      <c r="D10" s="226">
        <f>D7+D8+D9</f>
        <v>0</v>
      </c>
      <c r="E10" s="2459"/>
      <c r="F10" s="2459"/>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56" t="s">
        <v>1717</v>
      </c>
      <c r="B24" s="2456"/>
      <c r="C24" s="2456"/>
      <c r="D24" s="2456"/>
      <c r="E24" s="2456"/>
      <c r="F24" s="2456"/>
      <c r="J24" s="229"/>
    </row>
    <row r="25" spans="1:10">
      <c r="C25" s="191"/>
      <c r="J25" s="229"/>
    </row>
    <row r="26" spans="1:10">
      <c r="A26" s="104"/>
      <c r="B26" s="80"/>
      <c r="C26" s="2460" t="s">
        <v>2255</v>
      </c>
      <c r="D26" s="224"/>
      <c r="E26" s="80"/>
      <c r="F26" s="2460" t="s">
        <v>2255</v>
      </c>
      <c r="J26" s="229"/>
    </row>
    <row r="27" spans="1:10">
      <c r="A27" s="230" t="s">
        <v>2481</v>
      </c>
      <c r="B27" s="71" t="s">
        <v>1026</v>
      </c>
      <c r="C27" s="2461"/>
      <c r="D27" s="231" t="s">
        <v>2481</v>
      </c>
      <c r="E27" s="71" t="s">
        <v>1026</v>
      </c>
      <c r="F27" s="246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2453" t="e">
        <f>CONCATENATE(#REF!," ",#REF!,", ",#REF!,", ",#REF!," County")</f>
        <v>#REF!</v>
      </c>
      <c r="B50" s="2453"/>
      <c r="C50" s="2453"/>
      <c r="D50" s="2453"/>
      <c r="E50" s="2453"/>
      <c r="F50" s="2453"/>
      <c r="G50" s="215"/>
      <c r="H50" s="215"/>
    </row>
    <row r="51" spans="1:10" ht="15">
      <c r="A51" s="2454" t="s">
        <v>2472</v>
      </c>
      <c r="B51" s="2454"/>
      <c r="C51" s="2454"/>
      <c r="D51" s="2454"/>
      <c r="E51" s="2454"/>
      <c r="F51" s="2454"/>
      <c r="G51" s="241"/>
      <c r="H51" s="241"/>
      <c r="I51" s="241"/>
      <c r="J51" s="241"/>
    </row>
    <row r="52" spans="1:10" ht="5.6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4"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workbookViewId="0">
      <selection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42578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140625" style="312" customWidth="1"/>
    <col min="23" max="23" width="24.7109375" style="312" customWidth="1"/>
    <col min="24" max="24" width="73.42578125" style="312" customWidth="1"/>
    <col min="25" max="16384" width="9.140625" style="312"/>
  </cols>
  <sheetData>
    <row r="1" spans="1:24" s="294" customFormat="1" ht="13.5" customHeight="1">
      <c r="A1" s="2541" t="str">
        <f>CONCATENATE("PART FOUR -  USES OF FUNDS","  -  ",'Part I-Project Information'!$O$6," ",'Part I-Project Information'!$F$34,", ",'Part I-Project Information'!F38,", ",'Part I-Project Information'!J39," County")</f>
        <v>PART FOUR -  USES OF FUNDS  -  2019-078 Abbington Sound, Kingsland, Camden County</v>
      </c>
      <c r="B1" s="2542"/>
      <c r="C1" s="2542"/>
      <c r="D1" s="2542"/>
      <c r="E1" s="2542"/>
      <c r="F1" s="2542"/>
      <c r="G1" s="2542"/>
      <c r="H1" s="2542"/>
      <c r="I1" s="2542"/>
      <c r="J1" s="2542"/>
      <c r="K1" s="2542"/>
      <c r="L1" s="2542"/>
      <c r="M1" s="2542"/>
      <c r="N1" s="2542"/>
      <c r="O1" s="2542"/>
      <c r="P1" s="2542"/>
      <c r="Q1" s="2542"/>
      <c r="R1" s="2542"/>
      <c r="S1" s="2542"/>
      <c r="T1" s="2542"/>
      <c r="W1" s="2543" t="str">
        <f>A1</f>
        <v>PART FOUR -  USES OF FUNDS  -  2019-078 Abbington Sound, Kingsland, Camden County</v>
      </c>
      <c r="X1" s="254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462" t="str">
        <f>'Part I-Project Information'!$B$6</f>
        <v>April 2019 Final</v>
      </c>
      <c r="E5" s="2462"/>
      <c r="F5" s="2462"/>
      <c r="G5" s="2462"/>
      <c r="H5" s="2462"/>
      <c r="I5" s="483"/>
      <c r="J5" s="2508" t="s">
        <v>271</v>
      </c>
      <c r="K5" s="2509"/>
      <c r="L5" s="345"/>
      <c r="M5" s="2519" t="s">
        <v>489</v>
      </c>
      <c r="N5" s="2520"/>
      <c r="P5" s="2508" t="s">
        <v>272</v>
      </c>
      <c r="Q5" s="2509"/>
      <c r="S5" s="2508" t="s">
        <v>273</v>
      </c>
      <c r="T5" s="2509"/>
      <c r="V5" s="423" t="str">
        <f>B5</f>
        <v>DEVELOPMENT BUDGET</v>
      </c>
    </row>
    <row r="6" spans="1:24" s="294" customFormat="1" ht="19.5" customHeight="1" thickBot="1">
      <c r="D6" s="2171"/>
      <c r="E6" s="2171"/>
      <c r="F6" s="2171"/>
      <c r="G6" s="2523" t="s">
        <v>101</v>
      </c>
      <c r="H6" s="2524"/>
      <c r="J6" s="2510"/>
      <c r="K6" s="2511"/>
      <c r="L6" s="345"/>
      <c r="M6" s="2521"/>
      <c r="N6" s="2522"/>
      <c r="P6" s="2510"/>
      <c r="Q6" s="2511"/>
      <c r="S6" s="2510"/>
      <c r="T6" s="2511"/>
      <c r="V6" s="332" t="s">
        <v>2684</v>
      </c>
      <c r="X6" s="332"/>
    </row>
    <row r="7" spans="1:24" s="294" customFormat="1" ht="12" customHeight="1">
      <c r="B7" s="296" t="s">
        <v>102</v>
      </c>
      <c r="O7" s="480" t="str">
        <f>B7</f>
        <v>PRE-DEVELOPMENT COSTS</v>
      </c>
      <c r="W7" s="294" t="str">
        <f>B7</f>
        <v>PRE-DEVELOPMENT COSTS</v>
      </c>
    </row>
    <row r="8" spans="1:24" s="294" customFormat="1" ht="12.4" customHeight="1">
      <c r="B8" s="294" t="s">
        <v>2001</v>
      </c>
      <c r="G8" s="3568">
        <v>7500</v>
      </c>
      <c r="H8" s="3569"/>
      <c r="J8" s="3568">
        <v>7500</v>
      </c>
      <c r="K8" s="3569"/>
      <c r="L8" s="2279"/>
      <c r="M8" s="3568"/>
      <c r="N8" s="3569"/>
      <c r="P8" s="3568"/>
      <c r="Q8" s="3569"/>
      <c r="S8" s="3568"/>
      <c r="T8" s="3569"/>
      <c r="V8" s="3637"/>
      <c r="W8" s="3638"/>
      <c r="X8" s="3639"/>
    </row>
    <row r="9" spans="1:24" s="294" customFormat="1" ht="12.4" customHeight="1">
      <c r="B9" s="294" t="s">
        <v>457</v>
      </c>
      <c r="G9" s="3577">
        <v>7500</v>
      </c>
      <c r="H9" s="3578"/>
      <c r="J9" s="3577">
        <v>7500</v>
      </c>
      <c r="K9" s="3578"/>
      <c r="L9" s="2279"/>
      <c r="M9" s="3577"/>
      <c r="N9" s="3578"/>
      <c r="P9" s="3577"/>
      <c r="Q9" s="3578"/>
      <c r="S9" s="3577"/>
      <c r="T9" s="3578"/>
      <c r="V9" s="3637"/>
      <c r="W9" s="3638"/>
      <c r="X9" s="3639"/>
    </row>
    <row r="10" spans="1:24" s="294" customFormat="1" ht="12.4" customHeight="1">
      <c r="B10" s="294" t="s">
        <v>486</v>
      </c>
      <c r="G10" s="3577">
        <v>20000</v>
      </c>
      <c r="H10" s="3578"/>
      <c r="J10" s="3577">
        <v>20000</v>
      </c>
      <c r="K10" s="3578"/>
      <c r="L10" s="2279"/>
      <c r="M10" s="3577"/>
      <c r="N10" s="3578"/>
      <c r="P10" s="3577"/>
      <c r="Q10" s="3578"/>
      <c r="S10" s="3577"/>
      <c r="T10" s="3578"/>
      <c r="V10" s="3637"/>
      <c r="W10" s="3638"/>
      <c r="X10" s="3639"/>
    </row>
    <row r="11" spans="1:24" s="294" customFormat="1" ht="12.4" customHeight="1">
      <c r="B11" s="294" t="s">
        <v>487</v>
      </c>
      <c r="G11" s="3577">
        <v>15000</v>
      </c>
      <c r="H11" s="3578"/>
      <c r="J11" s="3577">
        <v>15000</v>
      </c>
      <c r="K11" s="3578"/>
      <c r="L11" s="2279"/>
      <c r="M11" s="3577"/>
      <c r="N11" s="3578"/>
      <c r="P11" s="3577"/>
      <c r="Q11" s="3578"/>
      <c r="S11" s="3577"/>
      <c r="T11" s="3578"/>
      <c r="V11" s="3637"/>
      <c r="W11" s="3638"/>
      <c r="X11" s="3639"/>
    </row>
    <row r="12" spans="1:24" s="294" customFormat="1" ht="12.4" customHeight="1">
      <c r="B12" s="294" t="s">
        <v>2501</v>
      </c>
      <c r="G12" s="3577">
        <v>12000</v>
      </c>
      <c r="H12" s="3578"/>
      <c r="J12" s="3577">
        <v>12000</v>
      </c>
      <c r="K12" s="3578"/>
      <c r="L12" s="2279"/>
      <c r="M12" s="3577"/>
      <c r="N12" s="3578"/>
      <c r="P12" s="3577"/>
      <c r="Q12" s="3578"/>
      <c r="S12" s="3577"/>
      <c r="T12" s="3578"/>
      <c r="V12" s="3637"/>
      <c r="W12" s="3638"/>
      <c r="X12" s="3639"/>
    </row>
    <row r="13" spans="1:24" s="294" customFormat="1" ht="12.4" customHeight="1">
      <c r="B13" s="294" t="s">
        <v>190</v>
      </c>
      <c r="G13" s="3577">
        <v>1000</v>
      </c>
      <c r="H13" s="3578"/>
      <c r="J13" s="3577">
        <v>1000</v>
      </c>
      <c r="K13" s="3578"/>
      <c r="L13" s="2279"/>
      <c r="M13" s="3577"/>
      <c r="N13" s="3578"/>
      <c r="P13" s="3577"/>
      <c r="Q13" s="3578"/>
      <c r="S13" s="3577"/>
      <c r="T13" s="3578"/>
      <c r="V13" s="3637"/>
      <c r="W13" s="3638"/>
      <c r="X13" s="3639"/>
    </row>
    <row r="14" spans="1:24" s="294" customFormat="1" ht="12.4" customHeight="1">
      <c r="A14" s="372" t="str">
        <f>IF(AND(G14&gt;0,OR(C14="",C14="&lt;Enter detailed description here; use Comments section if needed&gt;")),"X","")</f>
        <v/>
      </c>
      <c r="B14" s="294" t="s">
        <v>741</v>
      </c>
      <c r="C14" s="3640" t="s">
        <v>3709</v>
      </c>
      <c r="D14" s="3640"/>
      <c r="E14" s="3640"/>
      <c r="F14" s="3641"/>
      <c r="G14" s="3577"/>
      <c r="H14" s="3578"/>
      <c r="J14" s="3577"/>
      <c r="K14" s="3578"/>
      <c r="L14" s="2279"/>
      <c r="M14" s="3577"/>
      <c r="N14" s="3578"/>
      <c r="P14" s="3577"/>
      <c r="Q14" s="3578"/>
      <c r="S14" s="3577"/>
      <c r="T14" s="3578"/>
      <c r="U14" s="371" t="str">
        <f>IF(AND(G14&gt;0,OR(C14="",C14="&lt;Enter detailed description here; use Comments section if needed&gt;")),"NO DESCRIPTION PROVIDED - please enter detailed description in Other box at left; use Comments section below if needed.","")</f>
        <v/>
      </c>
      <c r="V14" s="3642"/>
      <c r="W14" s="3638"/>
      <c r="X14" s="3639"/>
    </row>
    <row r="15" spans="1:24" s="294" customFormat="1" ht="12.4" customHeight="1">
      <c r="A15" s="372" t="str">
        <f>IF(AND(G15&gt;0,OR(C15="",C15="&lt;Enter detailed description here; use Comments section if needed&gt;")),"X","")</f>
        <v/>
      </c>
      <c r="B15" s="294" t="s">
        <v>741</v>
      </c>
      <c r="C15" s="3640" t="s">
        <v>3709</v>
      </c>
      <c r="D15" s="3640"/>
      <c r="E15" s="3640"/>
      <c r="F15" s="3641"/>
      <c r="G15" s="3577"/>
      <c r="H15" s="3578"/>
      <c r="J15" s="3577"/>
      <c r="K15" s="3578"/>
      <c r="L15" s="2279"/>
      <c r="M15" s="3577"/>
      <c r="N15" s="3578"/>
      <c r="P15" s="3577"/>
      <c r="Q15" s="3578"/>
      <c r="S15" s="3577"/>
      <c r="T15" s="3578"/>
      <c r="U15" s="371" t="str">
        <f>IF(AND(G15&gt;0,OR(C15="",C15="&lt;Enter detailed description here; use Comments section if needed&gt;")),"NO DESCRIPTION PROVIDED - please enter detailed description in Other box at left; use Comments section below if needed.","")</f>
        <v/>
      </c>
      <c r="V15" s="3642"/>
      <c r="W15" s="3638"/>
      <c r="X15" s="3639"/>
    </row>
    <row r="16" spans="1:24" s="294" customFormat="1" ht="12.4" customHeight="1" thickBot="1">
      <c r="A16" s="372" t="str">
        <f>IF(AND(G16&gt;0,OR(C16="",C16="&lt;Enter detailed description here; use Comments section if needed&gt;")),"X","")</f>
        <v/>
      </c>
      <c r="B16" s="294" t="s">
        <v>741</v>
      </c>
      <c r="C16" s="3640" t="s">
        <v>3709</v>
      </c>
      <c r="D16" s="3640"/>
      <c r="E16" s="3640"/>
      <c r="F16" s="3641"/>
      <c r="G16" s="3643"/>
      <c r="H16" s="3644"/>
      <c r="J16" s="3643"/>
      <c r="K16" s="3644"/>
      <c r="L16" s="2279"/>
      <c r="M16" s="3643"/>
      <c r="N16" s="3644"/>
      <c r="P16" s="3643"/>
      <c r="Q16" s="3644"/>
      <c r="S16" s="3643"/>
      <c r="T16" s="3644"/>
      <c r="U16" s="371" t="str">
        <f>IF(AND(G16&gt;0,OR(C16="",C16="&lt;Enter detailed description here; use Comments section if needed&gt;")),"NO DESCRIPTION PROVIDED - please enter detailed description in Other box at left; use Comments section below if needed.","")</f>
        <v/>
      </c>
      <c r="V16" s="3642"/>
      <c r="W16" s="3645"/>
      <c r="X16" s="3646"/>
    </row>
    <row r="17" spans="2:24" s="294" customFormat="1" ht="12.4" customHeight="1" thickTop="1">
      <c r="F17" s="346" t="s">
        <v>191</v>
      </c>
      <c r="G17" s="2512">
        <f>SUM(G8:H16)</f>
        <v>63000</v>
      </c>
      <c r="H17" s="2513"/>
      <c r="J17" s="2512">
        <f>SUM(J8:K16)</f>
        <v>63000</v>
      </c>
      <c r="K17" s="2540"/>
      <c r="L17" s="2279"/>
      <c r="M17" s="2512">
        <f>SUM(M8:N16)</f>
        <v>0</v>
      </c>
      <c r="N17" s="2513"/>
      <c r="P17" s="2512">
        <f>SUM(P8:Q16)</f>
        <v>0</v>
      </c>
      <c r="Q17" s="2513"/>
      <c r="S17" s="2512">
        <f>SUM(S8:T16)</f>
        <v>0</v>
      </c>
      <c r="T17" s="2513"/>
      <c r="V17" s="3647">
        <f>SUM(V8:V16)</f>
        <v>0</v>
      </c>
      <c r="W17" s="3648"/>
      <c r="X17" s="3649"/>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4" customHeight="1">
      <c r="B19" s="294" t="s">
        <v>2199</v>
      </c>
      <c r="E19" s="851" t="s">
        <v>3724</v>
      </c>
      <c r="F19" s="460">
        <f>IF('Part I-Project Information'!$O$37="","",G19/'Part I-Project Information'!$O$37)</f>
        <v>70725.707257072558</v>
      </c>
      <c r="G19" s="3568">
        <v>575000</v>
      </c>
      <c r="H19" s="3569"/>
      <c r="J19" s="348"/>
      <c r="K19" s="345"/>
      <c r="L19" s="348"/>
      <c r="M19" s="348"/>
      <c r="N19" s="345"/>
      <c r="P19" s="348"/>
      <c r="Q19" s="345"/>
      <c r="S19" s="3568">
        <v>575000</v>
      </c>
      <c r="T19" s="3569"/>
      <c r="V19" s="3637"/>
      <c r="W19" s="3638"/>
      <c r="X19" s="3639"/>
    </row>
    <row r="20" spans="2:24" s="294" customFormat="1" ht="12.4" customHeight="1">
      <c r="B20" s="294" t="s">
        <v>1119</v>
      </c>
      <c r="G20" s="3577"/>
      <c r="H20" s="3578"/>
      <c r="J20" s="348"/>
      <c r="K20" s="345"/>
      <c r="L20" s="348"/>
      <c r="M20" s="348"/>
      <c r="N20" s="345"/>
      <c r="P20" s="348"/>
      <c r="Q20" s="345"/>
      <c r="S20" s="3577"/>
      <c r="T20" s="3578"/>
      <c r="V20" s="3637"/>
      <c r="W20" s="3638"/>
      <c r="X20" s="3639"/>
    </row>
    <row r="21" spans="2:24" s="294" customFormat="1" ht="12.4" customHeight="1">
      <c r="B21" s="294" t="s">
        <v>458</v>
      </c>
      <c r="G21" s="3577"/>
      <c r="H21" s="3578"/>
      <c r="J21" s="348"/>
      <c r="K21" s="345"/>
      <c r="L21" s="348"/>
      <c r="M21" s="3568"/>
      <c r="N21" s="3569"/>
      <c r="P21" s="348"/>
      <c r="Q21" s="345"/>
      <c r="S21" s="3577"/>
      <c r="T21" s="3578"/>
      <c r="V21" s="3637"/>
      <c r="W21" s="3638"/>
      <c r="X21" s="3639"/>
    </row>
    <row r="22" spans="2:24" s="294" customFormat="1" ht="12.4" customHeight="1" thickBot="1">
      <c r="B22" s="294" t="s">
        <v>430</v>
      </c>
      <c r="G22" s="3643"/>
      <c r="H22" s="3644"/>
      <c r="J22" s="348"/>
      <c r="K22" s="345"/>
      <c r="L22" s="348"/>
      <c r="M22" s="3643"/>
      <c r="N22" s="3644"/>
      <c r="P22" s="348"/>
      <c r="Q22" s="345"/>
      <c r="S22" s="3643"/>
      <c r="T22" s="3644"/>
      <c r="V22" s="3637"/>
      <c r="W22" s="3645"/>
      <c r="X22" s="3646"/>
    </row>
    <row r="23" spans="2:24" s="294" customFormat="1" ht="12.4" customHeight="1" thickTop="1">
      <c r="F23" s="346" t="s">
        <v>191</v>
      </c>
      <c r="G23" s="2512">
        <f>SUM(G19:H22)</f>
        <v>575000</v>
      </c>
      <c r="H23" s="2513"/>
      <c r="J23" s="348"/>
      <c r="K23" s="345"/>
      <c r="L23" s="348"/>
      <c r="M23" s="2512">
        <f>SUM(M21:N22)</f>
        <v>0</v>
      </c>
      <c r="N23" s="2513"/>
      <c r="P23" s="348"/>
      <c r="Q23" s="345"/>
      <c r="S23" s="2512">
        <f>SUM(S19:T22)</f>
        <v>575000</v>
      </c>
      <c r="T23" s="2513"/>
      <c r="V23" s="3647">
        <f>SUM(V19:V22)</f>
        <v>0</v>
      </c>
      <c r="W23" s="3648"/>
      <c r="X23" s="3649"/>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4" customHeight="1">
      <c r="B25" s="294" t="s">
        <v>1121</v>
      </c>
      <c r="E25" s="851" t="s">
        <v>3724</v>
      </c>
      <c r="F25" s="460">
        <f>IF('Part I-Project Information'!$O$37="","",G25/'Part I-Project Information'!$O$37)</f>
        <v>185977.85977859778</v>
      </c>
      <c r="G25" s="3568">
        <v>1512000</v>
      </c>
      <c r="H25" s="3569"/>
      <c r="J25" s="3568">
        <f>G25</f>
        <v>1512000</v>
      </c>
      <c r="K25" s="3569"/>
      <c r="L25" s="2279"/>
      <c r="M25" s="3650"/>
      <c r="N25" s="3651"/>
      <c r="P25" s="3650"/>
      <c r="Q25" s="3651"/>
      <c r="S25" s="3568"/>
      <c r="T25" s="3569"/>
      <c r="V25" s="3637"/>
      <c r="W25" s="3638"/>
      <c r="X25" s="3639"/>
    </row>
    <row r="26" spans="2:24" s="294" customFormat="1" ht="12.4" customHeight="1" thickBot="1">
      <c r="B26" s="294" t="s">
        <v>1122</v>
      </c>
      <c r="G26" s="3643">
        <v>350000</v>
      </c>
      <c r="H26" s="3644"/>
      <c r="J26" s="3643"/>
      <c r="K26" s="3644"/>
      <c r="L26" s="349"/>
      <c r="M26" s="2539"/>
      <c r="N26" s="2539"/>
      <c r="P26" s="2539"/>
      <c r="Q26" s="2539"/>
      <c r="S26" s="3643">
        <v>350000</v>
      </c>
      <c r="T26" s="3644"/>
      <c r="V26" s="3637"/>
      <c r="W26" s="3645"/>
      <c r="X26" s="3646"/>
    </row>
    <row r="27" spans="2:24" s="294" customFormat="1" ht="12.4" customHeight="1" thickTop="1">
      <c r="F27" s="346" t="s">
        <v>191</v>
      </c>
      <c r="G27" s="2512">
        <f>SUM(G25:H26)</f>
        <v>1862000</v>
      </c>
      <c r="H27" s="2513"/>
      <c r="J27" s="2512">
        <f>SUM(J25:K26)</f>
        <v>1512000</v>
      </c>
      <c r="K27" s="2513"/>
      <c r="L27" s="348"/>
      <c r="M27" s="2512">
        <f>M25</f>
        <v>0</v>
      </c>
      <c r="N27" s="2513"/>
      <c r="P27" s="2512">
        <f>P25</f>
        <v>0</v>
      </c>
      <c r="Q27" s="2513"/>
      <c r="S27" s="2512">
        <f>SUM(S25:T26)</f>
        <v>350000</v>
      </c>
      <c r="T27" s="2513"/>
      <c r="V27" s="3647">
        <f>SUM(V25:V26)</f>
        <v>0</v>
      </c>
      <c r="W27" s="3648"/>
      <c r="X27" s="3649"/>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4" customHeight="1">
      <c r="B29" s="294" t="s">
        <v>1124</v>
      </c>
      <c r="G29" s="3568">
        <v>7644000</v>
      </c>
      <c r="H29" s="3569"/>
      <c r="J29" s="3568">
        <f>G29</f>
        <v>7644000</v>
      </c>
      <c r="K29" s="3569"/>
      <c r="L29" s="2279"/>
      <c r="M29" s="3568"/>
      <c r="N29" s="3569"/>
      <c r="P29" s="3568"/>
      <c r="Q29" s="3569"/>
      <c r="S29" s="3568"/>
      <c r="T29" s="3569"/>
      <c r="V29" s="3637"/>
      <c r="W29" s="3638"/>
      <c r="X29" s="3639"/>
    </row>
    <row r="30" spans="2:24" s="294" customFormat="1" ht="12.4" customHeight="1">
      <c r="B30" s="294" t="s">
        <v>1125</v>
      </c>
      <c r="G30" s="3577"/>
      <c r="H30" s="3578"/>
      <c r="J30" s="3577"/>
      <c r="K30" s="3578"/>
      <c r="L30" s="2279"/>
      <c r="M30" s="3577"/>
      <c r="N30" s="3578"/>
      <c r="P30" s="3577"/>
      <c r="Q30" s="3578"/>
      <c r="S30" s="3577"/>
      <c r="T30" s="3578"/>
      <c r="V30" s="3637"/>
      <c r="W30" s="3638"/>
      <c r="X30" s="3639"/>
    </row>
    <row r="31" spans="2:24" s="294" customFormat="1" ht="12.4" customHeight="1">
      <c r="B31" s="294" t="s">
        <v>2781</v>
      </c>
      <c r="G31" s="3577"/>
      <c r="H31" s="3578"/>
      <c r="J31" s="3577"/>
      <c r="K31" s="3578"/>
      <c r="L31" s="2279"/>
      <c r="M31" s="3577"/>
      <c r="N31" s="3578"/>
      <c r="P31" s="3577"/>
      <c r="Q31" s="3578"/>
      <c r="S31" s="3577"/>
      <c r="T31" s="3578"/>
      <c r="V31" s="3637"/>
      <c r="W31" s="3638"/>
      <c r="X31" s="3639"/>
    </row>
    <row r="32" spans="2:24" ht="12.4" customHeight="1" thickBot="1">
      <c r="B32" s="294" t="s">
        <v>2780</v>
      </c>
      <c r="G32" s="3643"/>
      <c r="H32" s="3644"/>
      <c r="I32" s="294"/>
      <c r="J32" s="3643"/>
      <c r="K32" s="3644"/>
      <c r="L32" s="2279"/>
      <c r="M32" s="3643"/>
      <c r="N32" s="3644"/>
      <c r="O32" s="294"/>
      <c r="P32" s="3643"/>
      <c r="Q32" s="3644"/>
      <c r="R32" s="294"/>
      <c r="S32" s="3643"/>
      <c r="T32" s="3644"/>
      <c r="V32" s="3637"/>
      <c r="W32" s="3645"/>
      <c r="X32" s="3646"/>
    </row>
    <row r="33" spans="1:24" s="294" customFormat="1" ht="12.4" customHeight="1" thickTop="1">
      <c r="C33" s="2538"/>
      <c r="D33" s="2538"/>
      <c r="E33" s="2275"/>
      <c r="F33" s="346" t="s">
        <v>191</v>
      </c>
      <c r="G33" s="2512">
        <f>SUM(G29:H32)</f>
        <v>7644000</v>
      </c>
      <c r="H33" s="2513"/>
      <c r="J33" s="2512">
        <f>SUM(J29:K32)</f>
        <v>7644000</v>
      </c>
      <c r="K33" s="2513"/>
      <c r="L33" s="2279"/>
      <c r="M33" s="2512">
        <f>SUM(M29:N32)</f>
        <v>0</v>
      </c>
      <c r="N33" s="2513"/>
      <c r="P33" s="2512">
        <f>SUM(P29:Q32)</f>
        <v>0</v>
      </c>
      <c r="Q33" s="2513"/>
      <c r="S33" s="2512">
        <f>SUM(S29:T32)</f>
        <v>0</v>
      </c>
      <c r="T33" s="2513"/>
      <c r="V33" s="3647">
        <f>SUM(V29:V32)</f>
        <v>0</v>
      </c>
      <c r="W33" s="3648"/>
      <c r="X33" s="3649"/>
    </row>
    <row r="34" spans="1:24" s="294" customFormat="1" ht="12" customHeight="1">
      <c r="B34" s="296" t="s">
        <v>2344</v>
      </c>
      <c r="D34" s="2537" t="s">
        <v>3728</v>
      </c>
      <c r="E34" s="2537"/>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4" customHeight="1">
      <c r="B35" s="294" t="s">
        <v>2345</v>
      </c>
      <c r="D35" s="977">
        <f>'DCA Underwriting Assumptions'!$R$73</f>
        <v>0.06</v>
      </c>
      <c r="E35" s="979">
        <f>D35*(G27+G33)</f>
        <v>570360</v>
      </c>
      <c r="F35" s="976">
        <f>IF(($G$27+$G$33)=0,0,G35/($G$27+$G$33))</f>
        <v>0.06</v>
      </c>
      <c r="G35" s="3568">
        <f>E35</f>
        <v>570360</v>
      </c>
      <c r="H35" s="3569"/>
      <c r="I35" s="312"/>
      <c r="J35" s="3568">
        <f>G35</f>
        <v>570360</v>
      </c>
      <c r="K35" s="3569"/>
      <c r="L35" s="2279"/>
      <c r="M35" s="3568"/>
      <c r="N35" s="3569"/>
      <c r="P35" s="3568"/>
      <c r="Q35" s="3569"/>
      <c r="S35" s="3568">
        <v>0</v>
      </c>
      <c r="T35" s="3569"/>
      <c r="V35" s="3637"/>
      <c r="W35" s="3638"/>
      <c r="X35" s="3639"/>
    </row>
    <row r="36" spans="1:24" s="294" customFormat="1" ht="12.4" customHeight="1">
      <c r="B36" s="294" t="s">
        <v>2737</v>
      </c>
      <c r="D36" s="978">
        <f>'DCA Underwriting Assumptions'!$R$74</f>
        <v>0.02</v>
      </c>
      <c r="E36" s="979">
        <f>D36*(G27+G33)</f>
        <v>190120</v>
      </c>
      <c r="F36" s="976">
        <f>IF(($G$27+$G$33)=0,0,G36/($G$27+$G$33))</f>
        <v>0.02</v>
      </c>
      <c r="G36" s="3577">
        <f>E36</f>
        <v>190120</v>
      </c>
      <c r="H36" s="3578"/>
      <c r="I36" s="312"/>
      <c r="J36" s="3577">
        <f>G36</f>
        <v>190120</v>
      </c>
      <c r="K36" s="3578"/>
      <c r="L36" s="2279"/>
      <c r="M36" s="3577"/>
      <c r="N36" s="3578"/>
      <c r="P36" s="3577"/>
      <c r="Q36" s="3578"/>
      <c r="S36" s="3577">
        <v>0</v>
      </c>
      <c r="T36" s="3578"/>
      <c r="V36" s="3637"/>
      <c r="W36" s="3638"/>
      <c r="X36" s="3639"/>
    </row>
    <row r="37" spans="1:24" s="294" customFormat="1" ht="12.4" customHeight="1" thickBot="1">
      <c r="B37" s="294" t="s">
        <v>2738</v>
      </c>
      <c r="D37" s="982">
        <f>'DCA Underwriting Assumptions'!$R$75</f>
        <v>0.06</v>
      </c>
      <c r="E37" s="983">
        <f>D37*(G27+G33)</f>
        <v>570360</v>
      </c>
      <c r="F37" s="1225">
        <f>IF(($G$27+$G$33)=0,0,G37/($G$27+$G$33))</f>
        <v>0.06</v>
      </c>
      <c r="G37" s="3643">
        <f>E37</f>
        <v>570360</v>
      </c>
      <c r="H37" s="3644"/>
      <c r="I37" s="312"/>
      <c r="J37" s="3643">
        <f>G37</f>
        <v>570360</v>
      </c>
      <c r="K37" s="3644"/>
      <c r="L37" s="2279"/>
      <c r="M37" s="3643"/>
      <c r="N37" s="3644"/>
      <c r="P37" s="3643"/>
      <c r="Q37" s="3644"/>
      <c r="S37" s="3643">
        <v>0</v>
      </c>
      <c r="T37" s="3644"/>
      <c r="V37" s="3637"/>
      <c r="W37" s="3645"/>
      <c r="X37" s="3646"/>
    </row>
    <row r="38" spans="1:24" s="294" customFormat="1" ht="12.4" customHeight="1" thickTop="1">
      <c r="B38" s="172" t="s">
        <v>3729</v>
      </c>
      <c r="D38" s="980">
        <f>SUM(D35:D37)</f>
        <v>0.14000000000000001</v>
      </c>
      <c r="E38" s="981">
        <f>SUM(E35:E37)</f>
        <v>1330840</v>
      </c>
      <c r="F38" s="963" t="s">
        <v>191</v>
      </c>
      <c r="G38" s="2512">
        <f>SUM(G35:H37)</f>
        <v>1330840</v>
      </c>
      <c r="H38" s="2513"/>
      <c r="J38" s="2512">
        <f>SUM(J35:K37)</f>
        <v>1330840</v>
      </c>
      <c r="K38" s="2513"/>
      <c r="L38" s="348"/>
      <c r="M38" s="2512">
        <f>SUM(M35:N37)</f>
        <v>0</v>
      </c>
      <c r="N38" s="2513"/>
      <c r="P38" s="2512">
        <f>SUM(P35:Q37)</f>
        <v>0</v>
      </c>
      <c r="Q38" s="2513"/>
      <c r="S38" s="2512">
        <f>SUM(S35:T37)</f>
        <v>0</v>
      </c>
      <c r="T38" s="2513"/>
      <c r="V38" s="3647">
        <f>SUM(V35:V37)</f>
        <v>0</v>
      </c>
      <c r="W38" s="3648"/>
      <c r="X38" s="364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4" customHeight="1">
      <c r="B41" s="294" t="s">
        <v>741</v>
      </c>
      <c r="C41" s="3640" t="s">
        <v>3709</v>
      </c>
      <c r="D41" s="3652"/>
      <c r="E41" s="3652"/>
      <c r="F41" s="3653"/>
      <c r="G41" s="3654"/>
      <c r="H41" s="3655"/>
      <c r="I41" s="294"/>
      <c r="J41" s="3654"/>
      <c r="K41" s="3655"/>
      <c r="L41" s="2279"/>
      <c r="M41" s="3654"/>
      <c r="N41" s="3655"/>
      <c r="O41" s="294"/>
      <c r="P41" s="3654"/>
      <c r="Q41" s="3655"/>
      <c r="R41" s="294"/>
      <c r="S41" s="3654"/>
      <c r="T41" s="3655"/>
      <c r="V41" s="3637"/>
      <c r="W41" s="3656"/>
      <c r="X41" s="365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658"/>
      <c r="X42" s="3659"/>
    </row>
    <row r="43" spans="1:24" s="294" customFormat="1" ht="12.4" customHeight="1">
      <c r="B43" s="505" t="s">
        <v>2746</v>
      </c>
      <c r="C43" s="506"/>
      <c r="E43" s="2531" t="s">
        <v>2745</v>
      </c>
      <c r="F43" s="2277">
        <f>B44/'Part VI-Revenues &amp; Expenses'!$O$65</f>
        <v>129010</v>
      </c>
      <c r="G43" s="2278" t="s">
        <v>2772</v>
      </c>
      <c r="H43" s="2273"/>
      <c r="I43" s="2273"/>
      <c r="J43" s="2533">
        <f>B44/'Part VI-Revenues &amp; Expenses'!$O$67</f>
        <v>129010</v>
      </c>
      <c r="K43" s="2533"/>
      <c r="L43" s="2273"/>
      <c r="M43" s="2534" t="s">
        <v>1402</v>
      </c>
      <c r="N43" s="2534"/>
      <c r="O43" s="2273"/>
      <c r="P43" s="2533">
        <f>B44/'Part I-Project Information'!$P$75</f>
        <v>115.51902782219379</v>
      </c>
      <c r="Q43" s="2533"/>
      <c r="R43" s="2273"/>
      <c r="S43" s="2535" t="s">
        <v>2779</v>
      </c>
      <c r="T43" s="2536"/>
      <c r="V43" s="1076"/>
      <c r="W43" s="3658"/>
      <c r="X43" s="3659"/>
    </row>
    <row r="44" spans="1:24" s="294" customFormat="1" ht="12.4" customHeight="1">
      <c r="B44" s="2527">
        <f>G27+G33+G38+G41</f>
        <v>10836840</v>
      </c>
      <c r="C44" s="2528"/>
      <c r="E44" s="2532"/>
      <c r="F44" s="2276">
        <f>B44/'Part VI-Revenues &amp; Expenses'!$O$154</f>
        <v>120.0093023255814</v>
      </c>
      <c r="G44" s="504" t="s">
        <v>2773</v>
      </c>
      <c r="H44" s="2266"/>
      <c r="I44" s="2266"/>
      <c r="J44" s="2529">
        <f>B44/'Part VI-Revenues &amp; Expenses'!$O$156</f>
        <v>120.0093023255814</v>
      </c>
      <c r="K44" s="2529"/>
      <c r="L44" s="2266"/>
      <c r="M44" s="2530" t="s">
        <v>2778</v>
      </c>
      <c r="N44" s="2530"/>
      <c r="O44" s="2266"/>
      <c r="P44" s="2266"/>
      <c r="Q44" s="2266"/>
      <c r="R44" s="2266"/>
      <c r="S44" s="2266"/>
      <c r="T44" s="338"/>
      <c r="V44" s="1076"/>
      <c r="W44" s="3660"/>
      <c r="X44" s="366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4" customHeight="1">
      <c r="B47" s="294" t="s">
        <v>1962</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541842</v>
      </c>
      <c r="F47" s="350">
        <f>G47/B44</f>
        <v>0.05</v>
      </c>
      <c r="G47" s="3654">
        <f>E47</f>
        <v>541842</v>
      </c>
      <c r="H47" s="3655"/>
      <c r="I47" s="294"/>
      <c r="J47" s="3654">
        <f>G47</f>
        <v>541842</v>
      </c>
      <c r="K47" s="3655"/>
      <c r="L47" s="2279"/>
      <c r="M47" s="3654"/>
      <c r="N47" s="3655"/>
      <c r="O47" s="294"/>
      <c r="P47" s="3654"/>
      <c r="Q47" s="3655"/>
      <c r="R47" s="294"/>
      <c r="S47" s="3654"/>
      <c r="T47" s="3655"/>
      <c r="V47" s="3637"/>
      <c r="W47" s="3638"/>
      <c r="X47" s="363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69"/>
      <c r="I49" s="2269"/>
      <c r="J49" s="2508" t="s">
        <v>271</v>
      </c>
      <c r="K49" s="2509"/>
      <c r="L49" s="345"/>
      <c r="M49" s="2519" t="s">
        <v>489</v>
      </c>
      <c r="N49" s="2520"/>
      <c r="P49" s="2508" t="s">
        <v>272</v>
      </c>
      <c r="Q49" s="2509"/>
      <c r="S49" s="2508" t="s">
        <v>273</v>
      </c>
      <c r="T49" s="2509"/>
      <c r="V49" s="1076"/>
      <c r="W49" s="423" t="str">
        <f>B49</f>
        <v>DEVELOPMENT BUDGET (cont'd)</v>
      </c>
    </row>
    <row r="50" spans="1:24" s="294" customFormat="1" ht="18.75" customHeight="1" thickBot="1">
      <c r="G50" s="2523" t="s">
        <v>101</v>
      </c>
      <c r="H50" s="2524"/>
      <c r="J50" s="2510"/>
      <c r="K50" s="2511"/>
      <c r="L50" s="345"/>
      <c r="M50" s="2521"/>
      <c r="N50" s="2522"/>
      <c r="P50" s="2510"/>
      <c r="Q50" s="2511"/>
      <c r="S50" s="2510"/>
      <c r="T50" s="2511"/>
      <c r="V50" s="1076"/>
      <c r="W50" s="2465" t="s">
        <v>2684</v>
      </c>
      <c r="X50" s="246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568"/>
      <c r="H52" s="3569"/>
      <c r="J52" s="3568"/>
      <c r="K52" s="3569"/>
      <c r="L52" s="2279"/>
      <c r="M52" s="3568"/>
      <c r="N52" s="3569"/>
      <c r="P52" s="3568"/>
      <c r="Q52" s="3569"/>
      <c r="S52" s="3568"/>
      <c r="T52" s="3569"/>
      <c r="V52" s="3662"/>
      <c r="W52" s="3638"/>
      <c r="X52" s="3639"/>
    </row>
    <row r="53" spans="1:24" s="294" customFormat="1" ht="12" customHeight="1">
      <c r="B53" s="294" t="s">
        <v>3731</v>
      </c>
      <c r="G53" s="3577"/>
      <c r="H53" s="3578"/>
      <c r="J53" s="3577"/>
      <c r="K53" s="3578"/>
      <c r="L53" s="2279"/>
      <c r="M53" s="3577"/>
      <c r="N53" s="3578"/>
      <c r="P53" s="3577"/>
      <c r="Q53" s="3578"/>
      <c r="S53" s="3577"/>
      <c r="T53" s="3578"/>
      <c r="V53" s="3662"/>
      <c r="W53" s="3638"/>
      <c r="X53" s="3639"/>
    </row>
    <row r="54" spans="1:24" s="294" customFormat="1" ht="12" customHeight="1">
      <c r="B54" s="294" t="s">
        <v>2347</v>
      </c>
      <c r="G54" s="3577">
        <v>63998</v>
      </c>
      <c r="H54" s="3578"/>
      <c r="J54" s="3577">
        <f>G54</f>
        <v>63998</v>
      </c>
      <c r="K54" s="3578"/>
      <c r="L54" s="2279"/>
      <c r="M54" s="3577"/>
      <c r="N54" s="3578"/>
      <c r="P54" s="3577"/>
      <c r="Q54" s="3578"/>
      <c r="S54" s="3577"/>
      <c r="T54" s="3578"/>
      <c r="V54" s="3662"/>
      <c r="W54" s="3638"/>
      <c r="X54" s="3639"/>
    </row>
    <row r="55" spans="1:24" s="294" customFormat="1" ht="12" customHeight="1">
      <c r="B55" s="294" t="s">
        <v>2348</v>
      </c>
      <c r="G55" s="3577">
        <v>313207</v>
      </c>
      <c r="H55" s="3578"/>
      <c r="J55" s="3577">
        <v>208519</v>
      </c>
      <c r="K55" s="3578"/>
      <c r="L55" s="2279"/>
      <c r="M55" s="3577"/>
      <c r="N55" s="3578"/>
      <c r="P55" s="3577"/>
      <c r="Q55" s="3578"/>
      <c r="S55" s="3577">
        <f>G55-J55</f>
        <v>104688</v>
      </c>
      <c r="T55" s="3578"/>
      <c r="V55" s="3662"/>
      <c r="W55" s="3638"/>
      <c r="X55" s="3639"/>
    </row>
    <row r="56" spans="1:24" s="294" customFormat="1" ht="12" customHeight="1">
      <c r="B56" s="294" t="s">
        <v>2349</v>
      </c>
      <c r="G56" s="3577">
        <v>25000</v>
      </c>
      <c r="H56" s="3578"/>
      <c r="J56" s="3577">
        <v>25000</v>
      </c>
      <c r="K56" s="3578"/>
      <c r="L56" s="2279"/>
      <c r="M56" s="3577"/>
      <c r="N56" s="3578"/>
      <c r="P56" s="3577"/>
      <c r="Q56" s="3578"/>
      <c r="S56" s="3577"/>
      <c r="T56" s="3578"/>
      <c r="V56" s="3662"/>
      <c r="W56" s="3638"/>
      <c r="X56" s="3639"/>
    </row>
    <row r="57" spans="1:24" s="294" customFormat="1" ht="12" customHeight="1">
      <c r="B57" s="294" t="s">
        <v>2688</v>
      </c>
      <c r="G57" s="3577">
        <v>15000</v>
      </c>
      <c r="H57" s="3578"/>
      <c r="J57" s="3577">
        <v>15000</v>
      </c>
      <c r="K57" s="3578"/>
      <c r="L57" s="2279"/>
      <c r="M57" s="3577"/>
      <c r="N57" s="3578"/>
      <c r="P57" s="3577"/>
      <c r="Q57" s="3578"/>
      <c r="S57" s="3577"/>
      <c r="T57" s="3578"/>
      <c r="V57" s="3662"/>
      <c r="W57" s="3638"/>
      <c r="X57" s="3639"/>
    </row>
    <row r="58" spans="1:24" s="294" customFormat="1" ht="12" customHeight="1">
      <c r="B58" s="294" t="s">
        <v>723</v>
      </c>
      <c r="G58" s="3577">
        <v>10000</v>
      </c>
      <c r="H58" s="3578"/>
      <c r="J58" s="3577">
        <v>10000</v>
      </c>
      <c r="K58" s="3578"/>
      <c r="L58" s="2279"/>
      <c r="M58" s="3577"/>
      <c r="N58" s="3578"/>
      <c r="P58" s="3577"/>
      <c r="Q58" s="3578"/>
      <c r="S58" s="3577"/>
      <c r="T58" s="3578"/>
      <c r="V58" s="3662"/>
      <c r="W58" s="3638"/>
      <c r="X58" s="3639"/>
    </row>
    <row r="59" spans="1:24" s="294" customFormat="1" ht="12" customHeight="1">
      <c r="B59" s="294" t="s">
        <v>2350</v>
      </c>
      <c r="G59" s="3577">
        <v>49705</v>
      </c>
      <c r="H59" s="3578"/>
      <c r="J59" s="3577">
        <f>G59</f>
        <v>49705</v>
      </c>
      <c r="K59" s="3578"/>
      <c r="L59" s="2279"/>
      <c r="M59" s="3577"/>
      <c r="N59" s="3578"/>
      <c r="P59" s="3577"/>
      <c r="Q59" s="3578"/>
      <c r="S59" s="3577"/>
      <c r="T59" s="3578"/>
      <c r="V59" s="3662"/>
      <c r="W59" s="3638"/>
      <c r="X59" s="3639"/>
    </row>
    <row r="60" spans="1:24" s="294" customFormat="1" ht="12" customHeight="1">
      <c r="B60" s="294" t="s">
        <v>1276</v>
      </c>
      <c r="G60" s="3577">
        <v>80000</v>
      </c>
      <c r="H60" s="3578"/>
      <c r="J60" s="3577">
        <v>8000</v>
      </c>
      <c r="K60" s="3578"/>
      <c r="L60" s="2279"/>
      <c r="M60" s="3577"/>
      <c r="N60" s="3578"/>
      <c r="P60" s="3577"/>
      <c r="Q60" s="3578"/>
      <c r="S60" s="3577">
        <f>G60-J60</f>
        <v>72000</v>
      </c>
      <c r="T60" s="3578"/>
      <c r="V60" s="3662"/>
      <c r="W60" s="3638"/>
      <c r="X60" s="3639"/>
    </row>
    <row r="61" spans="1:24" s="294" customFormat="1" ht="12" customHeight="1">
      <c r="B61" s="352" t="s">
        <v>1153</v>
      </c>
      <c r="D61" s="350"/>
      <c r="E61" s="350"/>
      <c r="F61" s="351"/>
      <c r="G61" s="3577">
        <v>63184</v>
      </c>
      <c r="H61" s="3578"/>
      <c r="I61" s="312"/>
      <c r="J61" s="3577">
        <f>G61</f>
        <v>63184</v>
      </c>
      <c r="K61" s="3578"/>
      <c r="L61" s="2279"/>
      <c r="M61" s="3577"/>
      <c r="N61" s="3578"/>
      <c r="P61" s="3577"/>
      <c r="Q61" s="3578"/>
      <c r="S61" s="3577"/>
      <c r="T61" s="3578"/>
      <c r="V61" s="3662"/>
      <c r="W61" s="3638"/>
      <c r="X61" s="3639"/>
    </row>
    <row r="62" spans="1:24" s="294" customFormat="1" ht="12" customHeight="1">
      <c r="A62" s="372" t="str">
        <f>IF(AND(G62&gt;0,OR(C62="",C62="&lt;Enter detailed description here; use Comments section if needed&gt;")),"X","")</f>
        <v/>
      </c>
      <c r="B62" s="294" t="s">
        <v>741</v>
      </c>
      <c r="C62" s="3663" t="s">
        <v>3709</v>
      </c>
      <c r="D62" s="3663"/>
      <c r="E62" s="3663"/>
      <c r="F62" s="3664"/>
      <c r="G62" s="3577"/>
      <c r="H62" s="3578"/>
      <c r="J62" s="3577"/>
      <c r="K62" s="3578"/>
      <c r="L62" s="2279"/>
      <c r="M62" s="3577"/>
      <c r="N62" s="3578"/>
      <c r="P62" s="3577"/>
      <c r="Q62" s="3578"/>
      <c r="S62" s="3577"/>
      <c r="T62" s="3578"/>
      <c r="U62" s="371" t="str">
        <f>IF(AND(G62&gt;0,OR(C62="",C62="&lt;Enter detailed description here; use Comments section if needed&gt;")),"NO DESCRIPTION PROVIDED - please enter detailed description in Other box at left; use Comments section below if needed.","")</f>
        <v/>
      </c>
      <c r="V62" s="3662"/>
      <c r="W62" s="3638"/>
      <c r="X62" s="3639"/>
    </row>
    <row r="63" spans="1:24" s="294" customFormat="1" ht="12" customHeight="1" thickBot="1">
      <c r="A63" s="372" t="str">
        <f>IF(AND(G63&gt;0,OR(C63="",C63="&lt;Enter detailed description here; use Comments section if needed&gt;")),"X","")</f>
        <v/>
      </c>
      <c r="B63" s="294" t="s">
        <v>741</v>
      </c>
      <c r="C63" s="3665" t="s">
        <v>3709</v>
      </c>
      <c r="D63" s="3665"/>
      <c r="E63" s="3665"/>
      <c r="F63" s="3666"/>
      <c r="G63" s="3586"/>
      <c r="H63" s="3587"/>
      <c r="J63" s="3586"/>
      <c r="K63" s="3587"/>
      <c r="L63" s="2279"/>
      <c r="M63" s="3586"/>
      <c r="N63" s="3587"/>
      <c r="P63" s="3586"/>
      <c r="Q63" s="3587"/>
      <c r="S63" s="3586"/>
      <c r="T63" s="3587"/>
      <c r="U63" s="371" t="str">
        <f>IF(AND(G63&gt;0,OR(C63="",C63="&lt;Enter detailed description here; use Comments section if needed&gt;")),"NO DESCRIPTION PROVIDED - please enter detailed description in Other box at left; use Comments section below if needed.","")</f>
        <v/>
      </c>
      <c r="V63" s="3662"/>
      <c r="W63" s="3645"/>
      <c r="X63" s="3646"/>
    </row>
    <row r="64" spans="1:24" s="294" customFormat="1" ht="12" customHeight="1" thickTop="1">
      <c r="F64" s="346" t="s">
        <v>191</v>
      </c>
      <c r="G64" s="2512">
        <f>SUM(G52:H63)</f>
        <v>620094</v>
      </c>
      <c r="H64" s="2513"/>
      <c r="J64" s="2512">
        <f>SUM(J52:K63)</f>
        <v>443406</v>
      </c>
      <c r="K64" s="2513"/>
      <c r="L64" s="348"/>
      <c r="M64" s="2512">
        <f>SUM(M52:N63)</f>
        <v>0</v>
      </c>
      <c r="N64" s="2513"/>
      <c r="P64" s="2512">
        <f>SUM(P52:Q63)</f>
        <v>0</v>
      </c>
      <c r="Q64" s="2513"/>
      <c r="S64" s="2512">
        <f>SUM(S52:T63)</f>
        <v>176688</v>
      </c>
      <c r="T64" s="2513"/>
      <c r="V64" s="3667">
        <f>SUM(V52:V63)</f>
        <v>0</v>
      </c>
      <c r="W64" s="3648"/>
      <c r="X64" s="3649"/>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568">
        <v>120000</v>
      </c>
      <c r="H66" s="3569"/>
      <c r="J66" s="3568">
        <v>120000</v>
      </c>
      <c r="K66" s="3569"/>
      <c r="L66" s="2279"/>
      <c r="M66" s="3568"/>
      <c r="N66" s="3569"/>
      <c r="P66" s="3568"/>
      <c r="Q66" s="3569"/>
      <c r="S66" s="3568"/>
      <c r="T66" s="3569"/>
      <c r="V66" s="3637"/>
      <c r="W66" s="3638"/>
      <c r="X66" s="3639"/>
    </row>
    <row r="67" spans="1:24" s="294" customFormat="1" ht="12" customHeight="1">
      <c r="B67" s="294" t="s">
        <v>478</v>
      </c>
      <c r="G67" s="3577">
        <v>50000</v>
      </c>
      <c r="H67" s="3578"/>
      <c r="J67" s="3577">
        <v>50000</v>
      </c>
      <c r="K67" s="3578"/>
      <c r="L67" s="2279"/>
      <c r="M67" s="3577"/>
      <c r="N67" s="3578"/>
      <c r="P67" s="3577"/>
      <c r="Q67" s="3578"/>
      <c r="S67" s="3577"/>
      <c r="T67" s="3578"/>
      <c r="V67" s="3637"/>
      <c r="W67" s="3638"/>
      <c r="X67" s="3639"/>
    </row>
    <row r="68" spans="1:24" s="294" customFormat="1" ht="12" customHeight="1">
      <c r="B68" s="294" t="s">
        <v>1127</v>
      </c>
      <c r="D68" s="306" t="s">
        <v>3844</v>
      </c>
      <c r="E68" s="1068">
        <f>'DCA Underwriting Assumptions'!R76</f>
        <v>20000</v>
      </c>
      <c r="F68" s="1069" t="str">
        <f>IF(G68&gt;E68,"CHECK!!!","")</f>
        <v/>
      </c>
      <c r="G68" s="3577">
        <v>20000</v>
      </c>
      <c r="H68" s="3578"/>
      <c r="J68" s="3577">
        <v>20000</v>
      </c>
      <c r="K68" s="3578"/>
      <c r="L68" s="2279"/>
      <c r="M68" s="3577"/>
      <c r="N68" s="3578"/>
      <c r="P68" s="3577"/>
      <c r="Q68" s="3578"/>
      <c r="S68" s="3577"/>
      <c r="T68" s="3578"/>
      <c r="V68" s="3637"/>
      <c r="W68" s="3638"/>
      <c r="X68" s="3639"/>
    </row>
    <row r="69" spans="1:24" s="294" customFormat="1" ht="12" customHeight="1">
      <c r="B69" s="294" t="s">
        <v>1128</v>
      </c>
      <c r="G69" s="3577">
        <v>15000</v>
      </c>
      <c r="H69" s="3578"/>
      <c r="J69" s="3577">
        <v>15000</v>
      </c>
      <c r="K69" s="3578"/>
      <c r="L69" s="2279"/>
      <c r="M69" s="3577"/>
      <c r="N69" s="3578"/>
      <c r="P69" s="3577"/>
      <c r="Q69" s="3578"/>
      <c r="S69" s="3577"/>
      <c r="T69" s="3578"/>
      <c r="V69" s="3637"/>
      <c r="W69" s="3638"/>
      <c r="X69" s="3639"/>
    </row>
    <row r="70" spans="1:24" s="294" customFormat="1" ht="12" customHeight="1">
      <c r="B70" s="294" t="s">
        <v>1129</v>
      </c>
      <c r="G70" s="3577">
        <v>7500</v>
      </c>
      <c r="H70" s="3578"/>
      <c r="J70" s="3577">
        <v>7500</v>
      </c>
      <c r="K70" s="3578"/>
      <c r="L70" s="2279"/>
      <c r="M70" s="3577"/>
      <c r="N70" s="3578"/>
      <c r="P70" s="3577"/>
      <c r="Q70" s="3578"/>
      <c r="S70" s="3577"/>
      <c r="T70" s="3578"/>
      <c r="V70" s="3637"/>
      <c r="W70" s="3638"/>
      <c r="X70" s="3639"/>
    </row>
    <row r="71" spans="1:24" s="294" customFormat="1" ht="12" customHeight="1">
      <c r="B71" s="294" t="s">
        <v>1130</v>
      </c>
      <c r="G71" s="3577">
        <v>35000</v>
      </c>
      <c r="H71" s="3578"/>
      <c r="J71" s="3577">
        <v>35000</v>
      </c>
      <c r="K71" s="3578"/>
      <c r="L71" s="2279"/>
      <c r="M71" s="3577"/>
      <c r="N71" s="3578"/>
      <c r="P71" s="3577"/>
      <c r="Q71" s="3578"/>
      <c r="S71" s="3577"/>
      <c r="T71" s="3578"/>
      <c r="V71" s="3637"/>
      <c r="W71" s="3638"/>
      <c r="X71" s="3639"/>
    </row>
    <row r="72" spans="1:24" s="294" customFormat="1" ht="12" customHeight="1">
      <c r="B72" s="294" t="s">
        <v>479</v>
      </c>
      <c r="G72" s="3577">
        <v>92400</v>
      </c>
      <c r="H72" s="3578"/>
      <c r="J72" s="3577">
        <f>G72</f>
        <v>92400</v>
      </c>
      <c r="K72" s="3578"/>
      <c r="L72" s="2279"/>
      <c r="M72" s="3577"/>
      <c r="N72" s="3578"/>
      <c r="P72" s="3577"/>
      <c r="Q72" s="3578"/>
      <c r="S72" s="3577"/>
      <c r="T72" s="3578"/>
      <c r="V72" s="3637"/>
      <c r="W72" s="3638"/>
      <c r="X72" s="3639"/>
    </row>
    <row r="73" spans="1:24" s="294" customFormat="1" ht="12" customHeight="1">
      <c r="B73" s="294" t="s">
        <v>480</v>
      </c>
      <c r="G73" s="3577">
        <v>120000</v>
      </c>
      <c r="H73" s="3578"/>
      <c r="J73" s="3577">
        <f>G73</f>
        <v>120000</v>
      </c>
      <c r="K73" s="3578"/>
      <c r="L73" s="2279"/>
      <c r="M73" s="3577"/>
      <c r="N73" s="3578"/>
      <c r="P73" s="3577"/>
      <c r="Q73" s="3578"/>
      <c r="S73" s="3577"/>
      <c r="T73" s="3578"/>
      <c r="V73" s="3637"/>
      <c r="W73" s="3638"/>
      <c r="X73" s="3639"/>
    </row>
    <row r="74" spans="1:24" s="294" customFormat="1" ht="12" customHeight="1">
      <c r="B74" s="294" t="s">
        <v>2050</v>
      </c>
      <c r="G74" s="3577">
        <v>30000</v>
      </c>
      <c r="H74" s="3578"/>
      <c r="J74" s="3577">
        <v>30000</v>
      </c>
      <c r="K74" s="3578"/>
      <c r="L74" s="2279"/>
      <c r="M74" s="3577"/>
      <c r="N74" s="3578"/>
      <c r="P74" s="3577"/>
      <c r="Q74" s="3578"/>
      <c r="S74" s="3577"/>
      <c r="T74" s="3578"/>
      <c r="V74" s="3637"/>
      <c r="W74" s="3638"/>
      <c r="X74" s="3639"/>
    </row>
    <row r="75" spans="1:24" s="294" customFormat="1" ht="12" customHeight="1">
      <c r="B75" s="294" t="s">
        <v>1277</v>
      </c>
      <c r="G75" s="3577">
        <v>20000</v>
      </c>
      <c r="H75" s="3578"/>
      <c r="J75" s="3577">
        <v>20000</v>
      </c>
      <c r="K75" s="3578"/>
      <c r="L75" s="2279"/>
      <c r="M75" s="3577"/>
      <c r="N75" s="3578"/>
      <c r="P75" s="3577"/>
      <c r="Q75" s="3578"/>
      <c r="S75" s="3577"/>
      <c r="T75" s="3578"/>
      <c r="V75" s="3637"/>
      <c r="W75" s="3638"/>
      <c r="X75" s="3639"/>
    </row>
    <row r="76" spans="1:24" s="294" customFormat="1" ht="12" customHeight="1" thickBot="1">
      <c r="A76" s="372" t="str">
        <f>IF(AND(G76&gt;0,OR(C76="",C76="&lt;Enter detailed description here; use Comments section if needed&gt;")),"X","")</f>
        <v/>
      </c>
      <c r="B76" s="294" t="s">
        <v>741</v>
      </c>
      <c r="C76" s="3640" t="s">
        <v>3709</v>
      </c>
      <c r="D76" s="3640"/>
      <c r="E76" s="3640"/>
      <c r="F76" s="3641"/>
      <c r="G76" s="3586"/>
      <c r="H76" s="3587"/>
      <c r="J76" s="3586"/>
      <c r="K76" s="3587"/>
      <c r="L76" s="2279"/>
      <c r="M76" s="3586"/>
      <c r="N76" s="3587"/>
      <c r="P76" s="3586"/>
      <c r="Q76" s="3587"/>
      <c r="S76" s="3586"/>
      <c r="T76" s="3587"/>
      <c r="U76" s="371" t="str">
        <f>IF(AND(G76&gt;0,OR(C76="",C76="&lt;Enter detailed description here; use Comments section if needed&gt;")),"NO DESCRIPTION PROVIDED - please enter detailed description in Other box at left; use Comments section below if needed.","")</f>
        <v/>
      </c>
      <c r="V76" s="3637"/>
      <c r="W76" s="3645"/>
      <c r="X76" s="3646"/>
    </row>
    <row r="77" spans="1:24" s="294" customFormat="1" ht="12" customHeight="1" thickTop="1">
      <c r="F77" s="346" t="s">
        <v>191</v>
      </c>
      <c r="G77" s="2512">
        <f>SUM(G66:H76)</f>
        <v>509900</v>
      </c>
      <c r="H77" s="2513"/>
      <c r="J77" s="2512">
        <f>SUM(J66:K76)</f>
        <v>509900</v>
      </c>
      <c r="K77" s="2513"/>
      <c r="L77" s="348"/>
      <c r="M77" s="2512">
        <f>SUM(M66:N76)</f>
        <v>0</v>
      </c>
      <c r="N77" s="2513"/>
      <c r="P77" s="2512">
        <f>SUM(P66:Q76)</f>
        <v>0</v>
      </c>
      <c r="Q77" s="2513"/>
      <c r="S77" s="2512">
        <f>SUM(S66:T76)</f>
        <v>0</v>
      </c>
      <c r="T77" s="2513"/>
      <c r="V77" s="3647">
        <f>SUM(V66:V76)</f>
        <v>0</v>
      </c>
      <c r="W77" s="3648"/>
      <c r="X77" s="3649"/>
    </row>
    <row r="78" spans="1:24" ht="12" customHeight="1">
      <c r="A78" s="294"/>
      <c r="B78" s="296" t="s">
        <v>1269</v>
      </c>
      <c r="C78" s="294"/>
      <c r="D78" s="907" t="s">
        <v>3732</v>
      </c>
      <c r="E78" s="985">
        <f>G83/'Part VI-Revenues &amp; Expenses'!$O$67</f>
        <v>3147.6190476190477</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568">
        <v>25000</v>
      </c>
      <c r="H79" s="3569"/>
      <c r="J79" s="3568">
        <v>25000</v>
      </c>
      <c r="K79" s="3569"/>
      <c r="L79" s="2279"/>
      <c r="M79" s="3568"/>
      <c r="N79" s="3569"/>
      <c r="P79" s="3568"/>
      <c r="Q79" s="3569"/>
      <c r="S79" s="3568"/>
      <c r="T79" s="3569"/>
      <c r="V79" s="3637"/>
      <c r="W79" s="3638"/>
      <c r="X79" s="3639"/>
    </row>
    <row r="80" spans="1:24" s="294" customFormat="1" ht="12" customHeight="1">
      <c r="B80" s="294" t="s">
        <v>1271</v>
      </c>
      <c r="G80" s="3577">
        <v>100800</v>
      </c>
      <c r="H80" s="3578"/>
      <c r="J80" s="3577">
        <f>G80</f>
        <v>100800</v>
      </c>
      <c r="K80" s="3578"/>
      <c r="L80" s="2279"/>
      <c r="M80" s="3577"/>
      <c r="N80" s="3578"/>
      <c r="P80" s="3577"/>
      <c r="Q80" s="3578"/>
      <c r="S80" s="3577"/>
      <c r="T80" s="3578"/>
      <c r="V80" s="3637"/>
      <c r="W80" s="3638"/>
      <c r="X80" s="3639"/>
    </row>
    <row r="81" spans="1:24" s="294" customFormat="1" ht="12" customHeight="1">
      <c r="B81" s="294" t="s">
        <v>1272</v>
      </c>
      <c r="D81" s="354" t="s">
        <v>1403</v>
      </c>
      <c r="E81" s="3668" t="s">
        <v>2993</v>
      </c>
      <c r="G81" s="3577">
        <v>37800</v>
      </c>
      <c r="H81" s="3578"/>
      <c r="I81" s="312"/>
      <c r="J81" s="3577">
        <f>G81</f>
        <v>37800</v>
      </c>
      <c r="K81" s="3578"/>
      <c r="L81" s="2279"/>
      <c r="M81" s="3577"/>
      <c r="N81" s="3578"/>
      <c r="P81" s="3577"/>
      <c r="Q81" s="3578"/>
      <c r="S81" s="3577"/>
      <c r="T81" s="3578"/>
      <c r="V81" s="3637"/>
      <c r="W81" s="3638"/>
      <c r="X81" s="3639"/>
    </row>
    <row r="82" spans="1:24" s="294" customFormat="1" ht="12" customHeight="1" thickBot="1">
      <c r="B82" s="294" t="s">
        <v>1273</v>
      </c>
      <c r="D82" s="354" t="s">
        <v>1403</v>
      </c>
      <c r="E82" s="3669" t="s">
        <v>2993</v>
      </c>
      <c r="G82" s="3586">
        <v>100800</v>
      </c>
      <c r="H82" s="3587"/>
      <c r="I82" s="312"/>
      <c r="J82" s="3586">
        <f>G82</f>
        <v>100800</v>
      </c>
      <c r="K82" s="3587"/>
      <c r="L82" s="2279"/>
      <c r="M82" s="3586"/>
      <c r="N82" s="3587"/>
      <c r="P82" s="3586"/>
      <c r="Q82" s="3587"/>
      <c r="S82" s="3586"/>
      <c r="T82" s="3587"/>
      <c r="V82" s="3637"/>
      <c r="W82" s="3645"/>
      <c r="X82" s="3646"/>
    </row>
    <row r="83" spans="1:24" s="294" customFormat="1" ht="12" customHeight="1" thickTop="1">
      <c r="F83" s="346" t="s">
        <v>191</v>
      </c>
      <c r="G83" s="2512">
        <f>SUM(G79:H82)</f>
        <v>264400</v>
      </c>
      <c r="H83" s="2513"/>
      <c r="J83" s="2512">
        <f>SUM(J79:K82)</f>
        <v>264400</v>
      </c>
      <c r="K83" s="2513"/>
      <c r="L83" s="348"/>
      <c r="M83" s="2512">
        <f>SUM(M79:N82)</f>
        <v>0</v>
      </c>
      <c r="N83" s="2513"/>
      <c r="P83" s="2512">
        <f>SUM(P79:Q82)</f>
        <v>0</v>
      </c>
      <c r="Q83" s="2513"/>
      <c r="S83" s="2512">
        <f>SUM(S79:T82)</f>
        <v>0</v>
      </c>
      <c r="T83" s="2513"/>
      <c r="V83" s="3647">
        <f>SUM(V79:V82)</f>
        <v>0</v>
      </c>
      <c r="W83" s="3648"/>
      <c r="X83" s="3649"/>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568"/>
      <c r="H85" s="3569"/>
      <c r="J85" s="2518"/>
      <c r="K85" s="2518"/>
      <c r="L85" s="2279"/>
      <c r="M85" s="2518"/>
      <c r="N85" s="2518"/>
      <c r="P85" s="2518"/>
      <c r="Q85" s="2518"/>
      <c r="S85" s="3568"/>
      <c r="T85" s="3569"/>
      <c r="V85" s="3637"/>
      <c r="W85" s="3638"/>
      <c r="X85" s="3639"/>
    </row>
    <row r="86" spans="1:24" s="294" customFormat="1" ht="12" customHeight="1">
      <c r="B86" s="294" t="s">
        <v>1275</v>
      </c>
      <c r="G86" s="3577"/>
      <c r="H86" s="3578"/>
      <c r="J86" s="2518"/>
      <c r="K86" s="2518"/>
      <c r="L86" s="2279"/>
      <c r="M86" s="2518"/>
      <c r="N86" s="2518"/>
      <c r="P86" s="2518"/>
      <c r="Q86" s="2518"/>
      <c r="S86" s="3577"/>
      <c r="T86" s="3578"/>
      <c r="V86" s="3637"/>
      <c r="W86" s="3638"/>
      <c r="X86" s="3639"/>
    </row>
    <row r="87" spans="1:24" s="294" customFormat="1" ht="12" customHeight="1">
      <c r="B87" s="294" t="s">
        <v>1276</v>
      </c>
      <c r="G87" s="3577"/>
      <c r="H87" s="3578"/>
      <c r="J87" s="2518"/>
      <c r="K87" s="2518"/>
      <c r="L87" s="2279"/>
      <c r="M87" s="2518"/>
      <c r="N87" s="2518"/>
      <c r="P87" s="2518"/>
      <c r="Q87" s="2518"/>
      <c r="S87" s="3577"/>
      <c r="T87" s="3578"/>
      <c r="V87" s="3637"/>
      <c r="W87" s="3638"/>
      <c r="X87" s="3639"/>
    </row>
    <row r="88" spans="1:24" s="294" customFormat="1" ht="12" customHeight="1">
      <c r="B88" s="294" t="s">
        <v>1278</v>
      </c>
      <c r="G88" s="3577"/>
      <c r="H88" s="3578"/>
      <c r="J88" s="2518"/>
      <c r="K88" s="2518"/>
      <c r="L88" s="2279"/>
      <c r="M88" s="2518"/>
      <c r="N88" s="2518"/>
      <c r="P88" s="2518"/>
      <c r="Q88" s="2518"/>
      <c r="S88" s="3577"/>
      <c r="T88" s="3578"/>
      <c r="V88" s="3637"/>
      <c r="W88" s="3638"/>
      <c r="X88" s="3639"/>
    </row>
    <row r="89" spans="1:24" s="294" customFormat="1" ht="12" customHeight="1">
      <c r="B89" s="294" t="s">
        <v>2299</v>
      </c>
      <c r="G89" s="3577"/>
      <c r="H89" s="3578"/>
      <c r="J89" s="2518"/>
      <c r="K89" s="2518"/>
      <c r="L89" s="2279"/>
      <c r="M89" s="2518"/>
      <c r="N89" s="2518"/>
      <c r="P89" s="2518"/>
      <c r="Q89" s="2518"/>
      <c r="S89" s="3577"/>
      <c r="T89" s="3578"/>
      <c r="V89" s="3637"/>
      <c r="W89" s="3638"/>
      <c r="X89" s="3639"/>
    </row>
    <row r="90" spans="1:24" s="294" customFormat="1" ht="12" customHeight="1" thickBot="1">
      <c r="A90" s="372" t="str">
        <f>IF(AND(G90&gt;0,OR(C90="",C90="&lt;Enter detailed description here; use Comments section if needed&gt;")),"X","")</f>
        <v/>
      </c>
      <c r="B90" s="294" t="s">
        <v>741</v>
      </c>
      <c r="C90" s="3640" t="s">
        <v>3709</v>
      </c>
      <c r="D90" s="3640"/>
      <c r="E90" s="3640"/>
      <c r="F90" s="3641"/>
      <c r="G90" s="3586"/>
      <c r="H90" s="3587"/>
      <c r="J90" s="2518"/>
      <c r="K90" s="2518"/>
      <c r="L90" s="2279"/>
      <c r="M90" s="2518"/>
      <c r="N90" s="2518"/>
      <c r="P90" s="2518"/>
      <c r="Q90" s="2518"/>
      <c r="S90" s="3586">
        <f>G90</f>
        <v>0</v>
      </c>
      <c r="T90" s="3587"/>
      <c r="U90" s="371" t="str">
        <f>IF(AND(G90&gt;0,OR(C90="",C90="&lt;Enter detailed description here; use Comments section if needed&gt;")),"NO DESCRIPTION PROVIDED - please enter detailed description in Other box at left; use Comments section below if needed.","")</f>
        <v/>
      </c>
      <c r="V90" s="3637"/>
      <c r="W90" s="3645"/>
      <c r="X90" s="3646"/>
    </row>
    <row r="91" spans="1:24" s="294" customFormat="1" ht="12" customHeight="1" thickTop="1">
      <c r="F91" s="346" t="s">
        <v>191</v>
      </c>
      <c r="G91" s="2512">
        <f>SUM(G85:H90)</f>
        <v>0</v>
      </c>
      <c r="H91" s="2513"/>
      <c r="J91" s="2518"/>
      <c r="K91" s="2518"/>
      <c r="L91" s="348"/>
      <c r="M91" s="2518"/>
      <c r="N91" s="2518"/>
      <c r="P91" s="2518"/>
      <c r="Q91" s="2518"/>
      <c r="S91" s="2512">
        <f>SUM(S85:T90)</f>
        <v>0</v>
      </c>
      <c r="T91" s="2513"/>
      <c r="V91" s="3647">
        <f>SUM(V85:V90)</f>
        <v>0</v>
      </c>
      <c r="W91" s="3648"/>
      <c r="X91" s="364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69"/>
      <c r="I93" s="2269"/>
      <c r="J93" s="2508" t="s">
        <v>271</v>
      </c>
      <c r="K93" s="2509"/>
      <c r="L93" s="345"/>
      <c r="M93" s="2519" t="s">
        <v>489</v>
      </c>
      <c r="N93" s="2520"/>
      <c r="P93" s="2508" t="s">
        <v>272</v>
      </c>
      <c r="Q93" s="2509"/>
      <c r="S93" s="2508" t="s">
        <v>273</v>
      </c>
      <c r="T93" s="2509"/>
      <c r="V93" s="423" t="str">
        <f>B93</f>
        <v>DEVELOPMENT BUDGET  (cont'd)</v>
      </c>
    </row>
    <row r="94" spans="1:24" s="294" customFormat="1" ht="18" customHeight="1" thickBot="1">
      <c r="G94" s="2523" t="s">
        <v>101</v>
      </c>
      <c r="H94" s="2524"/>
      <c r="J94" s="2510"/>
      <c r="K94" s="2511"/>
      <c r="L94" s="345"/>
      <c r="M94" s="2521"/>
      <c r="N94" s="2522"/>
      <c r="P94" s="2510"/>
      <c r="Q94" s="2511"/>
      <c r="S94" s="2510"/>
      <c r="T94" s="2511"/>
      <c r="V94" s="332" t="s">
        <v>2684</v>
      </c>
      <c r="X94" s="332"/>
    </row>
    <row r="95" spans="1:24" s="294" customFormat="1" ht="13.1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4" customHeight="1">
      <c r="B96" s="294" t="str">
        <f>CONCATENATE("DCA HOME Loan Consent Pre-Application Fee ($",'DCA Underwriting Assumptions'!$Q$77, " FP/JV, $",'DCA Underwriting Assumptions'!$Q$78, " NP)")</f>
        <v>DCA HOME Loan Consent Pre-Application Fee ($1000 FP/JV, $500 NP)</v>
      </c>
      <c r="G96" s="3568"/>
      <c r="H96" s="3569"/>
      <c r="J96" s="348"/>
      <c r="K96" s="348"/>
      <c r="L96" s="2279"/>
      <c r="M96" s="348"/>
      <c r="N96" s="348"/>
      <c r="P96" s="348"/>
      <c r="Q96" s="348"/>
      <c r="S96" s="3568"/>
      <c r="T96" s="3569"/>
      <c r="V96" s="3637"/>
      <c r="W96" s="3638"/>
      <c r="X96" s="3639"/>
    </row>
    <row r="97" spans="1:24" s="294" customFormat="1" ht="12.4" customHeight="1">
      <c r="B97" s="294" t="str">
        <f>CONCATENATE("Tax Credit Application Fee ($",'DCA Underwriting Assumptions'!$Q$83, " ForProf/JntVent, $",'DCA Underwriting Assumptions'!$Q$84, " NonProf)")</f>
        <v>Tax Credit Application Fee ($6500 ForProf/JntVent, $5500 NonProf)</v>
      </c>
      <c r="G97" s="3577">
        <v>6500</v>
      </c>
      <c r="H97" s="3578"/>
      <c r="J97" s="348"/>
      <c r="K97" s="348"/>
      <c r="L97" s="355"/>
      <c r="M97" s="348"/>
      <c r="N97" s="348"/>
      <c r="P97" s="348"/>
      <c r="Q97" s="348"/>
      <c r="S97" s="3577">
        <v>6500</v>
      </c>
      <c r="T97" s="3578"/>
      <c r="V97" s="3637"/>
      <c r="W97" s="3638"/>
      <c r="X97" s="3639"/>
    </row>
    <row r="98" spans="1:24" s="294" customFormat="1" ht="12.4" customHeight="1">
      <c r="B98" s="294" t="s">
        <v>3946</v>
      </c>
      <c r="G98" s="3577">
        <v>1500</v>
      </c>
      <c r="H98" s="3578"/>
      <c r="J98" s="348"/>
      <c r="K98" s="348"/>
      <c r="L98" s="355"/>
      <c r="M98" s="348"/>
      <c r="N98" s="348"/>
      <c r="O98" s="2269"/>
      <c r="P98" s="348"/>
      <c r="Q98" s="348"/>
      <c r="S98" s="3577">
        <v>1500</v>
      </c>
      <c r="T98" s="3578"/>
      <c r="V98" s="3637"/>
      <c r="W98" s="3638"/>
      <c r="X98" s="3639"/>
    </row>
    <row r="99" spans="1:24" s="294" customFormat="1" ht="12.4" customHeight="1">
      <c r="B99" s="294" t="s">
        <v>519</v>
      </c>
      <c r="E99" s="2525">
        <f ca="1">'DCA Underwriting Assumptions'!$Q$88*J175</f>
        <v>70640</v>
      </c>
      <c r="F99" s="2526"/>
      <c r="G99" s="3577">
        <f ca="1">E99</f>
        <v>70640</v>
      </c>
      <c r="H99" s="3578"/>
      <c r="J99" s="986" t="str">
        <f ca="1">IF(E99&gt;G99,"WARNING!  LIHTC Allocation Fee proposed is below minimum required.","")</f>
        <v/>
      </c>
      <c r="K99" s="348"/>
      <c r="L99" s="2279"/>
      <c r="M99" s="348"/>
      <c r="N99" s="348"/>
      <c r="O99" s="2269"/>
      <c r="P99" s="348"/>
      <c r="Q99" s="348"/>
      <c r="S99" s="3577">
        <f ca="1">G99</f>
        <v>70640</v>
      </c>
      <c r="T99" s="3578"/>
      <c r="V99" s="3637"/>
      <c r="W99" s="3638"/>
      <c r="X99" s="3639"/>
    </row>
    <row r="100" spans="1:24" s="294" customFormat="1" ht="12.4" customHeight="1">
      <c r="B100" s="294" t="s">
        <v>753</v>
      </c>
      <c r="E100" s="252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100" s="2526"/>
      <c r="G100" s="3577">
        <f>E100</f>
        <v>67200</v>
      </c>
      <c r="H100" s="3578"/>
      <c r="J100" s="986" t="str">
        <f>IF(E100&gt;G100,"WARNING!  LIHTC Compliance Fee proposed is below minimum required.","")</f>
        <v/>
      </c>
      <c r="K100" s="271"/>
      <c r="L100" s="271"/>
      <c r="M100" s="271"/>
      <c r="N100" s="271"/>
      <c r="O100" s="271"/>
      <c r="P100" s="271"/>
      <c r="Q100" s="271"/>
      <c r="S100" s="3577">
        <f>G100</f>
        <v>67200</v>
      </c>
      <c r="T100" s="3578"/>
      <c r="V100" s="3637"/>
      <c r="W100" s="3638"/>
      <c r="X100" s="3639"/>
    </row>
    <row r="101" spans="1:24" s="294" customFormat="1" ht="12.4" customHeight="1">
      <c r="B101" s="294" t="s">
        <v>4237</v>
      </c>
      <c r="F101" s="1245">
        <f>'DCA Underwriting Assumptions'!$Q$90</f>
        <v>3000</v>
      </c>
      <c r="G101" s="3577">
        <v>3000</v>
      </c>
      <c r="H101" s="3578"/>
      <c r="J101" s="271"/>
      <c r="K101" s="271"/>
      <c r="L101" s="271"/>
      <c r="M101" s="271"/>
      <c r="N101" s="271"/>
      <c r="O101" s="271"/>
      <c r="P101" s="271"/>
      <c r="Q101" s="271"/>
      <c r="S101" s="3577">
        <v>3000</v>
      </c>
      <c r="T101" s="3578"/>
      <c r="V101" s="3637"/>
      <c r="W101" s="3638"/>
      <c r="X101" s="3639"/>
    </row>
    <row r="102" spans="1:24" s="294" customFormat="1" ht="12.4" customHeight="1">
      <c r="B102" s="294" t="s">
        <v>4238</v>
      </c>
      <c r="F102" s="1245">
        <f>'DCA Underwriting Assumptions'!$Q$113</f>
        <v>3000</v>
      </c>
      <c r="G102" s="3577">
        <v>3000</v>
      </c>
      <c r="H102" s="3578"/>
      <c r="J102" s="271"/>
      <c r="K102" s="271"/>
      <c r="L102" s="271"/>
      <c r="M102" s="271"/>
      <c r="N102" s="271"/>
      <c r="O102" s="271"/>
      <c r="P102" s="271"/>
      <c r="Q102" s="271"/>
      <c r="S102" s="3577">
        <v>3000</v>
      </c>
      <c r="T102" s="3578"/>
      <c r="V102" s="3637"/>
      <c r="W102" s="3638"/>
      <c r="X102" s="3639"/>
    </row>
    <row r="103" spans="1:24" s="294" customFormat="1" ht="12.4" customHeight="1">
      <c r="A103" s="372" t="str">
        <f>IF(AND(G103&gt;0,OR(C103="",C103="&lt;Enter detailed description here; use Comments section if needed&gt;")),"X","")</f>
        <v/>
      </c>
      <c r="B103" s="294" t="s">
        <v>741</v>
      </c>
      <c r="C103" s="3663" t="s">
        <v>3709</v>
      </c>
      <c r="D103" s="3663"/>
      <c r="E103" s="3663"/>
      <c r="F103" s="3664"/>
      <c r="G103" s="3577"/>
      <c r="H103" s="3578"/>
      <c r="J103" s="271"/>
      <c r="K103" s="271"/>
      <c r="L103" s="271"/>
      <c r="M103" s="271"/>
      <c r="N103" s="271"/>
      <c r="O103" s="271"/>
      <c r="P103" s="271"/>
      <c r="Q103" s="271"/>
      <c r="S103" s="3577"/>
      <c r="T103" s="3578"/>
      <c r="U103" s="371" t="str">
        <f>IF(AND(G103&gt;0,OR(C103="",C103="&lt;Enter detailed description here; use Comments section if needed&gt;")),"NO DESCRIPTION PROVIDED - please enter detailed description in Other box at left; use Comments section below if needed.","")</f>
        <v/>
      </c>
      <c r="V103" s="3637"/>
      <c r="W103" s="3638"/>
      <c r="X103" s="3639"/>
    </row>
    <row r="104" spans="1:24" s="294" customFormat="1" ht="12.4" customHeight="1" thickBot="1">
      <c r="A104" s="372" t="str">
        <f>IF(AND(G104&gt;0,OR(C104="",C104="&lt;Enter detailed description here; use Comments section if needed&gt;")),"X","")</f>
        <v/>
      </c>
      <c r="B104" s="294" t="s">
        <v>741</v>
      </c>
      <c r="C104" s="3665" t="s">
        <v>3709</v>
      </c>
      <c r="D104" s="3665"/>
      <c r="E104" s="3665"/>
      <c r="F104" s="3666"/>
      <c r="G104" s="3586"/>
      <c r="H104" s="3587"/>
      <c r="J104" s="271"/>
      <c r="K104" s="271"/>
      <c r="L104" s="271"/>
      <c r="M104" s="271"/>
      <c r="N104" s="271"/>
      <c r="O104" s="271"/>
      <c r="P104" s="271"/>
      <c r="Q104" s="271"/>
      <c r="S104" s="3586"/>
      <c r="T104" s="3587"/>
      <c r="U104" s="371" t="str">
        <f>IF(AND(G104&gt;0,OR(C104="",C104="&lt;Enter detailed description here; use Comments section if needed&gt;")),"NO DESCRIPTION PROVIDED - please enter detailed description in Other box at left; use Comments section below if needed.","")</f>
        <v/>
      </c>
      <c r="V104" s="3637"/>
      <c r="W104" s="3645"/>
      <c r="X104" s="3646"/>
    </row>
    <row r="105" spans="1:24" s="294" customFormat="1" ht="12.4" customHeight="1" thickTop="1">
      <c r="F105" s="346" t="s">
        <v>191</v>
      </c>
      <c r="G105" s="2512">
        <f ca="1">SUM(G96:H104)</f>
        <v>151840</v>
      </c>
      <c r="H105" s="2513"/>
      <c r="J105" s="348"/>
      <c r="K105" s="348"/>
      <c r="L105" s="2279"/>
      <c r="M105" s="348"/>
      <c r="N105" s="348"/>
      <c r="P105" s="348"/>
      <c r="Q105" s="348"/>
      <c r="S105" s="2512">
        <f ca="1">SUM(S96:T104)</f>
        <v>151840</v>
      </c>
      <c r="T105" s="2513"/>
      <c r="V105" s="3647">
        <f>SUM(V96:V104)</f>
        <v>0</v>
      </c>
      <c r="W105" s="3670"/>
      <c r="X105" s="3671"/>
    </row>
    <row r="106" spans="1:24" s="294" customFormat="1" ht="13.15"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4" customHeight="1">
      <c r="B107" s="294" t="s">
        <v>279</v>
      </c>
      <c r="G107" s="3568"/>
      <c r="H107" s="3569"/>
      <c r="J107" s="2518"/>
      <c r="K107" s="2518"/>
      <c r="L107" s="2279"/>
      <c r="M107" s="2518"/>
      <c r="N107" s="2518"/>
      <c r="O107" s="2269"/>
      <c r="P107" s="2518"/>
      <c r="Q107" s="2518"/>
      <c r="S107" s="3568"/>
      <c r="T107" s="3569"/>
      <c r="V107" s="3637"/>
      <c r="W107" s="3638"/>
      <c r="X107" s="3639"/>
    </row>
    <row r="108" spans="1:24" s="294" customFormat="1" ht="12.4" customHeight="1">
      <c r="B108" s="294" t="s">
        <v>280</v>
      </c>
      <c r="G108" s="3577"/>
      <c r="H108" s="3578"/>
      <c r="J108" s="2518"/>
      <c r="K108" s="2518"/>
      <c r="L108" s="2279"/>
      <c r="M108" s="2518"/>
      <c r="N108" s="2518"/>
      <c r="O108" s="2269"/>
      <c r="P108" s="2518"/>
      <c r="Q108" s="2518"/>
      <c r="S108" s="3577"/>
      <c r="T108" s="3578"/>
      <c r="V108" s="3637"/>
      <c r="W108" s="3638"/>
      <c r="X108" s="3639"/>
    </row>
    <row r="109" spans="1:24" s="294" customFormat="1" ht="12.4" customHeight="1">
      <c r="B109" s="294" t="s">
        <v>2387</v>
      </c>
      <c r="G109" s="3577">
        <v>50000</v>
      </c>
      <c r="H109" s="3578"/>
      <c r="J109" s="2518"/>
      <c r="K109" s="2518"/>
      <c r="L109" s="2279"/>
      <c r="M109" s="2518"/>
      <c r="N109" s="2518"/>
      <c r="O109" s="2269"/>
      <c r="P109" s="2518"/>
      <c r="Q109" s="2518"/>
      <c r="S109" s="3577">
        <v>50000</v>
      </c>
      <c r="T109" s="3578"/>
      <c r="V109" s="3637"/>
      <c r="W109" s="3638"/>
      <c r="X109" s="3639"/>
    </row>
    <row r="110" spans="1:24" s="294" customFormat="1" ht="12.4" customHeight="1" thickBot="1">
      <c r="A110" s="372" t="str">
        <f>IF(AND(G110&gt;0,OR(C110="",C110="&lt;Enter detailed description here; use Comments section if needed&gt;")),"X","")</f>
        <v/>
      </c>
      <c r="B110" s="294" t="s">
        <v>741</v>
      </c>
      <c r="C110" s="3640" t="s">
        <v>3709</v>
      </c>
      <c r="D110" s="3640"/>
      <c r="E110" s="3640"/>
      <c r="F110" s="3641"/>
      <c r="G110" s="3586"/>
      <c r="H110" s="3587"/>
      <c r="J110" s="2518"/>
      <c r="K110" s="2518"/>
      <c r="L110" s="2279"/>
      <c r="M110" s="2518"/>
      <c r="N110" s="2518"/>
      <c r="O110" s="2269"/>
      <c r="P110" s="2518"/>
      <c r="Q110" s="2518"/>
      <c r="S110" s="3586"/>
      <c r="T110" s="3587"/>
      <c r="U110" s="371" t="str">
        <f>IF(AND(G110&gt;0,OR(C110="",C110="&lt;Enter detailed description here; use Comments section if needed&gt;")),"NO DESCRIPTION PROVIDED - please enter detailed description in Other box at left; use Comments section below if needed.","")</f>
        <v/>
      </c>
      <c r="V110" s="3637"/>
      <c r="W110" s="3645"/>
      <c r="X110" s="3646"/>
    </row>
    <row r="111" spans="1:24" s="294" customFormat="1" ht="12.4" customHeight="1" thickTop="1">
      <c r="F111" s="346" t="s">
        <v>191</v>
      </c>
      <c r="G111" s="2512">
        <f>SUM(G107:H110)</f>
        <v>50000</v>
      </c>
      <c r="H111" s="2513"/>
      <c r="J111" s="2518"/>
      <c r="K111" s="2518"/>
      <c r="L111" s="2279"/>
      <c r="M111" s="2518"/>
      <c r="N111" s="2518"/>
      <c r="O111" s="2269"/>
      <c r="P111" s="2518"/>
      <c r="Q111" s="2518"/>
      <c r="S111" s="2512">
        <f>SUM(S107:T110)</f>
        <v>50000</v>
      </c>
      <c r="T111" s="2513"/>
      <c r="V111" s="3647">
        <f>SUM(V107:V110)</f>
        <v>0</v>
      </c>
      <c r="W111" s="3648"/>
      <c r="X111" s="3649"/>
    </row>
    <row r="112" spans="1:24" s="294" customFormat="1" ht="13.1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4" customHeight="1">
      <c r="B113" s="294" t="s">
        <v>1861</v>
      </c>
      <c r="F113" s="398">
        <f>IF($G$118=0,0,G113/$G$118)</f>
        <v>0</v>
      </c>
      <c r="G113" s="3672"/>
      <c r="H113" s="3672"/>
      <c r="J113" s="3673"/>
      <c r="K113" s="3674"/>
      <c r="L113" s="347"/>
      <c r="M113" s="3673"/>
      <c r="N113" s="3674"/>
      <c r="P113" s="3673"/>
      <c r="Q113" s="3674"/>
      <c r="S113" s="3673"/>
      <c r="T113" s="3674"/>
      <c r="V113" s="3637"/>
      <c r="W113" s="3638"/>
      <c r="X113" s="3639"/>
    </row>
    <row r="114" spans="1:24" s="294" customFormat="1" ht="12.4" customHeight="1">
      <c r="B114" s="294" t="s">
        <v>4193</v>
      </c>
      <c r="F114" s="3675"/>
      <c r="V114" s="3637"/>
      <c r="W114" s="3638"/>
      <c r="X114" s="3639"/>
    </row>
    <row r="115" spans="1:24" s="294" customFormat="1" ht="12.4" customHeight="1">
      <c r="B115" s="294" t="s">
        <v>1862</v>
      </c>
      <c r="F115" s="398">
        <f>IF($G$118=0,0,G115/$G$118)</f>
        <v>0</v>
      </c>
      <c r="G115" s="3568"/>
      <c r="H115" s="3569"/>
      <c r="J115" s="3568"/>
      <c r="K115" s="3569"/>
      <c r="L115" s="2279"/>
      <c r="M115" s="3568"/>
      <c r="N115" s="3569"/>
      <c r="P115" s="3568"/>
      <c r="Q115" s="3569"/>
      <c r="S115" s="3568"/>
      <c r="T115" s="3569"/>
      <c r="V115" s="3637"/>
      <c r="W115" s="3638"/>
      <c r="X115" s="3639"/>
    </row>
    <row r="116" spans="1:24" s="294" customFormat="1" ht="12.4" customHeight="1">
      <c r="B116" s="294" t="s">
        <v>3631</v>
      </c>
      <c r="F116" s="398">
        <f>IF($G$118=0,0,G116/$G$118)</f>
        <v>0</v>
      </c>
      <c r="G116" s="3577"/>
      <c r="H116" s="3578"/>
      <c r="J116" s="3577"/>
      <c r="K116" s="3578"/>
      <c r="L116" s="2279"/>
      <c r="M116" s="3577"/>
      <c r="N116" s="3578"/>
      <c r="P116" s="3577"/>
      <c r="Q116" s="3578"/>
      <c r="S116" s="3577"/>
      <c r="T116" s="3578"/>
      <c r="V116" s="3637"/>
      <c r="W116" s="3638"/>
      <c r="X116" s="3639"/>
    </row>
    <row r="117" spans="1:24" s="294" customFormat="1" ht="12.4" customHeight="1" thickBot="1">
      <c r="B117" s="294" t="s">
        <v>1854</v>
      </c>
      <c r="F117" s="398">
        <f>IF($G$118=0,0,G117/$G$118)</f>
        <v>1</v>
      </c>
      <c r="G117" s="3586">
        <v>1800000</v>
      </c>
      <c r="H117" s="3587"/>
      <c r="J117" s="3586">
        <f>G117</f>
        <v>1800000</v>
      </c>
      <c r="K117" s="3587"/>
      <c r="L117" s="2279"/>
      <c r="M117" s="3586"/>
      <c r="N117" s="3587"/>
      <c r="P117" s="3586"/>
      <c r="Q117" s="3587"/>
      <c r="S117" s="3586"/>
      <c r="T117" s="3587"/>
      <c r="V117" s="3637"/>
      <c r="W117" s="3645"/>
      <c r="X117" s="3646"/>
    </row>
    <row r="118" spans="1:24" s="294" customFormat="1" ht="12.4" customHeight="1" thickTop="1">
      <c r="C118" s="371"/>
      <c r="F118" s="346" t="s">
        <v>191</v>
      </c>
      <c r="G118" s="2516">
        <f>SUM(G113:H117)</f>
        <v>1800000</v>
      </c>
      <c r="H118" s="2517"/>
      <c r="J118" s="2512">
        <f>SUM(J113:K117)</f>
        <v>1800000</v>
      </c>
      <c r="K118" s="2513"/>
      <c r="L118" s="2279"/>
      <c r="M118" s="2512">
        <f>SUM(M113:N117)</f>
        <v>0</v>
      </c>
      <c r="N118" s="2513"/>
      <c r="P118" s="2512">
        <f>SUM(P113:Q117)</f>
        <v>0</v>
      </c>
      <c r="Q118" s="2513"/>
      <c r="S118" s="2512">
        <f>SUM(S113:T117)</f>
        <v>0</v>
      </c>
      <c r="T118" s="2513"/>
      <c r="V118" s="3647">
        <f>SUM(V113:V117)</f>
        <v>0</v>
      </c>
      <c r="W118" s="3648"/>
      <c r="X118" s="3649"/>
    </row>
    <row r="119" spans="1:24" s="294" customFormat="1" ht="13.1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4" customHeight="1">
      <c r="B120" s="294" t="s">
        <v>251</v>
      </c>
      <c r="G120" s="3568">
        <v>41800</v>
      </c>
      <c r="H120" s="3569"/>
      <c r="J120" s="356"/>
      <c r="K120" s="356"/>
      <c r="L120" s="356"/>
      <c r="M120" s="356"/>
      <c r="N120" s="356"/>
      <c r="P120" s="356"/>
      <c r="Q120" s="356"/>
      <c r="S120" s="3568">
        <v>41800</v>
      </c>
      <c r="T120" s="3569"/>
      <c r="V120" s="3637"/>
      <c r="W120" s="3638"/>
      <c r="X120" s="3639"/>
    </row>
    <row r="121" spans="1:24" s="294" customFormat="1" ht="12.4" customHeight="1">
      <c r="B121" s="294" t="s">
        <v>1536</v>
      </c>
      <c r="F121" s="460">
        <f>+'Part VI-Revenues &amp; Expenses'!$P$226*('DCA Underwriting Assumptions'!$Q$112/12)</f>
        <v>83526.75</v>
      </c>
      <c r="G121" s="3577">
        <f>F121</f>
        <v>83526.75</v>
      </c>
      <c r="H121" s="3578"/>
      <c r="J121" s="988" t="str">
        <f>IF(E121&gt;G121,"WARNING! Rent-Up Reserves proposed is below minimum - add comment.","")</f>
        <v/>
      </c>
      <c r="K121" s="988"/>
      <c r="L121" s="2279"/>
      <c r="M121" s="962"/>
      <c r="N121" s="962"/>
      <c r="O121" s="2269"/>
      <c r="P121" s="962"/>
      <c r="Q121" s="962"/>
      <c r="R121" s="2269"/>
      <c r="S121" s="3577">
        <f>G121</f>
        <v>83526.75</v>
      </c>
      <c r="T121" s="3578"/>
      <c r="V121" s="3637"/>
      <c r="W121" s="3638"/>
      <c r="X121" s="3639"/>
    </row>
    <row r="122" spans="1:24" s="294" customFormat="1" ht="12.4" customHeight="1">
      <c r="B122" s="294" t="s">
        <v>678</v>
      </c>
      <c r="F122" s="460">
        <f>'Part VI-Revenues &amp; Expenses'!$P$226*('DCA Underwriting Assumptions'!$Q$111/12)+('Part VII-Pro Forma'!$B$25+'Part VII-Pro Forma'!$B$26+'Part VII-Pro Forma'!$B$27+'Part VII-Pro Forma'!$B$28)*'DCA Underwriting Assumptions'!$Q$110/(-12)</f>
        <v>281567.18243249139</v>
      </c>
      <c r="G122" s="3577">
        <f>F122</f>
        <v>281567.18243249139</v>
      </c>
      <c r="H122" s="3578"/>
      <c r="J122" s="988" t="str">
        <f>IF(E122&gt;G122,"WARNING! ODR proposed is below minimum - add comment.","")</f>
        <v/>
      </c>
      <c r="K122" s="355"/>
      <c r="L122" s="355"/>
      <c r="M122" s="355"/>
      <c r="N122" s="355"/>
      <c r="O122" s="2269"/>
      <c r="P122" s="355"/>
      <c r="Q122" s="355"/>
      <c r="R122" s="2269"/>
      <c r="S122" s="3577">
        <f>G122</f>
        <v>281567.18243249139</v>
      </c>
      <c r="T122" s="3578"/>
      <c r="V122" s="3637"/>
      <c r="W122" s="3638"/>
      <c r="X122" s="3639"/>
    </row>
    <row r="123" spans="1:24" s="294" customFormat="1" ht="12.4" customHeight="1">
      <c r="B123" s="294" t="s">
        <v>1244</v>
      </c>
      <c r="G123" s="3577"/>
      <c r="H123" s="3578"/>
      <c r="J123" s="356"/>
      <c r="K123" s="356"/>
      <c r="L123" s="356"/>
      <c r="M123" s="356"/>
      <c r="N123" s="356"/>
      <c r="P123" s="356"/>
      <c r="Q123" s="356"/>
      <c r="S123" s="3577"/>
      <c r="T123" s="3578"/>
      <c r="V123" s="3637"/>
      <c r="W123" s="3638"/>
      <c r="X123" s="3639"/>
    </row>
    <row r="124" spans="1:24" s="294" customFormat="1" ht="12.4" customHeight="1">
      <c r="B124" s="294" t="s">
        <v>1245</v>
      </c>
      <c r="E124" s="851" t="s">
        <v>3566</v>
      </c>
      <c r="F124" s="460">
        <f>IF('Part VI-Revenues &amp; Expenses'!$O$67=0,0,G124/'Part VI-Revenues &amp; Expenses'!$O$67)</f>
        <v>1000</v>
      </c>
      <c r="G124" s="3577">
        <v>84000</v>
      </c>
      <c r="H124" s="3578"/>
      <c r="J124" s="3568">
        <f>G124</f>
        <v>84000</v>
      </c>
      <c r="K124" s="3569"/>
      <c r="L124" s="2279"/>
      <c r="M124" s="3568"/>
      <c r="N124" s="3569"/>
      <c r="P124" s="3568"/>
      <c r="Q124" s="3569"/>
      <c r="S124" s="3577"/>
      <c r="T124" s="3578"/>
      <c r="V124" s="3637"/>
      <c r="W124" s="3638"/>
      <c r="X124" s="3639"/>
    </row>
    <row r="125" spans="1:24" s="294" customFormat="1" ht="12.4" customHeight="1" thickBot="1">
      <c r="A125" s="372" t="str">
        <f>IF(AND(G125&gt;0,OR(C125="",C125="&lt;Enter detailed description here; use Comments section if needed&gt;")),"X","")</f>
        <v/>
      </c>
      <c r="B125" s="294" t="s">
        <v>741</v>
      </c>
      <c r="C125" s="3640" t="s">
        <v>3709</v>
      </c>
      <c r="D125" s="3640"/>
      <c r="E125" s="3640"/>
      <c r="F125" s="3641"/>
      <c r="G125" s="3586"/>
      <c r="H125" s="3587"/>
      <c r="J125" s="3643"/>
      <c r="K125" s="3644"/>
      <c r="L125" s="2279"/>
      <c r="M125" s="3586"/>
      <c r="N125" s="3587"/>
      <c r="P125" s="3586"/>
      <c r="Q125" s="3587"/>
      <c r="S125" s="3586"/>
      <c r="T125" s="3587"/>
      <c r="U125" s="371" t="str">
        <f>IF(AND(G125&gt;0,OR(C125="",C125="&lt;Enter detailed description here; use Comments section if needed&gt;")),"NO DESCRIPTION PROVIDED - please enter detailed description in Other box at left; use Comments section below if needed.","")</f>
        <v/>
      </c>
      <c r="V125" s="3637"/>
      <c r="W125" s="3645"/>
      <c r="X125" s="3646"/>
    </row>
    <row r="126" spans="1:24" s="294" customFormat="1" ht="12.4" customHeight="1" thickTop="1">
      <c r="B126" s="357"/>
      <c r="F126" s="346" t="s">
        <v>191</v>
      </c>
      <c r="G126" s="2512">
        <f>SUM(G120:H125)</f>
        <v>490893.93243249139</v>
      </c>
      <c r="H126" s="2513"/>
      <c r="J126" s="2512">
        <f>SUM(J124:K125)</f>
        <v>84000</v>
      </c>
      <c r="K126" s="2513"/>
      <c r="L126" s="2279"/>
      <c r="M126" s="2512">
        <f>SUM(M124:N125)</f>
        <v>0</v>
      </c>
      <c r="N126" s="2513"/>
      <c r="P126" s="2512">
        <f>SUM(P124:Q125)</f>
        <v>0</v>
      </c>
      <c r="Q126" s="2513"/>
      <c r="S126" s="2512">
        <f>SUM(S120:T125)</f>
        <v>406893.93243249139</v>
      </c>
      <c r="T126" s="2513"/>
      <c r="V126" s="3647">
        <f>SUM(V120:V125)</f>
        <v>0</v>
      </c>
      <c r="W126" s="3648"/>
      <c r="X126" s="3649"/>
    </row>
    <row r="127" spans="1:24" s="294" customFormat="1" ht="13.15" customHeight="1">
      <c r="B127" s="296" t="s">
        <v>610</v>
      </c>
      <c r="C127" s="2257"/>
      <c r="H127" s="353"/>
      <c r="I127" s="353"/>
      <c r="J127" s="345"/>
      <c r="K127" s="345"/>
      <c r="M127" s="345"/>
      <c r="N127" s="345"/>
      <c r="O127" s="347" t="str">
        <f>B127</f>
        <v>OTHER COSTS</v>
      </c>
      <c r="P127" s="345"/>
      <c r="Q127" s="345"/>
      <c r="S127" s="345"/>
      <c r="T127" s="345"/>
      <c r="V127" s="1076"/>
      <c r="W127" s="294" t="str">
        <f>B127</f>
        <v>OTHER COSTS</v>
      </c>
    </row>
    <row r="128" spans="1:24" s="294" customFormat="1" ht="12.4" customHeight="1">
      <c r="B128" s="294" t="s">
        <v>611</v>
      </c>
      <c r="C128" s="2257"/>
      <c r="G128" s="3568"/>
      <c r="H128" s="3569"/>
      <c r="J128" s="3568"/>
      <c r="K128" s="3569"/>
      <c r="L128" s="347"/>
      <c r="M128" s="3568"/>
      <c r="N128" s="3569"/>
      <c r="P128" s="3568"/>
      <c r="Q128" s="3569"/>
      <c r="S128" s="3568"/>
      <c r="T128" s="3569"/>
      <c r="V128" s="3637"/>
      <c r="W128" s="3638"/>
      <c r="X128" s="3639"/>
    </row>
    <row r="129" spans="1:24" s="294" customFormat="1" ht="12.4" customHeight="1" thickBot="1">
      <c r="A129" s="372" t="str">
        <f>IF(AND(G129&gt;0,OR(C129="",C129="&lt;Enter detailed description here; use Comments section if needed&gt;")),"X","")</f>
        <v/>
      </c>
      <c r="B129" s="294" t="s">
        <v>741</v>
      </c>
      <c r="C129" s="3640" t="s">
        <v>3709</v>
      </c>
      <c r="D129" s="3640"/>
      <c r="E129" s="3640"/>
      <c r="F129" s="3641"/>
      <c r="G129" s="3586"/>
      <c r="H129" s="3587"/>
      <c r="J129" s="3586"/>
      <c r="K129" s="3587"/>
      <c r="L129" s="2279"/>
      <c r="M129" s="3586"/>
      <c r="N129" s="3587"/>
      <c r="P129" s="3586"/>
      <c r="Q129" s="3587"/>
      <c r="S129" s="3586"/>
      <c r="T129" s="3587"/>
      <c r="U129" s="371" t="str">
        <f>IF(AND(G129&gt;0,OR(C129="",C129="&lt;Enter detailed description here; use Comments section if needed&gt;")),"NO DESCRIPTION PROVIDED - please enter detailed description in Other box at left; use Comments section below if needed.","")</f>
        <v/>
      </c>
      <c r="V129" s="3637"/>
      <c r="W129" s="3645"/>
      <c r="X129" s="3646"/>
    </row>
    <row r="130" spans="1:24" s="294" customFormat="1" ht="12.4" customHeight="1" thickTop="1">
      <c r="C130" s="2257"/>
      <c r="F130" s="346" t="s">
        <v>191</v>
      </c>
      <c r="G130" s="2512">
        <f>SUM(G128:H129)</f>
        <v>0</v>
      </c>
      <c r="H130" s="2513"/>
      <c r="J130" s="2512">
        <f>SUM(J128:K129)</f>
        <v>0</v>
      </c>
      <c r="K130" s="2513"/>
      <c r="L130" s="2279"/>
      <c r="M130" s="2512">
        <f>SUM(M128:N129)</f>
        <v>0</v>
      </c>
      <c r="N130" s="2513"/>
      <c r="P130" s="2512">
        <f>SUM(P128:Q129)</f>
        <v>0</v>
      </c>
      <c r="Q130" s="2513"/>
      <c r="S130" s="2512">
        <f>SUM(S128:T129)</f>
        <v>0</v>
      </c>
      <c r="T130" s="2513"/>
      <c r="V130" s="3647">
        <f>SUM(V128:V129)</f>
        <v>0</v>
      </c>
      <c r="W130" s="3648"/>
      <c r="X130" s="3649"/>
    </row>
    <row r="131" spans="1:24" s="294" customFormat="1" ht="3" customHeight="1" thickBot="1">
      <c r="C131" s="2257"/>
      <c r="H131" s="353"/>
      <c r="I131" s="353"/>
      <c r="L131" s="2269"/>
      <c r="V131" s="1076"/>
      <c r="W131" s="3676"/>
      <c r="X131" s="3677"/>
    </row>
    <row r="132" spans="1:24" s="294" customFormat="1" ht="13.9" customHeight="1" thickBot="1">
      <c r="B132" s="299" t="s">
        <v>2769</v>
      </c>
      <c r="G132" s="2514">
        <f ca="1">G17+G23+G27+G33+G38+G41+G47+G64+G77+G83+G91+G105+G111+G118+G126+G130</f>
        <v>15903809.932432491</v>
      </c>
      <c r="H132" s="2515"/>
      <c r="J132" s="2514">
        <f>J17+J23+J27+J33+J38+J41+J47+J64+J77+J83+J91+J105+J111+J118+J126+J130</f>
        <v>14193388</v>
      </c>
      <c r="K132" s="2515"/>
      <c r="M132" s="2514">
        <f>M17+M23+M27+M33+M38+M41+M47+M64+M77+M83+M91+M105+M111+M118+M126+M130</f>
        <v>0</v>
      </c>
      <c r="N132" s="2515"/>
      <c r="P132" s="2514">
        <f>P17+P23+P27+P33+P38+P41+P47+P64+P77+P83+P91+P105+P111+P118+P126+P130</f>
        <v>0</v>
      </c>
      <c r="Q132" s="2515"/>
      <c r="S132" s="2514">
        <f ca="1">S17+S23+S27+S33+S38+S41+S47+S64+S77+S83+S91+S105+S111+S118+S126+S130</f>
        <v>1710421.9324324913</v>
      </c>
      <c r="T132" s="2515"/>
      <c r="V132" s="3678">
        <f>V17+V23+V27+V33+V38+V41+V47+V64+V77+V83+V91+V105+V111+V118+V126+V130</f>
        <v>0</v>
      </c>
      <c r="W132" s="3679"/>
      <c r="X132" s="3649"/>
    </row>
    <row r="133" spans="1:24" s="294" customFormat="1" ht="3" customHeight="1">
      <c r="C133" s="2257"/>
      <c r="H133" s="353"/>
      <c r="I133" s="353"/>
      <c r="L133" s="2269"/>
      <c r="V133" s="1076"/>
    </row>
    <row r="134" spans="1:24" s="294" customFormat="1" ht="13.9" customHeight="1">
      <c r="B134" s="500" t="s">
        <v>2765</v>
      </c>
      <c r="C134" s="498"/>
      <c r="D134" s="2505">
        <f ca="1">IF('Part VI-Revenues &amp; Expenses'!$O$67=0,0,G132/'Part VI-Revenues &amp; Expenses'!$O$67)</f>
        <v>189331.07062419632</v>
      </c>
      <c r="E134" s="2505"/>
      <c r="F134" s="499" t="s">
        <v>2764</v>
      </c>
      <c r="G134" s="2506">
        <f ca="1">IF('Part I-Project Information'!$P$75=0,0,G132/'Part I-Project Information'!$P$75)</f>
        <v>169.53213871050519</v>
      </c>
      <c r="H134" s="2507"/>
      <c r="I134" s="358"/>
      <c r="V134" s="1076"/>
    </row>
    <row r="135" spans="1:24" s="294" customFormat="1" ht="3" customHeight="1">
      <c r="I135" s="358"/>
      <c r="L135" s="358"/>
      <c r="V135" s="1076"/>
    </row>
    <row r="136" spans="1:24" s="294" customFormat="1" ht="3.4" customHeight="1" thickBot="1">
      <c r="D136" s="2257"/>
      <c r="E136" s="2257"/>
      <c r="I136" s="353"/>
      <c r="J136" s="353"/>
      <c r="K136" s="359"/>
      <c r="L136" s="2259"/>
      <c r="P136" s="2269"/>
      <c r="V136" s="1076"/>
    </row>
    <row r="137" spans="1:24" s="294" customFormat="1" ht="25.9" customHeight="1">
      <c r="A137" s="422" t="s">
        <v>740</v>
      </c>
      <c r="B137" s="424" t="s">
        <v>1426</v>
      </c>
      <c r="C137" s="878"/>
      <c r="D137" s="2279"/>
      <c r="E137" s="2279"/>
      <c r="F137" s="2279"/>
      <c r="G137" s="2269"/>
      <c r="H137" s="2269"/>
      <c r="I137" s="360"/>
      <c r="J137" s="2508" t="s">
        <v>271</v>
      </c>
      <c r="K137" s="2509"/>
      <c r="M137" s="2508" t="s">
        <v>100</v>
      </c>
      <c r="N137" s="2509"/>
      <c r="P137" s="2508" t="s">
        <v>272</v>
      </c>
      <c r="Q137" s="2509"/>
      <c r="V137" s="1076"/>
      <c r="W137" s="423" t="str">
        <f>B137</f>
        <v>TAX CREDIT CALCULATION - BASIS METHOD</v>
      </c>
    </row>
    <row r="138" spans="1:24" s="294" customFormat="1" ht="15" customHeight="1" thickBot="1">
      <c r="B138" s="299" t="s">
        <v>2045</v>
      </c>
      <c r="D138" s="2279"/>
      <c r="E138" s="2279"/>
      <c r="I138" s="360"/>
      <c r="J138" s="2510"/>
      <c r="K138" s="2511"/>
      <c r="L138" s="878"/>
      <c r="M138" s="2510"/>
      <c r="N138" s="2511"/>
      <c r="P138" s="2510"/>
      <c r="Q138" s="2511"/>
      <c r="V138" s="1076"/>
      <c r="W138" s="294" t="str">
        <f>B138</f>
        <v>Subtractions From Eligible Basis</v>
      </c>
      <c r="X138" s="332"/>
    </row>
    <row r="139" spans="1:24" s="294" customFormat="1" ht="6" customHeight="1">
      <c r="D139" s="2257"/>
      <c r="E139" s="2257"/>
      <c r="I139" s="353"/>
      <c r="J139" s="353"/>
      <c r="K139" s="359"/>
      <c r="L139" s="2259"/>
      <c r="P139" s="2269"/>
      <c r="V139" s="1076"/>
    </row>
    <row r="140" spans="1:24" s="294" customFormat="1" ht="13.9" customHeight="1">
      <c r="B140" s="2257" t="s">
        <v>144</v>
      </c>
      <c r="D140" s="2269"/>
      <c r="E140" s="2269"/>
      <c r="F140" s="2269"/>
      <c r="G140" s="2269"/>
      <c r="H140" s="2269"/>
      <c r="I140" s="360"/>
      <c r="J140" s="3680"/>
      <c r="K140" s="3681"/>
      <c r="P140" s="3680"/>
      <c r="Q140" s="3681"/>
      <c r="V140" s="3637"/>
      <c r="W140" s="3638"/>
      <c r="X140" s="3639"/>
    </row>
    <row r="141" spans="1:24" s="294" customFormat="1" ht="13.9" customHeight="1">
      <c r="B141" s="2269" t="s">
        <v>2153</v>
      </c>
      <c r="D141" s="2269"/>
      <c r="E141" s="2269"/>
      <c r="F141" s="2269"/>
      <c r="G141" s="2269"/>
      <c r="H141" s="2269"/>
      <c r="I141" s="360"/>
      <c r="J141" s="3682"/>
      <c r="K141" s="3683"/>
      <c r="P141" s="3682"/>
      <c r="Q141" s="3683"/>
      <c r="V141" s="3637"/>
      <c r="W141" s="3638"/>
      <c r="X141" s="3639"/>
    </row>
    <row r="142" spans="1:24" s="294" customFormat="1" ht="13.9" customHeight="1">
      <c r="B142" s="2269" t="s">
        <v>1864</v>
      </c>
      <c r="D142" s="2269"/>
      <c r="E142" s="2269"/>
      <c r="I142" s="360"/>
      <c r="J142" s="3682"/>
      <c r="K142" s="3683"/>
      <c r="P142" s="3682"/>
      <c r="Q142" s="3683"/>
      <c r="V142" s="3637"/>
      <c r="W142" s="3638"/>
      <c r="X142" s="3639"/>
    </row>
    <row r="143" spans="1:24" s="294" customFormat="1" ht="13.9" customHeight="1">
      <c r="B143" s="2269" t="s">
        <v>1865</v>
      </c>
      <c r="D143" s="2269"/>
      <c r="E143" s="2269"/>
      <c r="I143" s="360"/>
      <c r="J143" s="3682"/>
      <c r="K143" s="3683"/>
      <c r="P143" s="3682"/>
      <c r="Q143" s="3683"/>
      <c r="V143" s="3637"/>
      <c r="W143" s="3638"/>
      <c r="X143" s="3639"/>
    </row>
    <row r="144" spans="1:24" s="294" customFormat="1" ht="13.9" customHeight="1">
      <c r="B144" s="2269" t="s">
        <v>254</v>
      </c>
      <c r="D144" s="2269"/>
      <c r="E144" s="2269"/>
      <c r="I144" s="360"/>
      <c r="J144" s="3682"/>
      <c r="K144" s="3683"/>
      <c r="P144" s="3682"/>
      <c r="Q144" s="3683"/>
      <c r="V144" s="3637"/>
      <c r="W144" s="3638"/>
      <c r="X144" s="3639"/>
    </row>
    <row r="145" spans="1:24" s="294" customFormat="1" ht="13.9" customHeight="1" thickBot="1">
      <c r="B145" s="2269" t="s">
        <v>1601</v>
      </c>
      <c r="C145" s="3684" t="s">
        <v>2416</v>
      </c>
      <c r="D145" s="3684"/>
      <c r="E145" s="3684"/>
      <c r="F145" s="3684"/>
      <c r="G145" s="3684"/>
      <c r="H145" s="3684"/>
      <c r="I145" s="3685"/>
      <c r="J145" s="3686"/>
      <c r="K145" s="3687"/>
      <c r="P145" s="3686"/>
      <c r="Q145" s="3687"/>
      <c r="V145" s="3637"/>
      <c r="W145" s="3645"/>
      <c r="X145" s="3646"/>
    </row>
    <row r="146" spans="1:24" s="294" customFormat="1" ht="13.9" customHeight="1" thickBot="1">
      <c r="B146" s="304" t="s">
        <v>1866</v>
      </c>
      <c r="C146" s="307"/>
      <c r="J146" s="2407">
        <f>SUM(J140:K145)</f>
        <v>0</v>
      </c>
      <c r="K146" s="2408"/>
      <c r="P146" s="2407">
        <f>SUM(P140:Q145)</f>
        <v>0</v>
      </c>
      <c r="Q146" s="2408"/>
      <c r="V146" s="3647">
        <f>SUM(V140:V145)</f>
        <v>0</v>
      </c>
      <c r="W146" s="3648"/>
      <c r="X146" s="3649"/>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3.9" customHeight="1">
      <c r="B149" s="294" t="s">
        <v>1790</v>
      </c>
      <c r="J149" s="2501">
        <f>J132</f>
        <v>14193388</v>
      </c>
      <c r="K149" s="2502"/>
      <c r="M149" s="2503">
        <f>M132</f>
        <v>0</v>
      </c>
      <c r="N149" s="2504"/>
      <c r="P149" s="2501">
        <f>P132</f>
        <v>0</v>
      </c>
      <c r="Q149" s="2502"/>
      <c r="R149" s="2463" t="s">
        <v>4725</v>
      </c>
      <c r="S149" s="2464"/>
      <c r="T149" s="2464"/>
      <c r="V149" s="3637"/>
      <c r="W149" s="3638"/>
      <c r="X149" s="3639"/>
    </row>
    <row r="150" spans="1:24" s="294" customFormat="1" ht="13.9" customHeight="1">
      <c r="B150" s="294" t="s">
        <v>2221</v>
      </c>
      <c r="J150" s="2474">
        <f>J146</f>
        <v>0</v>
      </c>
      <c r="K150" s="2475"/>
      <c r="M150" s="2483"/>
      <c r="N150" s="2483"/>
      <c r="P150" s="2474">
        <f>P146</f>
        <v>0</v>
      </c>
      <c r="Q150" s="2475"/>
      <c r="R150" s="2463"/>
      <c r="S150" s="2464"/>
      <c r="T150" s="2464"/>
      <c r="U150" s="2050"/>
      <c r="V150" s="3637"/>
      <c r="W150" s="3638"/>
      <c r="X150" s="3639"/>
    </row>
    <row r="151" spans="1:24" s="294" customFormat="1" ht="13.9" customHeight="1">
      <c r="B151" s="294" t="s">
        <v>2222</v>
      </c>
      <c r="J151" s="2474">
        <f>J149-J150</f>
        <v>14193388</v>
      </c>
      <c r="K151" s="2475"/>
      <c r="M151" s="2474">
        <f>M149</f>
        <v>0</v>
      </c>
      <c r="N151" s="2475"/>
      <c r="P151" s="2474">
        <f>P149-P150</f>
        <v>0</v>
      </c>
      <c r="Q151" s="2475"/>
      <c r="R151" s="2463"/>
      <c r="S151" s="2464"/>
      <c r="T151" s="2464"/>
      <c r="U151" s="2050"/>
      <c r="V151" s="3637"/>
      <c r="W151" s="3638"/>
      <c r="X151" s="3639"/>
    </row>
    <row r="152" spans="1:24" s="294" customFormat="1" ht="13.9" customHeight="1">
      <c r="B152" s="294" t="s">
        <v>1485</v>
      </c>
      <c r="G152" s="2262" t="s">
        <v>1714</v>
      </c>
      <c r="H152" s="3277" t="s">
        <v>5221</v>
      </c>
      <c r="I152" s="3278"/>
      <c r="J152" s="3688">
        <v>1.3</v>
      </c>
      <c r="K152" s="3689"/>
      <c r="M152" s="2496"/>
      <c r="N152" s="2496"/>
      <c r="P152" s="3688"/>
      <c r="Q152" s="3689"/>
      <c r="R152" s="3690" t="s">
        <v>3698</v>
      </c>
      <c r="S152" s="3691"/>
      <c r="T152" s="3692"/>
      <c r="U152" s="2051"/>
      <c r="V152" s="3637"/>
      <c r="W152" s="3638"/>
      <c r="X152" s="3639"/>
    </row>
    <row r="153" spans="1:24" s="294" customFormat="1" ht="13.9" customHeight="1">
      <c r="B153" s="294" t="s">
        <v>2055</v>
      </c>
      <c r="J153" s="2474">
        <f>J151*J152</f>
        <v>18451404.400000002</v>
      </c>
      <c r="K153" s="2475"/>
      <c r="M153" s="2474">
        <f>+M151</f>
        <v>0</v>
      </c>
      <c r="N153" s="2475"/>
      <c r="P153" s="2474">
        <f>P151*P152</f>
        <v>0</v>
      </c>
      <c r="Q153" s="2475"/>
      <c r="R153" s="3693"/>
      <c r="S153" s="3694"/>
      <c r="T153" s="3695"/>
      <c r="U153" s="2051"/>
      <c r="V153" s="3637"/>
      <c r="W153" s="3638"/>
      <c r="X153" s="3639"/>
    </row>
    <row r="154" spans="1:24" s="294" customFormat="1" ht="13.9" customHeight="1">
      <c r="B154" s="294" t="s">
        <v>2542</v>
      </c>
      <c r="J154" s="2497">
        <f>MIN('Part VI-Revenues &amp; Expenses'!$O$63/'Part VI-Revenues &amp; Expenses'!$O$65,'Part VI-Revenues &amp; Expenses'!$O$152/'Part VI-Revenues &amp; Expenses'!$O$154)</f>
        <v>1</v>
      </c>
      <c r="K154" s="2498"/>
      <c r="M154" s="2497">
        <f>MIN('Part VI-Revenues &amp; Expenses'!$O$63/'Part VI-Revenues &amp; Expenses'!$O$65,'Part VI-Revenues &amp; Expenses'!$O$152/'Part VI-Revenues &amp; Expenses'!$O$154)</f>
        <v>1</v>
      </c>
      <c r="N154" s="2498"/>
      <c r="P154" s="2497">
        <f>MIN('Part VI-Revenues &amp; Expenses'!$O$63/'Part VI-Revenues &amp; Expenses'!$O$65,'Part VI-Revenues &amp; Expenses'!$O$152/'Part VI-Revenues &amp; Expenses'!$O$154)</f>
        <v>1</v>
      </c>
      <c r="Q154" s="2498"/>
      <c r="R154" s="3696"/>
      <c r="S154" s="3697"/>
      <c r="T154" s="3698"/>
      <c r="V154" s="3637"/>
      <c r="W154" s="3638"/>
      <c r="X154" s="3639"/>
    </row>
    <row r="155" spans="1:24" s="294" customFormat="1" ht="13.9" customHeight="1">
      <c r="B155" s="294" t="s">
        <v>2046</v>
      </c>
      <c r="J155" s="2474">
        <f>J153*J154</f>
        <v>18451404.400000002</v>
      </c>
      <c r="K155" s="2475"/>
      <c r="M155" s="2474">
        <f>M153*M154</f>
        <v>0</v>
      </c>
      <c r="N155" s="2475"/>
      <c r="P155" s="2474">
        <f>P153*P154</f>
        <v>0</v>
      </c>
      <c r="Q155" s="2475"/>
      <c r="V155" s="3637"/>
      <c r="W155" s="3638"/>
      <c r="X155" s="3639"/>
    </row>
    <row r="156" spans="1:24" s="294" customFormat="1" ht="13.9" customHeight="1">
      <c r="B156" s="294" t="s">
        <v>2047</v>
      </c>
      <c r="J156" s="3688">
        <v>0.09</v>
      </c>
      <c r="K156" s="3689"/>
      <c r="M156" s="3688"/>
      <c r="N156" s="3689"/>
      <c r="P156" s="3688"/>
      <c r="Q156" s="3689"/>
      <c r="V156" s="3637"/>
      <c r="W156" s="3638"/>
      <c r="X156" s="3639"/>
    </row>
    <row r="157" spans="1:24" s="294" customFormat="1" ht="13.9" customHeight="1" thickBot="1">
      <c r="B157" s="294" t="s">
        <v>2543</v>
      </c>
      <c r="J157" s="2499">
        <f>J155*J156</f>
        <v>1660626.3960000002</v>
      </c>
      <c r="K157" s="2500"/>
      <c r="M157" s="2499">
        <f>M155*M156</f>
        <v>0</v>
      </c>
      <c r="N157" s="2500"/>
      <c r="P157" s="2499">
        <f>P155*P156</f>
        <v>0</v>
      </c>
      <c r="Q157" s="2500"/>
      <c r="V157" s="3699"/>
      <c r="W157" s="3645"/>
      <c r="X157" s="3646"/>
    </row>
    <row r="158" spans="1:24" s="294" customFormat="1" ht="13.9" customHeight="1" thickBot="1">
      <c r="B158" s="296" t="s">
        <v>1424</v>
      </c>
      <c r="J158" s="2407">
        <f>ROUNDDOWN(J157+M157+P157,0)</f>
        <v>1660626</v>
      </c>
      <c r="K158" s="2479"/>
      <c r="L158" s="2479"/>
      <c r="M158" s="2479"/>
      <c r="N158" s="2479"/>
      <c r="O158" s="2479"/>
      <c r="P158" s="2479"/>
      <c r="Q158" s="2408"/>
      <c r="V158" s="3647"/>
      <c r="W158" s="3670"/>
      <c r="X158" s="3671"/>
    </row>
    <row r="159" spans="1:24" s="294" customFormat="1" ht="6" customHeight="1">
      <c r="B159" s="361"/>
      <c r="L159" s="362"/>
      <c r="M159" s="362"/>
      <c r="N159" s="362"/>
      <c r="O159" s="362"/>
      <c r="V159" s="1076"/>
    </row>
    <row r="160" spans="1:24" s="294" customFormat="1" ht="13.9" customHeight="1">
      <c r="A160" s="423" t="s">
        <v>742</v>
      </c>
      <c r="B160" s="423" t="s">
        <v>1427</v>
      </c>
      <c r="H160" s="353"/>
      <c r="I160" s="353"/>
      <c r="L160" s="2269"/>
      <c r="M160" s="476"/>
      <c r="N160" s="2269"/>
      <c r="O160" s="2269"/>
      <c r="P160" s="2269"/>
      <c r="Q160" s="2269"/>
      <c r="R160" s="2269"/>
      <c r="S160" s="2269"/>
      <c r="T160" s="2269"/>
      <c r="V160" s="1076"/>
    </row>
    <row r="161" spans="1:24" s="294" customFormat="1" ht="15" customHeight="1" thickBot="1">
      <c r="B161" s="296" t="s">
        <v>174</v>
      </c>
      <c r="H161" s="269"/>
      <c r="M161" s="476"/>
      <c r="N161" s="2269"/>
      <c r="O161" s="2269"/>
      <c r="P161" s="2269"/>
      <c r="Q161" s="2269"/>
      <c r="R161" s="2269"/>
      <c r="S161" s="2269"/>
      <c r="T161" s="2269"/>
      <c r="V161" s="1076"/>
      <c r="W161" s="423" t="str">
        <f>B160</f>
        <v>TAX CREDIT CALCULATION - GAP METHOD</v>
      </c>
    </row>
    <row r="162" spans="1:24" s="294" customFormat="1" ht="15" customHeight="1">
      <c r="B162" s="289" t="s">
        <v>2770</v>
      </c>
      <c r="G162" s="2466" t="str">
        <f ca="1">IF(J163&gt;J162,"TDC exceeds QAP PUCL!","")</f>
        <v/>
      </c>
      <c r="H162" s="2466"/>
      <c r="I162" s="2467"/>
      <c r="J162" s="2493">
        <f>'Part VIII-Threshold Criteria'!$P$63</f>
        <v>15915972</v>
      </c>
      <c r="K162" s="2494"/>
      <c r="L162" s="2495"/>
      <c r="M162" s="2468" t="s">
        <v>2747</v>
      </c>
      <c r="N162" s="2469"/>
      <c r="O162" s="2469"/>
      <c r="P162" s="2469"/>
      <c r="Q162" s="2469"/>
      <c r="R162" s="2470"/>
      <c r="S162" s="2468" t="s">
        <v>3672</v>
      </c>
      <c r="T162" s="2470"/>
      <c r="V162" s="3637"/>
      <c r="W162" s="3638"/>
      <c r="X162" s="3639"/>
    </row>
    <row r="163" spans="1:24" s="294" customFormat="1" ht="13.9" customHeight="1">
      <c r="B163" s="294" t="s">
        <v>2749</v>
      </c>
      <c r="J163" s="3700">
        <f ca="1">MIN(G132,J162,(G132-O165))</f>
        <v>15903809.932432491</v>
      </c>
      <c r="K163" s="3701"/>
      <c r="L163" s="3702"/>
      <c r="M163" s="2471"/>
      <c r="N163" s="2472"/>
      <c r="O163" s="2472"/>
      <c r="P163" s="2472"/>
      <c r="Q163" s="2472"/>
      <c r="R163" s="2473"/>
      <c r="S163" s="2471"/>
      <c r="T163" s="2473"/>
      <c r="V163" s="3637"/>
      <c r="W163" s="3638"/>
      <c r="X163" s="3639"/>
    </row>
    <row r="164" spans="1:24" s="294" customFormat="1" ht="13.9" customHeight="1">
      <c r="B164" s="294" t="s">
        <v>263</v>
      </c>
      <c r="J164" s="2474">
        <f>'Part III-Sources of Funds'!$I$58-'Part III-Sources of Funds'!$I$42-'Part III-Sources of Funds'!$I$43-'Part III-Sources of Funds'!$I$49-'Part III-Sources of Funds'!$I$50</f>
        <v>4150000</v>
      </c>
      <c r="K164" s="2483"/>
      <c r="L164" s="2484"/>
      <c r="M164" s="2471"/>
      <c r="N164" s="2472"/>
      <c r="O164" s="2472"/>
      <c r="P164" s="2472"/>
      <c r="Q164" s="2472"/>
      <c r="R164" s="2473"/>
      <c r="S164" s="2471"/>
      <c r="T164" s="2473"/>
      <c r="V164" s="3637"/>
      <c r="W164" s="3638"/>
      <c r="X164" s="3639"/>
    </row>
    <row r="165" spans="1:24" s="294" customFormat="1" ht="13.9" customHeight="1" thickBot="1">
      <c r="B165" s="294" t="s">
        <v>2233</v>
      </c>
      <c r="J165" s="2474">
        <f ca="1">+J163-J164</f>
        <v>11753809.932432491</v>
      </c>
      <c r="K165" s="2483"/>
      <c r="L165" s="2484"/>
      <c r="M165" s="2485" t="s">
        <v>2748</v>
      </c>
      <c r="N165" s="2486"/>
      <c r="O165" s="2487">
        <f>'Part III-Sources of Funds'!$I$42</f>
        <v>0</v>
      </c>
      <c r="P165" s="2487"/>
      <c r="Q165" s="2487"/>
      <c r="R165" s="2488"/>
      <c r="S165" s="409" t="s">
        <v>1662</v>
      </c>
      <c r="T165" s="3703"/>
      <c r="V165" s="3637"/>
      <c r="W165" s="3638"/>
      <c r="X165" s="3639"/>
    </row>
    <row r="166" spans="1:24" s="294" customFormat="1" ht="13.9" customHeight="1">
      <c r="B166" s="294" t="s">
        <v>1286</v>
      </c>
      <c r="J166" s="2489" t="str">
        <f>"/ 10"</f>
        <v>/ 10</v>
      </c>
      <c r="K166" s="2489"/>
      <c r="L166" s="2489"/>
      <c r="M166" s="2269"/>
      <c r="N166" s="473"/>
      <c r="O166" s="473"/>
      <c r="P166" s="473"/>
      <c r="Q166" s="473"/>
      <c r="R166" s="473"/>
      <c r="V166" s="1076"/>
      <c r="W166" s="3638"/>
      <c r="X166" s="3639"/>
    </row>
    <row r="167" spans="1:24" s="294" customFormat="1" ht="13.9" customHeight="1">
      <c r="B167" s="294" t="s">
        <v>1287</v>
      </c>
      <c r="J167" s="2474">
        <f ca="1">J165/10</f>
        <v>1175380.9932432491</v>
      </c>
      <c r="K167" s="2483"/>
      <c r="L167" s="2475"/>
      <c r="M167" s="312"/>
      <c r="N167" s="2353" t="s">
        <v>1288</v>
      </c>
      <c r="O167" s="2353"/>
      <c r="Q167" s="2353" t="s">
        <v>1799</v>
      </c>
      <c r="R167" s="2353"/>
      <c r="V167" s="3637"/>
      <c r="W167" s="3638"/>
      <c r="X167" s="3639"/>
    </row>
    <row r="168" spans="1:24" s="294" customFormat="1" ht="13.9" customHeight="1" thickBot="1">
      <c r="B168" s="294" t="s">
        <v>1484</v>
      </c>
      <c r="J168" s="2476">
        <f>N168+Q168</f>
        <v>1.24</v>
      </c>
      <c r="K168" s="2477"/>
      <c r="L168" s="2478"/>
      <c r="M168" s="2262" t="s">
        <v>1289</v>
      </c>
      <c r="N168" s="3704">
        <v>0.8</v>
      </c>
      <c r="O168" s="3705"/>
      <c r="P168" s="2262" t="s">
        <v>612</v>
      </c>
      <c r="Q168" s="3704">
        <v>0.44</v>
      </c>
      <c r="R168" s="3705"/>
      <c r="V168" s="3637"/>
      <c r="W168" s="3638"/>
      <c r="X168" s="3639"/>
    </row>
    <row r="169" spans="1:24" s="294" customFormat="1" ht="13.9" customHeight="1" thickBot="1">
      <c r="B169" s="296" t="s">
        <v>1425</v>
      </c>
      <c r="J169" s="2407">
        <f ca="1">ROUNDDOWN(IF(J168=0,"",J167/J168),0)</f>
        <v>947887</v>
      </c>
      <c r="K169" s="2479"/>
      <c r="L169" s="2408"/>
      <c r="M169" s="312"/>
      <c r="N169" s="2269"/>
      <c r="O169" s="2269"/>
      <c r="V169" s="3637"/>
      <c r="W169" s="3638"/>
      <c r="X169" s="3639"/>
    </row>
    <row r="170" spans="1:24" s="294" customFormat="1" ht="6" customHeight="1">
      <c r="J170" s="363"/>
      <c r="K170" s="363"/>
      <c r="L170" s="363"/>
      <c r="M170" s="312"/>
      <c r="N170" s="2270"/>
      <c r="O170" s="2270"/>
      <c r="V170" s="1076"/>
      <c r="W170" s="3638"/>
      <c r="X170" s="3639"/>
    </row>
    <row r="171" spans="1:24" s="294" customFormat="1" ht="16.149999999999999" customHeight="1">
      <c r="B171" s="296" t="s">
        <v>2901</v>
      </c>
      <c r="J171" s="2480">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2481"/>
      <c r="L171" s="2482"/>
      <c r="M171" s="312"/>
      <c r="N171" s="2270"/>
      <c r="O171" s="2270"/>
      <c r="V171" s="3637"/>
      <c r="W171" s="3638"/>
      <c r="X171" s="3639"/>
    </row>
    <row r="172" spans="1:24" s="294" customFormat="1" ht="3" customHeight="1">
      <c r="J172" s="363"/>
      <c r="K172" s="363"/>
      <c r="L172" s="363"/>
      <c r="M172" s="312"/>
      <c r="N172" s="2270"/>
      <c r="O172" s="2270"/>
      <c r="V172" s="1076"/>
      <c r="W172" s="3676"/>
      <c r="X172" s="3677"/>
    </row>
    <row r="173" spans="1:24" s="294" customFormat="1" ht="16.149999999999999" customHeight="1">
      <c r="B173" s="296" t="s">
        <v>349</v>
      </c>
      <c r="J173" s="3706">
        <v>883000</v>
      </c>
      <c r="K173" s="3707"/>
      <c r="L173" s="3708"/>
      <c r="M173" s="364" t="str">
        <f ca="1">IF(J171=0,"",IF(J173&gt;J171,"ALLOCATION CANNOT EXCEED MAXIMUM - REVISE REQUEST (Try Round Down)!",""))</f>
        <v/>
      </c>
      <c r="N173" s="2270"/>
      <c r="O173" s="2270"/>
      <c r="V173" s="3637"/>
      <c r="W173" s="3638"/>
      <c r="X173" s="3639"/>
    </row>
    <row r="174" spans="1:24" s="294" customFormat="1" ht="3" customHeight="1">
      <c r="J174" s="363"/>
      <c r="K174" s="363"/>
      <c r="L174" s="363"/>
      <c r="M174" s="312"/>
      <c r="N174" s="2270"/>
      <c r="O174" s="2270"/>
      <c r="V174" s="1076"/>
      <c r="W174" s="3676"/>
      <c r="X174" s="3677"/>
    </row>
    <row r="175" spans="1:24" s="294" customFormat="1" ht="16.149999999999999" customHeight="1">
      <c r="A175" s="423" t="s">
        <v>1792</v>
      </c>
      <c r="B175" s="423" t="s">
        <v>2621</v>
      </c>
      <c r="D175" s="312"/>
      <c r="E175" s="312"/>
      <c r="F175" s="2259"/>
      <c r="J175" s="2490">
        <f ca="1">IF(J173="",0,+MIN(J171,J173))</f>
        <v>883000</v>
      </c>
      <c r="K175" s="2491"/>
      <c r="L175" s="2492"/>
      <c r="N175" s="3709"/>
      <c r="O175" s="3709"/>
      <c r="P175" s="3709"/>
      <c r="Q175" s="3709"/>
      <c r="R175" s="3709"/>
      <c r="S175" s="3709"/>
      <c r="T175" s="3709"/>
      <c r="V175" s="3637"/>
      <c r="W175" s="3638"/>
      <c r="X175" s="3639"/>
    </row>
    <row r="176" spans="1:24" ht="3" customHeight="1"/>
    <row r="177" spans="1:24" ht="6" customHeight="1"/>
    <row r="178" spans="1:24" ht="12" customHeight="1">
      <c r="A178" s="296" t="s">
        <v>1794</v>
      </c>
      <c r="B178" s="321" t="s">
        <v>572</v>
      </c>
      <c r="N178" s="296" t="s">
        <v>530</v>
      </c>
      <c r="O178" s="296" t="s">
        <v>79</v>
      </c>
    </row>
    <row r="179" spans="1:24" ht="352.5" customHeight="1">
      <c r="A179" s="3635" t="s">
        <v>5307</v>
      </c>
      <c r="B179" s="3635"/>
      <c r="C179" s="3635"/>
      <c r="D179" s="3635"/>
      <c r="E179" s="3635"/>
      <c r="F179" s="3635"/>
      <c r="G179" s="3635"/>
      <c r="H179" s="3635"/>
      <c r="I179" s="3635"/>
      <c r="J179" s="3635"/>
      <c r="K179" s="3635"/>
      <c r="L179" s="3635"/>
      <c r="M179" s="3635"/>
      <c r="N179" s="3710"/>
      <c r="O179" s="3710"/>
      <c r="P179" s="3710"/>
      <c r="Q179" s="3710"/>
      <c r="R179" s="3710"/>
      <c r="S179" s="3710"/>
      <c r="T179" s="3710"/>
      <c r="V179" s="966"/>
      <c r="W179" s="2402" t="s">
        <v>2694</v>
      </c>
      <c r="X179" s="2402"/>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Tg27J1TzgW10bMU6VtSMbVnoXrpZhWwxEROj/vpiANDl8SOHjHY4d+ucK2chc8uNI8y6yZKYI4ABiaqibeUgBw==" saltValue="1f+Ygd6kYUUGhiI586fIg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34"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33" priority="2" operator="greaterThan">
      <formula>$G$35</formula>
    </cfRule>
  </conditionalFormatting>
  <conditionalFormatting sqref="J36:K37 M36:N37 P36:Q37">
    <cfRule type="cellIs" dxfId="232" priority="1" operator="greaterThan">
      <formula>$G$37</formula>
    </cfRule>
  </conditionalFormatting>
  <conditionalFormatting sqref="G35">
    <cfRule type="cellIs" dxfId="231" priority="5" stopIfTrue="1" operator="greaterThan">
      <formula>$E35</formula>
    </cfRule>
  </conditionalFormatting>
  <conditionalFormatting sqref="G36">
    <cfRule type="cellIs" dxfId="230" priority="6" stopIfTrue="1" operator="greaterThan">
      <formula>$E$36</formula>
    </cfRule>
  </conditionalFormatting>
  <conditionalFormatting sqref="G37">
    <cfRule type="cellIs" dxfId="229"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workbookViewId="0">
      <selection sqref="A1:XFD1048576"/>
    </sheetView>
  </sheetViews>
  <sheetFormatPr defaultColWidth="9.140625" defaultRowHeight="12.75"/>
  <cols>
    <col min="1" max="1" width="7.140625" style="1890" customWidth="1"/>
    <col min="2" max="2" width="12.7109375" style="1890" customWidth="1"/>
    <col min="3" max="3" width="7.7109375" style="1890" customWidth="1"/>
    <col min="4" max="4" width="12.7109375" style="1890" customWidth="1"/>
    <col min="5" max="5" width="0.7109375" style="1890" customWidth="1"/>
    <col min="6" max="6" width="46.7109375" style="1890" customWidth="1"/>
    <col min="7" max="7" width="0.7109375" style="1890" customWidth="1"/>
    <col min="8" max="8" width="46.7109375" style="1890" customWidth="1"/>
    <col min="9" max="16384" width="9.140625" style="1890"/>
  </cols>
  <sheetData>
    <row r="1" spans="1:14" ht="15.75">
      <c r="A1" s="2553" t="str">
        <f>CONCATENATE("PART FOUR (b) -  OTHER COSTS","  -  ",'Part I-Project Information'!$O$6," - ",'Part I-Project Information'!$F$34,"  -  ",'Part I-Project Information'!$F$38,"  -  ",'Part I-Project Information'!$J$39,",  ","County")</f>
        <v>PART FOUR (b) -  OTHER COSTS  -  2019-078 - Abbington Sound  -  Kingsland  -  Camden,  County</v>
      </c>
      <c r="B1" s="2554"/>
      <c r="C1" s="2554"/>
      <c r="D1" s="2554"/>
      <c r="E1" s="2554"/>
      <c r="F1" s="2554"/>
      <c r="G1" s="2554"/>
      <c r="H1" s="2554"/>
      <c r="I1" s="942"/>
      <c r="J1" s="942"/>
      <c r="K1" s="942"/>
      <c r="L1" s="942"/>
      <c r="M1" s="942"/>
      <c r="N1" s="942"/>
    </row>
    <row r="2" spans="1:14" ht="9" customHeight="1"/>
    <row r="3" spans="1:14" ht="57" customHeight="1">
      <c r="A3" s="3711" t="s">
        <v>3711</v>
      </c>
      <c r="B3" s="3712"/>
      <c r="C3" s="3712"/>
      <c r="D3" s="3712"/>
      <c r="E3" s="3712"/>
      <c r="F3" s="3712"/>
      <c r="G3" s="3712"/>
      <c r="H3" s="3713"/>
    </row>
    <row r="4" spans="1:14" ht="6" customHeight="1"/>
    <row r="5" spans="1:14" ht="38.25" customHeight="1">
      <c r="A5" s="2555" t="s">
        <v>3827</v>
      </c>
      <c r="B5" s="2555"/>
      <c r="C5" s="2555"/>
      <c r="D5" s="2555"/>
      <c r="F5" s="943" t="s">
        <v>3702</v>
      </c>
      <c r="G5" s="561"/>
      <c r="H5" s="943" t="s">
        <v>3703</v>
      </c>
    </row>
    <row r="6" spans="1:14" ht="6.75" customHeight="1">
      <c r="A6" s="561"/>
      <c r="B6" s="561"/>
      <c r="C6" s="561"/>
      <c r="D6" s="561"/>
    </row>
    <row r="7" spans="1:14" s="3714" customFormat="1" ht="4.5" customHeight="1">
      <c r="A7" s="944"/>
      <c r="B7" s="944"/>
      <c r="C7" s="944"/>
      <c r="D7" s="944"/>
      <c r="E7" s="944"/>
      <c r="F7" s="944"/>
      <c r="G7" s="944"/>
    </row>
    <row r="8" spans="1:14" s="3714" customFormat="1">
      <c r="A8" s="953" t="s">
        <v>102</v>
      </c>
      <c r="B8" s="945"/>
      <c r="C8" s="945"/>
      <c r="D8" s="945"/>
      <c r="E8" s="945"/>
      <c r="F8" s="945"/>
      <c r="G8" s="945"/>
      <c r="H8" s="945"/>
    </row>
    <row r="9" spans="1:14" s="3714" customFormat="1" ht="41.25" customHeight="1">
      <c r="A9" s="2550" t="str">
        <f>'Part IV-A-Uses of Funds'!$C$14</f>
        <v>&lt;&lt; Enter description here; provide detail &amp; justification in tab Part IV-b &gt;&gt;</v>
      </c>
      <c r="B9" s="2551"/>
      <c r="C9" s="2551"/>
      <c r="D9" s="2552"/>
      <c r="F9" s="3715"/>
      <c r="G9" s="945"/>
      <c r="H9" s="3715"/>
    </row>
    <row r="10" spans="1:14" s="3714" customFormat="1" ht="41.25" customHeight="1">
      <c r="A10" s="2547"/>
      <c r="B10" s="2548"/>
      <c r="C10" s="2548"/>
      <c r="D10" s="2549"/>
      <c r="F10" s="3716"/>
      <c r="G10" s="945"/>
      <c r="H10" s="3716"/>
    </row>
    <row r="11" spans="1:14" s="3714" customFormat="1" ht="4.5" customHeight="1">
      <c r="F11" s="3716"/>
      <c r="G11" s="945"/>
      <c r="H11" s="3716"/>
    </row>
    <row r="12" spans="1:14" s="3714" customFormat="1" ht="15" customHeight="1">
      <c r="A12" s="952" t="s">
        <v>3705</v>
      </c>
      <c r="B12" s="951">
        <f>'Part IV-A-Uses of Funds'!$G$14</f>
        <v>0</v>
      </c>
      <c r="C12" s="952" t="s">
        <v>1790</v>
      </c>
      <c r="D12" s="951">
        <f>'Part IV-A-Uses of Funds'!$J$14+'Part IV-A-Uses of Funds'!$M$14+'Part IV-A-Uses of Funds'!$P$14</f>
        <v>0</v>
      </c>
      <c r="F12" s="3716"/>
      <c r="G12" s="945"/>
      <c r="H12" s="3716"/>
    </row>
    <row r="13" spans="1:14" s="3714" customFormat="1" ht="6" customHeight="1">
      <c r="A13" s="945"/>
      <c r="B13" s="946"/>
      <c r="C13" s="945"/>
      <c r="D13" s="945"/>
      <c r="F13" s="3716"/>
      <c r="G13" s="947"/>
      <c r="H13" s="3716"/>
    </row>
    <row r="14" spans="1:14" s="3714" customFormat="1" ht="41.25" customHeight="1">
      <c r="A14" s="2550" t="str">
        <f>'Part IV-A-Uses of Funds'!$C$15</f>
        <v>&lt;&lt; Enter description here; provide detail &amp; justification in tab Part IV-b &gt;&gt;</v>
      </c>
      <c r="B14" s="2551"/>
      <c r="C14" s="2551"/>
      <c r="D14" s="2552"/>
      <c r="F14" s="3716"/>
      <c r="G14" s="945"/>
      <c r="H14" s="3716"/>
    </row>
    <row r="15" spans="1:14" s="3714" customFormat="1" ht="41.25" customHeight="1">
      <c r="A15" s="2547"/>
      <c r="B15" s="2548"/>
      <c r="C15" s="2548"/>
      <c r="D15" s="2549"/>
      <c r="F15" s="3716"/>
      <c r="G15" s="945"/>
      <c r="H15" s="3716"/>
    </row>
    <row r="16" spans="1:14" s="3714" customFormat="1" ht="4.5" customHeight="1">
      <c r="F16" s="3716"/>
      <c r="G16" s="945"/>
      <c r="H16" s="3716"/>
    </row>
    <row r="17" spans="1:8" s="3714" customFormat="1" ht="15" customHeight="1">
      <c r="A17" s="952" t="s">
        <v>3705</v>
      </c>
      <c r="B17" s="951">
        <f>'Part IV-A-Uses of Funds'!$G$15</f>
        <v>0</v>
      </c>
      <c r="C17" s="952" t="s">
        <v>1790</v>
      </c>
      <c r="D17" s="951">
        <f>'Part IV-A-Uses of Funds'!$J$15+'Part IV-A-Uses of Funds'!$M$15+'Part IV-A-Uses of Funds'!$P$15</f>
        <v>0</v>
      </c>
      <c r="F17" s="3716"/>
      <c r="G17" s="945"/>
      <c r="H17" s="3716"/>
    </row>
    <row r="18" spans="1:8" s="3714" customFormat="1" ht="6" customHeight="1">
      <c r="A18" s="945"/>
      <c r="B18" s="946"/>
      <c r="C18" s="945"/>
      <c r="D18" s="945"/>
      <c r="F18" s="3716"/>
      <c r="G18" s="947"/>
      <c r="H18" s="3716"/>
    </row>
    <row r="19" spans="1:8" s="3714" customFormat="1" ht="41.25" customHeight="1">
      <c r="A19" s="2550" t="str">
        <f>'Part IV-A-Uses of Funds'!$C$16</f>
        <v>&lt;&lt; Enter description here; provide detail &amp; justification in tab Part IV-b &gt;&gt;</v>
      </c>
      <c r="B19" s="2551"/>
      <c r="C19" s="2551"/>
      <c r="D19" s="2552"/>
      <c r="F19" s="3716"/>
      <c r="G19" s="945"/>
      <c r="H19" s="3716"/>
    </row>
    <row r="20" spans="1:8" s="3714" customFormat="1" ht="41.25" customHeight="1">
      <c r="A20" s="2547"/>
      <c r="B20" s="2548"/>
      <c r="C20" s="2548"/>
      <c r="D20" s="2549"/>
      <c r="F20" s="3716"/>
      <c r="G20" s="945"/>
      <c r="H20" s="3716"/>
    </row>
    <row r="21" spans="1:8" s="3714" customFormat="1" ht="4.5" customHeight="1">
      <c r="F21" s="3716"/>
      <c r="G21" s="945"/>
      <c r="H21" s="3716"/>
    </row>
    <row r="22" spans="1:8" s="3714" customFormat="1" ht="15" customHeight="1">
      <c r="A22" s="952" t="s">
        <v>3705</v>
      </c>
      <c r="B22" s="951">
        <f>'Part IV-A-Uses of Funds'!$G$16</f>
        <v>0</v>
      </c>
      <c r="C22" s="952" t="s">
        <v>1790</v>
      </c>
      <c r="D22" s="951">
        <f>'Part IV-A-Uses of Funds'!$J$16+'Part IV-A-Uses of Funds'!$M$16+'Part IV-A-Uses of Funds'!$P$16</f>
        <v>0</v>
      </c>
      <c r="F22" s="3716"/>
      <c r="G22" s="945"/>
      <c r="H22" s="3716"/>
    </row>
    <row r="23" spans="1:8" s="3714" customFormat="1" ht="6" customHeight="1">
      <c r="A23" s="945"/>
      <c r="B23" s="946"/>
      <c r="C23" s="945"/>
      <c r="D23" s="945"/>
      <c r="F23" s="3717"/>
      <c r="G23" s="947"/>
      <c r="H23" s="3717"/>
    </row>
    <row r="24" spans="1:8" s="3714" customFormat="1">
      <c r="A24" s="953" t="s">
        <v>3704</v>
      </c>
      <c r="B24" s="945"/>
      <c r="C24" s="945"/>
      <c r="D24" s="945"/>
      <c r="E24" s="945"/>
      <c r="F24" s="945"/>
      <c r="G24" s="945"/>
    </row>
    <row r="25" spans="1:8" s="3714" customFormat="1" ht="41.25" customHeight="1">
      <c r="A25" s="2550" t="str">
        <f>'Part IV-A-Uses of Funds'!$C$41</f>
        <v>&lt;&lt; Enter description here; provide detail &amp; justification in tab Part IV-b &gt;&gt;</v>
      </c>
      <c r="B25" s="2551"/>
      <c r="C25" s="2551"/>
      <c r="D25" s="2552"/>
      <c r="E25" s="945"/>
      <c r="F25" s="3718"/>
      <c r="G25" s="945"/>
      <c r="H25" s="3718"/>
    </row>
    <row r="26" spans="1:8" s="3714" customFormat="1" ht="41.25" customHeight="1">
      <c r="A26" s="2547"/>
      <c r="B26" s="2548"/>
      <c r="C26" s="2548"/>
      <c r="D26" s="2549"/>
      <c r="E26" s="945"/>
      <c r="F26" s="3719"/>
      <c r="G26" s="945"/>
      <c r="H26" s="3719"/>
    </row>
    <row r="27" spans="1:8" s="3714" customFormat="1" ht="4.5" customHeight="1">
      <c r="A27" s="945"/>
      <c r="B27" s="945"/>
      <c r="C27" s="945"/>
      <c r="D27" s="945"/>
      <c r="E27" s="945"/>
      <c r="F27" s="3719"/>
      <c r="G27" s="945"/>
      <c r="H27" s="3719"/>
    </row>
    <row r="28" spans="1:8" s="3714" customFormat="1" ht="25.5">
      <c r="A28" s="952" t="s">
        <v>3705</v>
      </c>
      <c r="B28" s="951">
        <f>'Part IV-A-Uses of Funds'!$G$41</f>
        <v>0</v>
      </c>
      <c r="C28" s="952" t="s">
        <v>1790</v>
      </c>
      <c r="D28" s="951">
        <f>'Part IV-A-Uses of Funds'!$J$41+'Part IV-A-Uses of Funds'!$M$41+'Part IV-A-Uses of Funds'!$P$41</f>
        <v>0</v>
      </c>
      <c r="E28" s="945"/>
      <c r="F28" s="3719"/>
      <c r="G28" s="945"/>
      <c r="H28" s="3719"/>
    </row>
    <row r="29" spans="1:8" s="3714" customFormat="1" ht="6" customHeight="1">
      <c r="A29" s="945"/>
      <c r="B29" s="946"/>
      <c r="C29" s="945"/>
      <c r="D29" s="945"/>
      <c r="E29" s="945"/>
      <c r="F29" s="3720"/>
      <c r="G29" s="947"/>
      <c r="H29" s="3720"/>
    </row>
    <row r="30" spans="1:8" s="3714" customFormat="1">
      <c r="A30" s="953" t="s">
        <v>722</v>
      </c>
      <c r="B30" s="945"/>
      <c r="C30" s="945"/>
      <c r="D30" s="945"/>
      <c r="E30" s="945"/>
      <c r="F30" s="945"/>
      <c r="G30" s="945"/>
    </row>
    <row r="31" spans="1:8" s="3714" customFormat="1" ht="41.25" customHeight="1">
      <c r="A31" s="2544" t="str">
        <f>'Part IV-A-Uses of Funds'!$C$62</f>
        <v>&lt;&lt; Enter description here; provide detail &amp; justification in tab Part IV-b &gt;&gt;</v>
      </c>
      <c r="B31" s="2545"/>
      <c r="C31" s="2545"/>
      <c r="D31" s="2546"/>
      <c r="E31" s="945"/>
      <c r="F31" s="3715"/>
      <c r="G31" s="945"/>
      <c r="H31" s="3715"/>
    </row>
    <row r="32" spans="1:8" s="3714" customFormat="1" ht="41.25" customHeight="1">
      <c r="A32" s="2547"/>
      <c r="B32" s="2548"/>
      <c r="C32" s="2548"/>
      <c r="D32" s="2549"/>
      <c r="E32" s="945"/>
      <c r="F32" s="3716"/>
      <c r="G32" s="945"/>
      <c r="H32" s="3716"/>
    </row>
    <row r="33" spans="1:8" s="3714" customFormat="1" ht="4.5" customHeight="1">
      <c r="A33" s="945"/>
      <c r="B33" s="945"/>
      <c r="C33" s="945"/>
      <c r="D33" s="945"/>
      <c r="E33" s="945"/>
      <c r="F33" s="3716"/>
      <c r="G33" s="945"/>
      <c r="H33" s="3716"/>
    </row>
    <row r="34" spans="1:8" s="3714" customFormat="1" ht="14.25" customHeight="1">
      <c r="A34" s="952" t="s">
        <v>3705</v>
      </c>
      <c r="B34" s="951">
        <f>'Part IV-A-Uses of Funds'!$G$62</f>
        <v>0</v>
      </c>
      <c r="C34" s="952" t="s">
        <v>1790</v>
      </c>
      <c r="D34" s="951">
        <f>'Part IV-A-Uses of Funds'!$J$62+'Part IV-A-Uses of Funds'!$M$62+'Part IV-A-Uses of Funds'!$P$62</f>
        <v>0</v>
      </c>
      <c r="E34" s="945"/>
      <c r="F34" s="3716"/>
      <c r="G34" s="945"/>
      <c r="H34" s="3716"/>
    </row>
    <row r="35" spans="1:8" s="3714" customFormat="1" ht="6" customHeight="1">
      <c r="D35" s="945"/>
      <c r="E35" s="945"/>
      <c r="F35" s="3716"/>
      <c r="G35" s="947"/>
      <c r="H35" s="3716"/>
    </row>
    <row r="36" spans="1:8" s="3714" customFormat="1" ht="41.25" customHeight="1">
      <c r="A36" s="2544" t="str">
        <f>'Part IV-A-Uses of Funds'!$C$63</f>
        <v>&lt;&lt; Enter description here; provide detail &amp; justification in tab Part IV-b &gt;&gt;</v>
      </c>
      <c r="B36" s="2545"/>
      <c r="C36" s="2545"/>
      <c r="D36" s="2546"/>
      <c r="E36" s="945"/>
      <c r="F36" s="3716"/>
      <c r="G36" s="945"/>
      <c r="H36" s="3716"/>
    </row>
    <row r="37" spans="1:8" s="3714" customFormat="1" ht="41.25" customHeight="1">
      <c r="A37" s="2547"/>
      <c r="B37" s="2548"/>
      <c r="C37" s="2548"/>
      <c r="D37" s="2549"/>
      <c r="E37" s="945"/>
      <c r="F37" s="3716"/>
      <c r="G37" s="945"/>
      <c r="H37" s="3716"/>
    </row>
    <row r="38" spans="1:8" s="3714" customFormat="1" ht="4.5" customHeight="1">
      <c r="A38" s="945"/>
      <c r="B38" s="945"/>
      <c r="C38" s="945"/>
      <c r="D38" s="945"/>
      <c r="E38" s="945"/>
      <c r="F38" s="3716"/>
      <c r="G38" s="945"/>
      <c r="H38" s="3716"/>
    </row>
    <row r="39" spans="1:8" s="3714" customFormat="1" ht="14.25" customHeight="1">
      <c r="A39" s="952" t="s">
        <v>3705</v>
      </c>
      <c r="B39" s="951">
        <f>'Part IV-A-Uses of Funds'!$G$63</f>
        <v>0</v>
      </c>
      <c r="C39" s="952" t="s">
        <v>1790</v>
      </c>
      <c r="D39" s="951">
        <f>'Part IV-A-Uses of Funds'!$J$63+'Part IV-A-Uses of Funds'!$M$63+'Part IV-A-Uses of Funds'!$P$63</f>
        <v>0</v>
      </c>
      <c r="E39" s="945"/>
      <c r="F39" s="3716"/>
      <c r="G39" s="945"/>
      <c r="H39" s="3716"/>
    </row>
    <row r="40" spans="1:8" s="3714" customFormat="1" ht="6" customHeight="1">
      <c r="D40" s="945"/>
      <c r="E40" s="945"/>
      <c r="F40" s="3717"/>
      <c r="G40" s="947"/>
      <c r="H40" s="3717"/>
    </row>
    <row r="41" spans="1:8" s="3714" customFormat="1">
      <c r="A41" s="953" t="s">
        <v>476</v>
      </c>
      <c r="B41" s="945"/>
      <c r="C41" s="945"/>
      <c r="D41" s="945"/>
      <c r="E41" s="949"/>
      <c r="F41" s="949"/>
      <c r="G41" s="945"/>
    </row>
    <row r="42" spans="1:8" s="3714" customFormat="1" ht="41.25" customHeight="1">
      <c r="A42" s="2544" t="str">
        <f>'Part IV-A-Uses of Funds'!$C$76</f>
        <v>&lt;&lt; Enter description here; provide detail &amp; justification in tab Part IV-b &gt;&gt;</v>
      </c>
      <c r="B42" s="2545"/>
      <c r="C42" s="2545"/>
      <c r="D42" s="2546"/>
      <c r="F42" s="3718"/>
      <c r="G42" s="945"/>
      <c r="H42" s="3718"/>
    </row>
    <row r="43" spans="1:8" s="3714" customFormat="1" ht="41.25" customHeight="1">
      <c r="A43" s="2547"/>
      <c r="B43" s="2548"/>
      <c r="C43" s="2548"/>
      <c r="D43" s="2549"/>
      <c r="E43" s="945"/>
      <c r="F43" s="3719"/>
      <c r="G43" s="945"/>
      <c r="H43" s="3719"/>
    </row>
    <row r="44" spans="1:8" s="3714" customFormat="1" ht="4.5" customHeight="1">
      <c r="A44" s="945"/>
      <c r="B44" s="945"/>
      <c r="C44" s="945"/>
      <c r="D44" s="945"/>
      <c r="E44" s="945"/>
      <c r="F44" s="3719"/>
      <c r="G44" s="945"/>
      <c r="H44" s="3719"/>
    </row>
    <row r="45" spans="1:8" s="3714" customFormat="1" ht="13.5" customHeight="1">
      <c r="A45" s="952" t="s">
        <v>3705</v>
      </c>
      <c r="B45" s="951">
        <f>'Part IV-A-Uses of Funds'!$G$76</f>
        <v>0</v>
      </c>
      <c r="C45" s="952" t="s">
        <v>1790</v>
      </c>
      <c r="D45" s="951">
        <f>'Part IV-A-Uses of Funds'!$J$76+'Part IV-A-Uses of Funds'!$M$76+'Part IV-A-Uses of Funds'!$P$76</f>
        <v>0</v>
      </c>
      <c r="E45" s="945"/>
      <c r="F45" s="3719"/>
      <c r="G45" s="945"/>
      <c r="H45" s="3719"/>
    </row>
    <row r="46" spans="1:8" s="3714" customFormat="1" ht="6" customHeight="1">
      <c r="A46" s="945"/>
      <c r="B46" s="946"/>
      <c r="C46" s="945"/>
      <c r="D46" s="945"/>
      <c r="E46" s="945"/>
      <c r="F46" s="3720"/>
      <c r="G46" s="947"/>
      <c r="H46" s="3720"/>
    </row>
    <row r="47" spans="1:8" s="3714" customFormat="1">
      <c r="A47" s="953" t="s">
        <v>724</v>
      </c>
      <c r="B47" s="945"/>
      <c r="C47" s="945"/>
      <c r="D47" s="945"/>
      <c r="E47" s="945"/>
      <c r="F47" s="945"/>
      <c r="G47" s="945"/>
    </row>
    <row r="48" spans="1:8" s="3714" customFormat="1" ht="41.25" customHeight="1">
      <c r="A48" s="2544" t="str">
        <f>'Part IV-A-Uses of Funds'!$C$90</f>
        <v>&lt;&lt; Enter description here; provide detail &amp; justification in tab Part IV-b &gt;&gt;</v>
      </c>
      <c r="B48" s="2545"/>
      <c r="C48" s="2545"/>
      <c r="D48" s="2546"/>
      <c r="F48" s="3718"/>
      <c r="G48" s="945"/>
    </row>
    <row r="49" spans="1:7" s="3714" customFormat="1" ht="41.25" customHeight="1">
      <c r="A49" s="2547"/>
      <c r="B49" s="2548"/>
      <c r="C49" s="2548"/>
      <c r="D49" s="2549"/>
      <c r="E49" s="945"/>
      <c r="F49" s="3719"/>
      <c r="G49" s="945"/>
    </row>
    <row r="50" spans="1:7" s="3714" customFormat="1" ht="3" customHeight="1">
      <c r="A50" s="945"/>
      <c r="B50" s="945"/>
      <c r="C50" s="945"/>
      <c r="D50" s="945"/>
      <c r="E50" s="945"/>
      <c r="F50" s="3719"/>
      <c r="G50" s="945"/>
    </row>
    <row r="51" spans="1:7" s="3714" customFormat="1" ht="13.5" customHeight="1">
      <c r="A51" s="952" t="s">
        <v>3705</v>
      </c>
      <c r="B51" s="951">
        <f>'Part IV-A-Uses of Funds'!$G$90</f>
        <v>0</v>
      </c>
      <c r="C51" s="948"/>
      <c r="D51" s="948"/>
      <c r="E51" s="945"/>
      <c r="F51" s="3719"/>
      <c r="G51" s="945"/>
    </row>
    <row r="52" spans="1:7" s="3714" customFormat="1" ht="3.75" customHeight="1">
      <c r="A52" s="945"/>
      <c r="B52" s="945"/>
      <c r="C52" s="945"/>
      <c r="D52" s="945"/>
      <c r="E52" s="945"/>
      <c r="F52" s="3720"/>
      <c r="G52" s="947"/>
    </row>
    <row r="53" spans="1:7" s="3714" customFormat="1">
      <c r="A53" s="953" t="s">
        <v>3706</v>
      </c>
      <c r="B53" s="945"/>
      <c r="C53" s="945"/>
      <c r="D53" s="945"/>
      <c r="E53" s="945"/>
      <c r="F53" s="945"/>
      <c r="G53" s="945"/>
    </row>
    <row r="54" spans="1:7" s="3714" customFormat="1" ht="41.25" customHeight="1">
      <c r="A54" s="2544" t="str">
        <f>'Part IV-A-Uses of Funds'!$C$103</f>
        <v>&lt;&lt; Enter description here; provide detail &amp; justification in tab Part IV-b &gt;&gt;</v>
      </c>
      <c r="B54" s="2545"/>
      <c r="C54" s="2545"/>
      <c r="D54" s="2546"/>
      <c r="F54" s="3715"/>
      <c r="G54" s="945"/>
    </row>
    <row r="55" spans="1:7" s="3714" customFormat="1" ht="41.25" customHeight="1">
      <c r="A55" s="2547"/>
      <c r="B55" s="2548"/>
      <c r="C55" s="2548"/>
      <c r="D55" s="2549"/>
      <c r="E55" s="945"/>
      <c r="F55" s="3716"/>
      <c r="G55" s="945"/>
    </row>
    <row r="56" spans="1:7" s="3714" customFormat="1" ht="3" customHeight="1">
      <c r="A56" s="945"/>
      <c r="B56" s="945"/>
      <c r="C56" s="945"/>
      <c r="D56" s="945"/>
      <c r="E56" s="945"/>
      <c r="F56" s="3716"/>
      <c r="G56" s="945"/>
    </row>
    <row r="57" spans="1:7" s="3714" customFormat="1" ht="25.5">
      <c r="A57" s="952" t="s">
        <v>3705</v>
      </c>
      <c r="B57" s="951">
        <f>'Part IV-A-Uses of Funds'!$G$103</f>
        <v>0</v>
      </c>
      <c r="C57" s="948"/>
      <c r="D57" s="948"/>
      <c r="E57" s="945"/>
      <c r="F57" s="3716"/>
      <c r="G57" s="945"/>
    </row>
    <row r="58" spans="1:7" s="3714" customFormat="1" ht="3.75" customHeight="1">
      <c r="A58" s="944"/>
      <c r="B58" s="944"/>
      <c r="C58" s="944"/>
      <c r="D58" s="944"/>
      <c r="E58" s="944"/>
      <c r="F58" s="3716"/>
      <c r="G58" s="947"/>
    </row>
    <row r="59" spans="1:7" s="3714" customFormat="1" ht="41.25" customHeight="1">
      <c r="A59" s="2544" t="str">
        <f>'Part IV-A-Uses of Funds'!$C$104</f>
        <v>&lt;&lt; Enter description here; provide detail &amp; justification in tab Part IV-b &gt;&gt;</v>
      </c>
      <c r="B59" s="2545"/>
      <c r="C59" s="2545"/>
      <c r="D59" s="2546"/>
      <c r="F59" s="3716"/>
      <c r="G59" s="945"/>
    </row>
    <row r="60" spans="1:7" s="3714" customFormat="1" ht="41.25" customHeight="1">
      <c r="A60" s="2547"/>
      <c r="B60" s="2548"/>
      <c r="C60" s="2548"/>
      <c r="D60" s="2549"/>
      <c r="E60" s="945"/>
      <c r="F60" s="3716"/>
      <c r="G60" s="945"/>
    </row>
    <row r="61" spans="1:7" s="3714" customFormat="1" ht="3" customHeight="1">
      <c r="A61" s="945"/>
      <c r="B61" s="945"/>
      <c r="C61" s="945"/>
      <c r="D61" s="945"/>
      <c r="E61" s="945"/>
      <c r="F61" s="3716"/>
      <c r="G61" s="945"/>
    </row>
    <row r="62" spans="1:7" s="3714" customFormat="1" ht="25.5">
      <c r="A62" s="952" t="s">
        <v>3705</v>
      </c>
      <c r="B62" s="951">
        <f>'Part IV-A-Uses of Funds'!$G$104</f>
        <v>0</v>
      </c>
      <c r="C62" s="948"/>
      <c r="D62" s="948"/>
      <c r="E62" s="945"/>
      <c r="F62" s="3716"/>
      <c r="G62" s="945"/>
    </row>
    <row r="63" spans="1:7" s="3714" customFormat="1" ht="3.75" customHeight="1">
      <c r="A63" s="944"/>
      <c r="B63" s="944"/>
      <c r="C63" s="944"/>
      <c r="D63" s="944"/>
      <c r="E63" s="944"/>
      <c r="F63" s="3717"/>
      <c r="G63" s="947"/>
    </row>
    <row r="64" spans="1:7" s="3714" customFormat="1">
      <c r="A64" s="953" t="s">
        <v>3707</v>
      </c>
      <c r="B64" s="945"/>
      <c r="C64" s="945"/>
      <c r="D64" s="945"/>
      <c r="E64" s="945"/>
      <c r="F64" s="945"/>
      <c r="G64" s="945"/>
    </row>
    <row r="65" spans="1:8" s="3714" customFormat="1" ht="41.25" customHeight="1">
      <c r="A65" s="2544" t="str">
        <f>'Part IV-A-Uses of Funds'!$C$110</f>
        <v>&lt;&lt; Enter description here; provide detail &amp; justification in tab Part IV-b &gt;&gt;</v>
      </c>
      <c r="B65" s="2545"/>
      <c r="C65" s="2545"/>
      <c r="D65" s="2546"/>
      <c r="F65" s="3718"/>
      <c r="G65" s="945"/>
    </row>
    <row r="66" spans="1:8" s="3714" customFormat="1" ht="41.25" customHeight="1">
      <c r="A66" s="2547"/>
      <c r="B66" s="2548"/>
      <c r="C66" s="2548"/>
      <c r="D66" s="2549"/>
      <c r="E66" s="945"/>
      <c r="F66" s="3719"/>
      <c r="G66" s="945"/>
    </row>
    <row r="67" spans="1:8" s="3714" customFormat="1" ht="3" customHeight="1">
      <c r="A67" s="945"/>
      <c r="B67" s="945"/>
      <c r="C67" s="945"/>
      <c r="D67" s="945"/>
      <c r="E67" s="945"/>
      <c r="F67" s="3719"/>
      <c r="G67" s="945"/>
    </row>
    <row r="68" spans="1:8" s="3714" customFormat="1" ht="25.5">
      <c r="A68" s="952" t="s">
        <v>3705</v>
      </c>
      <c r="B68" s="951">
        <f>'Part IV-A-Uses of Funds'!$G$110</f>
        <v>0</v>
      </c>
      <c r="C68" s="948"/>
      <c r="D68" s="948"/>
      <c r="E68" s="945"/>
      <c r="F68" s="3719"/>
      <c r="G68" s="945"/>
    </row>
    <row r="69" spans="1:8" s="3714" customFormat="1" ht="3.75" customHeight="1">
      <c r="A69" s="945"/>
      <c r="B69" s="946"/>
      <c r="C69" s="945"/>
      <c r="D69" s="945"/>
      <c r="E69" s="945"/>
      <c r="F69" s="3720"/>
      <c r="G69" s="947"/>
    </row>
    <row r="70" spans="1:8" s="3714" customFormat="1">
      <c r="A70" s="953" t="s">
        <v>1309</v>
      </c>
      <c r="B70" s="945"/>
      <c r="C70" s="945"/>
      <c r="D70" s="945"/>
      <c r="E70" s="945"/>
      <c r="F70" s="945"/>
      <c r="G70" s="945"/>
    </row>
    <row r="71" spans="1:8" s="3714" customFormat="1" ht="41.25" customHeight="1">
      <c r="A71" s="2544" t="str">
        <f>'Part IV-A-Uses of Funds'!$C$125</f>
        <v>&lt;&lt; Enter description here; provide detail &amp; justification in tab Part IV-b &gt;&gt;</v>
      </c>
      <c r="B71" s="2545"/>
      <c r="C71" s="2545"/>
      <c r="D71" s="2546"/>
      <c r="F71" s="3718"/>
      <c r="G71" s="945"/>
      <c r="H71" s="3718"/>
    </row>
    <row r="72" spans="1:8" s="3714" customFormat="1" ht="41.25" customHeight="1">
      <c r="A72" s="2547"/>
      <c r="B72" s="2548"/>
      <c r="C72" s="2548"/>
      <c r="D72" s="2549"/>
      <c r="E72" s="945"/>
      <c r="F72" s="3719"/>
      <c r="G72" s="945"/>
      <c r="H72" s="3719"/>
    </row>
    <row r="73" spans="1:8" s="3714" customFormat="1" ht="4.5" customHeight="1">
      <c r="A73" s="945"/>
      <c r="B73" s="945"/>
      <c r="C73" s="945"/>
      <c r="D73" s="945"/>
      <c r="E73" s="945"/>
      <c r="F73" s="3719"/>
      <c r="G73" s="945"/>
      <c r="H73" s="3719"/>
    </row>
    <row r="74" spans="1:8" s="3714" customFormat="1" ht="12.75" customHeight="1">
      <c r="A74" s="952" t="s">
        <v>3705</v>
      </c>
      <c r="B74" s="951">
        <f>'Part IV-A-Uses of Funds'!$G$125</f>
        <v>0</v>
      </c>
      <c r="C74" s="952" t="s">
        <v>1790</v>
      </c>
      <c r="D74" s="951">
        <f>'Part IV-A-Uses of Funds'!$J$125+'Part IV-A-Uses of Funds'!$M$125+'Part IV-A-Uses of Funds'!$P$125</f>
        <v>0</v>
      </c>
      <c r="E74" s="945"/>
      <c r="F74" s="3719"/>
      <c r="G74" s="945"/>
      <c r="H74" s="3719"/>
    </row>
    <row r="75" spans="1:8" s="3714" customFormat="1" ht="6" customHeight="1">
      <c r="A75" s="945"/>
      <c r="B75" s="946"/>
      <c r="C75" s="945"/>
      <c r="D75" s="945"/>
      <c r="E75" s="945"/>
      <c r="F75" s="3720"/>
      <c r="G75" s="947"/>
      <c r="H75" s="3720"/>
    </row>
    <row r="76" spans="1:8" s="3714" customFormat="1">
      <c r="A76" s="953" t="s">
        <v>3708</v>
      </c>
      <c r="B76" s="946"/>
      <c r="C76" s="945"/>
      <c r="D76" s="945"/>
      <c r="E76" s="945"/>
      <c r="F76" s="945"/>
      <c r="G76" s="947"/>
    </row>
    <row r="77" spans="1:8" s="3714" customFormat="1" ht="41.25" customHeight="1">
      <c r="A77" s="2544" t="str">
        <f>'Part IV-A-Uses of Funds'!$C$129</f>
        <v>&lt;&lt; Enter description here; provide detail &amp; justification in tab Part IV-b &gt;&gt;</v>
      </c>
      <c r="B77" s="2545"/>
      <c r="C77" s="2545"/>
      <c r="D77" s="2546"/>
      <c r="F77" s="3718"/>
      <c r="G77" s="945"/>
      <c r="H77" s="3718"/>
    </row>
    <row r="78" spans="1:8" s="3714" customFormat="1" ht="41.25" customHeight="1">
      <c r="A78" s="2547"/>
      <c r="B78" s="2548"/>
      <c r="C78" s="2548"/>
      <c r="D78" s="2549"/>
      <c r="E78" s="945"/>
      <c r="F78" s="3719"/>
      <c r="G78" s="945"/>
      <c r="H78" s="3719"/>
    </row>
    <row r="79" spans="1:8" s="3714" customFormat="1" ht="4.5" customHeight="1">
      <c r="A79" s="945"/>
      <c r="B79" s="945"/>
      <c r="C79" s="945"/>
      <c r="D79" s="945"/>
      <c r="E79" s="945"/>
      <c r="F79" s="3719"/>
      <c r="G79" s="945"/>
      <c r="H79" s="3719"/>
    </row>
    <row r="80" spans="1:8" s="3714" customFormat="1" ht="12.75" customHeight="1">
      <c r="A80" s="952" t="s">
        <v>3705</v>
      </c>
      <c r="B80" s="951">
        <f>'Part IV-A-Uses of Funds'!$G$129</f>
        <v>0</v>
      </c>
      <c r="C80" s="952" t="s">
        <v>1790</v>
      </c>
      <c r="D80" s="951">
        <f>'Part IV-A-Uses of Funds'!$J$129+'Part IV-A-Uses of Funds'!$M$129+'Part IV-A-Uses of Funds'!$P$129</f>
        <v>0</v>
      </c>
      <c r="E80" s="950"/>
      <c r="F80" s="3719"/>
      <c r="G80" s="945"/>
      <c r="H80" s="3719"/>
    </row>
    <row r="81" spans="4:8" s="3714" customFormat="1" ht="6" customHeight="1">
      <c r="D81" s="2320"/>
      <c r="E81" s="3721"/>
      <c r="F81" s="3720"/>
      <c r="G81" s="947"/>
      <c r="H81" s="3720"/>
    </row>
    <row r="82" spans="4:8" s="3714" customFormat="1"/>
    <row r="83" spans="4:8" s="3714" customFormat="1"/>
    <row r="84" spans="4:8" s="3714" customFormat="1"/>
    <row r="85" spans="4:8" s="3714" customFormat="1"/>
    <row r="86" spans="4:8" s="3714" customFormat="1"/>
    <row r="87" spans="4:8" s="3714" customFormat="1"/>
    <row r="88" spans="4:8" s="3714" customFormat="1"/>
    <row r="89" spans="4:8" s="3714" customFormat="1"/>
    <row r="90" spans="4:8" s="3714" customFormat="1"/>
    <row r="91" spans="4:8" s="3714" customFormat="1"/>
    <row r="92" spans="4:8" s="3714" customFormat="1"/>
  </sheetData>
  <sheetProtection algorithmName="SHA-512" hashValue="iFstTc5tmHhFS7kWZ8b0gWcvlnzQ/dJAJjX4S2XF9NwOL4GXPCDyHJTxzYgNFwkqI80LKjXXDtvbhJuoCbLhiw==" saltValue="BvK+1pGUo/xTci79nEizc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workbookViewId="0">
      <selection sqref="A1:XFD1048576"/>
    </sheetView>
  </sheetViews>
  <sheetFormatPr defaultColWidth="8.7109375" defaultRowHeight="12.75"/>
  <cols>
    <col min="1" max="1" width="2.140625" style="26" customWidth="1"/>
    <col min="2" max="3" width="8.7109375" style="26"/>
    <col min="4" max="4" width="12.7109375" style="26" customWidth="1"/>
    <col min="5" max="5" width="9.42578125" style="26" customWidth="1"/>
    <col min="6" max="7" width="9.7109375" style="26" customWidth="1"/>
    <col min="8" max="8" width="8.140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2559" t="str">
        <f>CONCATENATE("PART FIVE - UTILITY ALLOWANCES","  -  ",'Part I-Project Information'!$O$6," ",'Part I-Project Information'!$F$34,", ",'Part I-Project Information'!F38,", ",'Part I-Project Information'!J39," County")</f>
        <v>PART FIVE - UTILITY ALLOWANCES  -  2019-078 Abbington Sound, Kingsland, Camden County</v>
      </c>
      <c r="B1" s="2560"/>
      <c r="C1" s="2560"/>
      <c r="D1" s="2560"/>
      <c r="E1" s="2560"/>
      <c r="F1" s="2560"/>
      <c r="G1" s="2560"/>
      <c r="H1" s="2560"/>
      <c r="I1" s="2560"/>
      <c r="J1" s="2560"/>
      <c r="K1" s="2560"/>
      <c r="L1" s="2560"/>
      <c r="M1" s="2560"/>
      <c r="N1" s="9"/>
      <c r="O1" s="9"/>
      <c r="P1" s="9"/>
      <c r="Q1" s="9"/>
      <c r="R1" s="15"/>
      <c r="S1" s="15"/>
      <c r="T1" s="15"/>
    </row>
    <row r="2" spans="1:20" s="7" customFormat="1" ht="7.5" customHeight="1"/>
    <row r="3" spans="1:20" s="7" customFormat="1" ht="12.75" customHeight="1">
      <c r="B3" s="2561" t="str">
        <f>'Part I-Project Information'!$B$6</f>
        <v>April 2019 Final</v>
      </c>
      <c r="C3" s="2561"/>
      <c r="D3" s="2561"/>
      <c r="E3" s="2561"/>
      <c r="F3" s="3" t="s">
        <v>4606</v>
      </c>
      <c r="I3" s="2283"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2228</v>
      </c>
      <c r="F7" s="1" t="s">
        <v>2520</v>
      </c>
      <c r="G7" s="1"/>
      <c r="H7" s="1"/>
      <c r="I7" s="3722" t="s">
        <v>5220</v>
      </c>
      <c r="J7" s="3723"/>
      <c r="K7" s="3723"/>
      <c r="L7" s="3723"/>
      <c r="M7" s="3724"/>
    </row>
    <row r="8" spans="1:20" s="7" customFormat="1" ht="13.15" customHeight="1">
      <c r="A8" s="12"/>
      <c r="F8" s="1" t="s">
        <v>636</v>
      </c>
      <c r="G8" s="1"/>
      <c r="H8" s="32"/>
      <c r="I8" s="3725">
        <v>43220</v>
      </c>
      <c r="J8" s="3726"/>
      <c r="K8" s="5" t="s">
        <v>540</v>
      </c>
      <c r="L8" s="3727" t="s">
        <v>5180</v>
      </c>
      <c r="M8" s="3728"/>
    </row>
    <row r="9" spans="1:20" s="7" customFormat="1" ht="4.5" customHeight="1">
      <c r="A9" s="12"/>
    </row>
    <row r="10" spans="1:20" s="12" customFormat="1">
      <c r="B10" s="246"/>
      <c r="C10" s="246"/>
      <c r="D10" s="246"/>
      <c r="E10" s="246"/>
      <c r="F10" s="2557" t="s">
        <v>609</v>
      </c>
      <c r="G10" s="2557"/>
      <c r="I10" s="2558" t="s">
        <v>200</v>
      </c>
      <c r="J10" s="2558"/>
      <c r="K10" s="2558"/>
      <c r="L10" s="2558"/>
      <c r="M10" s="2558"/>
    </row>
    <row r="11" spans="1:20" s="12" customFormat="1">
      <c r="B11" s="246" t="s">
        <v>798</v>
      </c>
      <c r="D11" s="246" t="s">
        <v>1599</v>
      </c>
      <c r="F11" s="2281" t="s">
        <v>642</v>
      </c>
      <c r="G11" s="2281" t="s">
        <v>1851</v>
      </c>
      <c r="I11" s="247" t="s">
        <v>568</v>
      </c>
      <c r="J11" s="248">
        <v>1</v>
      </c>
      <c r="K11" s="248">
        <v>2</v>
      </c>
      <c r="L11" s="248">
        <v>3</v>
      </c>
      <c r="M11" s="248">
        <v>4</v>
      </c>
    </row>
    <row r="12" spans="1:20" s="7" customFormat="1" ht="12" customHeight="1">
      <c r="B12" s="2234" t="s">
        <v>1853</v>
      </c>
      <c r="C12" s="2235"/>
      <c r="D12" s="3729" t="s">
        <v>5181</v>
      </c>
      <c r="E12" s="3730"/>
      <c r="F12" s="3731" t="s">
        <v>441</v>
      </c>
      <c r="G12" s="3731"/>
      <c r="H12" s="1036"/>
      <c r="I12" s="3732"/>
      <c r="J12" s="3732">
        <v>4</v>
      </c>
      <c r="K12" s="3732">
        <v>5</v>
      </c>
      <c r="L12" s="3732">
        <v>6</v>
      </c>
      <c r="M12" s="3732"/>
      <c r="O12" s="2556" t="s">
        <v>3826</v>
      </c>
      <c r="P12" s="2556"/>
    </row>
    <row r="13" spans="1:20" s="7" customFormat="1" ht="12" customHeight="1">
      <c r="B13" s="2236" t="s">
        <v>1597</v>
      </c>
      <c r="C13" s="2237"/>
      <c r="D13" s="3733" t="s">
        <v>1596</v>
      </c>
      <c r="E13" s="3734"/>
      <c r="F13" s="3735" t="s">
        <v>441</v>
      </c>
      <c r="G13" s="3735"/>
      <c r="H13" s="1035"/>
      <c r="I13" s="3736"/>
      <c r="J13" s="3736">
        <v>7</v>
      </c>
      <c r="K13" s="3736">
        <v>9</v>
      </c>
      <c r="L13" s="3737">
        <v>11</v>
      </c>
      <c r="M13" s="3737"/>
      <c r="O13" s="2556"/>
      <c r="P13" s="2556"/>
    </row>
    <row r="14" spans="1:20" s="7" customFormat="1" ht="12" customHeight="1">
      <c r="B14" s="2238" t="s">
        <v>1598</v>
      </c>
      <c r="C14" s="2239"/>
      <c r="D14" s="3733" t="s">
        <v>1596</v>
      </c>
      <c r="E14" s="3734"/>
      <c r="F14" s="3735" t="s">
        <v>441</v>
      </c>
      <c r="G14" s="3735"/>
      <c r="H14" s="249"/>
      <c r="I14" s="3736"/>
      <c r="J14" s="3736">
        <v>13</v>
      </c>
      <c r="K14" s="3736">
        <v>18</v>
      </c>
      <c r="L14" s="3737">
        <v>23</v>
      </c>
      <c r="M14" s="3737"/>
      <c r="O14" s="2556"/>
      <c r="P14" s="2556"/>
    </row>
    <row r="15" spans="1:20" s="7" customFormat="1" ht="12" customHeight="1">
      <c r="B15" s="2240" t="s">
        <v>467</v>
      </c>
      <c r="C15" s="2241"/>
      <c r="D15" s="2240" t="s">
        <v>1596</v>
      </c>
      <c r="E15" s="250"/>
      <c r="F15" s="3735" t="s">
        <v>441</v>
      </c>
      <c r="G15" s="3735"/>
      <c r="H15" s="1034"/>
      <c r="I15" s="3736"/>
      <c r="J15" s="3736">
        <v>10</v>
      </c>
      <c r="K15" s="3736">
        <v>13</v>
      </c>
      <c r="L15" s="3737">
        <v>16</v>
      </c>
      <c r="M15" s="3737"/>
      <c r="O15" s="2556"/>
      <c r="P15" s="2556"/>
    </row>
    <row r="16" spans="1:20" s="7" customFormat="1" ht="12" customHeight="1">
      <c r="B16" s="2242" t="s">
        <v>3798</v>
      </c>
      <c r="C16" s="2237"/>
      <c r="D16" s="2236" t="s">
        <v>1596</v>
      </c>
      <c r="E16" s="1033"/>
      <c r="F16" s="3735"/>
      <c r="G16" s="3735" t="s">
        <v>441</v>
      </c>
      <c r="H16" s="1035"/>
      <c r="I16" s="3736"/>
      <c r="J16" s="3736"/>
      <c r="K16" s="3736"/>
      <c r="L16" s="3737"/>
      <c r="M16" s="3737"/>
      <c r="O16" s="2556"/>
      <c r="P16" s="2556"/>
    </row>
    <row r="17" spans="1:19" s="7" customFormat="1" ht="12" customHeight="1">
      <c r="B17" s="2242" t="s">
        <v>3799</v>
      </c>
      <c r="C17" s="2237"/>
      <c r="D17" s="2236" t="s">
        <v>1596</v>
      </c>
      <c r="E17" s="1033"/>
      <c r="F17" s="3735"/>
      <c r="G17" s="3735" t="s">
        <v>441</v>
      </c>
      <c r="H17" s="1035"/>
      <c r="I17" s="3736"/>
      <c r="J17" s="3736"/>
      <c r="K17" s="3736"/>
      <c r="L17" s="3737"/>
      <c r="M17" s="3737"/>
      <c r="O17" s="2556"/>
      <c r="P17" s="2556"/>
    </row>
    <row r="18" spans="1:19" s="7" customFormat="1" ht="12" customHeight="1">
      <c r="B18" s="2243" t="s">
        <v>3800</v>
      </c>
      <c r="C18" s="2239"/>
      <c r="D18" s="2238" t="s">
        <v>1596</v>
      </c>
      <c r="E18" s="1033"/>
      <c r="F18" s="3735" t="s">
        <v>441</v>
      </c>
      <c r="G18" s="3735"/>
      <c r="H18" s="249"/>
      <c r="I18" s="3736"/>
      <c r="J18" s="3736">
        <v>21</v>
      </c>
      <c r="K18" s="3736">
        <v>27</v>
      </c>
      <c r="L18" s="3737">
        <v>33</v>
      </c>
      <c r="M18" s="3737"/>
      <c r="O18" s="2556"/>
      <c r="P18" s="2556"/>
    </row>
    <row r="19" spans="1:19" s="7" customFormat="1" ht="12" customHeight="1">
      <c r="B19" s="2240" t="s">
        <v>1370</v>
      </c>
      <c r="C19" s="2241"/>
      <c r="D19" s="2246" t="s">
        <v>3469</v>
      </c>
      <c r="E19" s="3738" t="s">
        <v>2990</v>
      </c>
      <c r="F19" s="3735" t="s">
        <v>441</v>
      </c>
      <c r="G19" s="3735"/>
      <c r="H19" s="1034"/>
      <c r="I19" s="3736"/>
      <c r="J19" s="3736">
        <v>39</v>
      </c>
      <c r="K19" s="3736">
        <v>48</v>
      </c>
      <c r="L19" s="3737">
        <v>58</v>
      </c>
      <c r="M19" s="3737"/>
      <c r="O19" s="2556"/>
      <c r="P19" s="2556"/>
    </row>
    <row r="20" spans="1:19" s="7" customFormat="1" ht="12" customHeight="1">
      <c r="B20" s="2244" t="s">
        <v>1852</v>
      </c>
      <c r="C20" s="2245"/>
      <c r="D20" s="251"/>
      <c r="E20" s="223"/>
      <c r="F20" s="3735"/>
      <c r="G20" s="3735" t="s">
        <v>441</v>
      </c>
      <c r="H20" s="1035"/>
      <c r="I20" s="3736"/>
      <c r="J20" s="3736"/>
      <c r="K20" s="3736"/>
      <c r="L20" s="3737"/>
      <c r="M20" s="3737"/>
      <c r="O20" s="2556"/>
      <c r="P20" s="2556"/>
    </row>
    <row r="21" spans="1:19" s="7" customFormat="1" ht="12" customHeight="1">
      <c r="B21" s="2244" t="s">
        <v>741</v>
      </c>
      <c r="C21" s="3739"/>
      <c r="D21" s="3740"/>
      <c r="E21" s="3741"/>
      <c r="F21" s="3742"/>
      <c r="G21" s="3742"/>
      <c r="H21" s="1037"/>
      <c r="I21" s="3743"/>
      <c r="J21" s="3743"/>
      <c r="K21" s="3743"/>
      <c r="L21" s="3744"/>
      <c r="M21" s="3744"/>
      <c r="O21" s="2556"/>
      <c r="P21" s="255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745"/>
      <c r="J24" s="3723"/>
      <c r="K24" s="3723"/>
      <c r="L24" s="3723"/>
      <c r="M24" s="3724"/>
    </row>
    <row r="25" spans="1:19" s="7" customFormat="1" ht="13.15" customHeight="1">
      <c r="A25" s="12"/>
      <c r="B25" s="12"/>
      <c r="F25" s="1" t="s">
        <v>636</v>
      </c>
      <c r="G25" s="1"/>
      <c r="H25" s="32"/>
      <c r="I25" s="3725"/>
      <c r="J25" s="3726"/>
      <c r="K25" s="5" t="s">
        <v>540</v>
      </c>
      <c r="L25" s="3727"/>
      <c r="M25" s="3728"/>
    </row>
    <row r="26" spans="1:19" s="7" customFormat="1" ht="4.5" customHeight="1">
      <c r="A26" s="12"/>
    </row>
    <row r="27" spans="1:19" s="12" customFormat="1">
      <c r="B27" s="246"/>
      <c r="C27" s="246"/>
      <c r="D27" s="246"/>
      <c r="E27" s="246"/>
      <c r="F27" s="2557" t="s">
        <v>609</v>
      </c>
      <c r="G27" s="2557"/>
      <c r="I27" s="2558" t="s">
        <v>200</v>
      </c>
      <c r="J27" s="2558"/>
      <c r="K27" s="2558"/>
      <c r="L27" s="2558"/>
      <c r="M27" s="2558"/>
    </row>
    <row r="28" spans="1:19" s="12" customFormat="1">
      <c r="B28" s="246" t="s">
        <v>798</v>
      </c>
      <c r="D28" s="246" t="s">
        <v>1599</v>
      </c>
      <c r="F28" s="2281" t="s">
        <v>642</v>
      </c>
      <c r="G28" s="2281" t="s">
        <v>1851</v>
      </c>
      <c r="I28" s="247" t="s">
        <v>568</v>
      </c>
      <c r="J28" s="248">
        <v>1</v>
      </c>
      <c r="K28" s="248">
        <v>2</v>
      </c>
      <c r="L28" s="248">
        <v>3</v>
      </c>
      <c r="M28" s="248">
        <v>4</v>
      </c>
    </row>
    <row r="29" spans="1:19" s="7" customFormat="1" ht="12" customHeight="1">
      <c r="B29" s="2234" t="s">
        <v>1853</v>
      </c>
      <c r="C29" s="2235"/>
      <c r="D29" s="3729" t="s">
        <v>1820</v>
      </c>
      <c r="E29" s="3730"/>
      <c r="F29" s="3731"/>
      <c r="G29" s="3731"/>
      <c r="H29" s="1036"/>
      <c r="I29" s="3732"/>
      <c r="J29" s="3732"/>
      <c r="K29" s="3732"/>
      <c r="L29" s="3732"/>
      <c r="M29" s="3732"/>
      <c r="O29" s="2556" t="s">
        <v>3826</v>
      </c>
      <c r="P29" s="2556"/>
    </row>
    <row r="30" spans="1:19" s="7" customFormat="1" ht="12" customHeight="1">
      <c r="B30" s="2236" t="s">
        <v>1597</v>
      </c>
      <c r="C30" s="2237"/>
      <c r="D30" s="3733" t="s">
        <v>1820</v>
      </c>
      <c r="E30" s="3734"/>
      <c r="F30" s="3735"/>
      <c r="G30" s="3735"/>
      <c r="H30" s="1035"/>
      <c r="I30" s="3736"/>
      <c r="J30" s="3736"/>
      <c r="K30" s="3736"/>
      <c r="L30" s="3737"/>
      <c r="M30" s="3737"/>
      <c r="O30" s="2556"/>
      <c r="P30" s="2556"/>
    </row>
    <row r="31" spans="1:19" s="7" customFormat="1" ht="12" customHeight="1">
      <c r="B31" s="2238" t="s">
        <v>1598</v>
      </c>
      <c r="C31" s="2239"/>
      <c r="D31" s="3733" t="s">
        <v>1820</v>
      </c>
      <c r="E31" s="3734"/>
      <c r="F31" s="3735"/>
      <c r="G31" s="3735"/>
      <c r="H31" s="249"/>
      <c r="I31" s="3736"/>
      <c r="J31" s="3736"/>
      <c r="K31" s="3736"/>
      <c r="L31" s="3737"/>
      <c r="M31" s="3737"/>
      <c r="O31" s="2556"/>
      <c r="P31" s="2556"/>
    </row>
    <row r="32" spans="1:19" s="7" customFormat="1" ht="12" customHeight="1">
      <c r="B32" s="2240" t="s">
        <v>467</v>
      </c>
      <c r="C32" s="2241"/>
      <c r="D32" s="2240" t="s">
        <v>1596</v>
      </c>
      <c r="E32" s="250"/>
      <c r="F32" s="3735"/>
      <c r="G32" s="3735"/>
      <c r="H32" s="1034"/>
      <c r="I32" s="3736"/>
      <c r="J32" s="3736"/>
      <c r="K32" s="3736"/>
      <c r="L32" s="3737"/>
      <c r="M32" s="3737"/>
      <c r="O32" s="2556"/>
      <c r="P32" s="2556"/>
    </row>
    <row r="33" spans="1:19" s="7" customFormat="1" ht="12" customHeight="1">
      <c r="B33" s="2242" t="s">
        <v>3798</v>
      </c>
      <c r="C33" s="2237"/>
      <c r="D33" s="2236" t="s">
        <v>1596</v>
      </c>
      <c r="E33" s="1033"/>
      <c r="F33" s="3735"/>
      <c r="G33" s="3735"/>
      <c r="H33" s="1035"/>
      <c r="I33" s="3736"/>
      <c r="J33" s="3736"/>
      <c r="K33" s="3736"/>
      <c r="L33" s="3737"/>
      <c r="M33" s="3737"/>
      <c r="O33" s="2556"/>
      <c r="P33" s="2556"/>
    </row>
    <row r="34" spans="1:19" s="7" customFormat="1" ht="12" customHeight="1">
      <c r="B34" s="2242" t="s">
        <v>3799</v>
      </c>
      <c r="C34" s="2237"/>
      <c r="D34" s="2236" t="s">
        <v>1596</v>
      </c>
      <c r="E34" s="1033"/>
      <c r="F34" s="3735"/>
      <c r="G34" s="3735"/>
      <c r="H34" s="1035"/>
      <c r="I34" s="3736"/>
      <c r="J34" s="3736"/>
      <c r="K34" s="3736"/>
      <c r="L34" s="3737"/>
      <c r="M34" s="3737"/>
      <c r="O34" s="2556"/>
      <c r="P34" s="2556"/>
    </row>
    <row r="35" spans="1:19" s="7" customFormat="1" ht="12" customHeight="1">
      <c r="B35" s="2243" t="s">
        <v>3800</v>
      </c>
      <c r="C35" s="2239"/>
      <c r="D35" s="2238" t="s">
        <v>1596</v>
      </c>
      <c r="E35" s="1033"/>
      <c r="F35" s="3735"/>
      <c r="G35" s="3735"/>
      <c r="H35" s="249"/>
      <c r="I35" s="3736"/>
      <c r="J35" s="3736"/>
      <c r="K35" s="3736"/>
      <c r="L35" s="3737"/>
      <c r="M35" s="3737"/>
      <c r="O35" s="2556"/>
      <c r="P35" s="2556"/>
    </row>
    <row r="36" spans="1:19" s="7" customFormat="1" ht="12" customHeight="1">
      <c r="B36" s="2240" t="s">
        <v>1370</v>
      </c>
      <c r="C36" s="2241"/>
      <c r="D36" s="2246" t="s">
        <v>3469</v>
      </c>
      <c r="E36" s="3738" t="s">
        <v>201</v>
      </c>
      <c r="F36" s="3735"/>
      <c r="G36" s="3735"/>
      <c r="H36" s="1034"/>
      <c r="I36" s="3736"/>
      <c r="J36" s="3736"/>
      <c r="K36" s="3736"/>
      <c r="L36" s="3737"/>
      <c r="M36" s="3737"/>
      <c r="O36" s="2556"/>
      <c r="P36" s="2556"/>
    </row>
    <row r="37" spans="1:19" s="7" customFormat="1" ht="12" customHeight="1">
      <c r="B37" s="2244" t="s">
        <v>1852</v>
      </c>
      <c r="C37" s="2245"/>
      <c r="D37" s="251"/>
      <c r="E37" s="223"/>
      <c r="F37" s="3735"/>
      <c r="G37" s="3735"/>
      <c r="H37" s="1035"/>
      <c r="I37" s="3736"/>
      <c r="J37" s="3736"/>
      <c r="K37" s="3736"/>
      <c r="L37" s="3737"/>
      <c r="M37" s="3737"/>
      <c r="O37" s="2556"/>
      <c r="P37" s="2556"/>
    </row>
    <row r="38" spans="1:19" s="7" customFormat="1" ht="12" customHeight="1">
      <c r="B38" s="2244" t="s">
        <v>741</v>
      </c>
      <c r="C38" s="3739"/>
      <c r="D38" s="3740"/>
      <c r="E38" s="3741"/>
      <c r="F38" s="3742"/>
      <c r="G38" s="3742"/>
      <c r="H38" s="1037"/>
      <c r="I38" s="3743"/>
      <c r="J38" s="3743"/>
      <c r="K38" s="3743"/>
      <c r="L38" s="3744"/>
      <c r="M38" s="3744"/>
      <c r="O38" s="2556"/>
      <c r="P38" s="255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1"/>
      <c r="J41" s="2281"/>
      <c r="K41" s="2281"/>
      <c r="L41" s="2281"/>
      <c r="M41" s="2281"/>
    </row>
    <row r="42" spans="1:19" s="7" customFormat="1" ht="12" customHeight="1">
      <c r="A42" s="12"/>
      <c r="B42" s="12" t="s">
        <v>572</v>
      </c>
      <c r="M42" s="26"/>
      <c r="N42" s="26"/>
      <c r="O42" s="26"/>
      <c r="P42" s="26"/>
      <c r="Q42" s="26"/>
      <c r="R42" s="26"/>
      <c r="S42" s="26"/>
    </row>
    <row r="43" spans="1:19" s="7" customFormat="1" ht="24.75" customHeight="1">
      <c r="B43" s="3746" t="s">
        <v>5234</v>
      </c>
      <c r="C43" s="3747"/>
      <c r="D43" s="3747"/>
      <c r="E43" s="3747"/>
      <c r="F43" s="3747"/>
      <c r="G43" s="3747"/>
      <c r="H43" s="3747"/>
      <c r="I43" s="3747"/>
      <c r="J43" s="3747"/>
      <c r="K43" s="3747"/>
      <c r="L43" s="3747"/>
      <c r="M43" s="3748"/>
      <c r="N43" s="26"/>
      <c r="O43" s="2322" t="s">
        <v>2694</v>
      </c>
      <c r="P43" s="2322"/>
      <c r="Q43" s="2322"/>
      <c r="R43" s="2322"/>
      <c r="S43" s="2322"/>
    </row>
    <row r="44" spans="1:19" s="7" customFormat="1" ht="3" customHeight="1">
      <c r="M44" s="26"/>
      <c r="N44" s="26"/>
      <c r="O44" s="2322"/>
      <c r="P44" s="2322"/>
      <c r="Q44" s="2322"/>
      <c r="R44" s="2322"/>
      <c r="S44" s="2322"/>
    </row>
    <row r="45" spans="1:19" s="7" customFormat="1" ht="12" customHeight="1">
      <c r="A45" s="12"/>
      <c r="B45" s="12" t="s">
        <v>1846</v>
      </c>
      <c r="M45" s="26"/>
      <c r="N45" s="26"/>
      <c r="O45" s="2322"/>
      <c r="P45" s="2322"/>
      <c r="Q45" s="2322"/>
      <c r="R45" s="2322"/>
      <c r="S45" s="2322"/>
    </row>
    <row r="46" spans="1:19" s="7" customFormat="1" ht="24.75" customHeight="1">
      <c r="B46" s="3749"/>
      <c r="C46" s="3750"/>
      <c r="D46" s="3750"/>
      <c r="E46" s="3750"/>
      <c r="F46" s="3750"/>
      <c r="G46" s="3750"/>
      <c r="H46" s="3750"/>
      <c r="I46" s="3750"/>
      <c r="J46" s="3750"/>
      <c r="K46" s="3750"/>
      <c r="L46" s="3750"/>
      <c r="M46" s="3751"/>
      <c r="N46" s="26"/>
      <c r="O46" s="2322"/>
      <c r="P46" s="2322"/>
      <c r="Q46" s="2322"/>
      <c r="R46" s="2322"/>
      <c r="S46" s="2322"/>
    </row>
  </sheetData>
  <sheetProtection algorithmName="SHA-512" hashValue="3LAW+SREYiwtWtLF9SaGxYJuZBGxV9Tzwz9fVPdUe9XC97Eq67DHBmtsEljIS4VXigU+P9HcSguti1sgszsm+Q==" saltValue="+niZ6C9qKEwLTnF67GXMz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28" priority="8" operator="equal">
      <formula>"""&lt;&lt;Select Fuel &gt;&gt;"""</formula>
    </cfRule>
  </conditionalFormatting>
  <conditionalFormatting sqref="I22:M22">
    <cfRule type="cellIs" dxfId="227" priority="6" operator="equal">
      <formula>"Select Fuel"</formula>
    </cfRule>
    <cfRule type="cellIs" dxfId="226" priority="7" operator="equal">
      <formula>"&lt;&lt;Select Fuel &gt;&gt;"</formula>
    </cfRule>
  </conditionalFormatting>
  <conditionalFormatting sqref="J22:M22">
    <cfRule type="cellIs" dxfId="225" priority="5" operator="equal">
      <formula>"Select Fuel"</formula>
    </cfRule>
  </conditionalFormatting>
  <conditionalFormatting sqref="I39:M39">
    <cfRule type="cellIs" dxfId="224" priority="4" operator="equal">
      <formula>"""&lt;&lt;Select Fuel &gt;&gt;"""</formula>
    </cfRule>
  </conditionalFormatting>
  <conditionalFormatting sqref="I39:M39">
    <cfRule type="cellIs" dxfId="223" priority="2" operator="equal">
      <formula>"Select Fuel"</formula>
    </cfRule>
    <cfRule type="cellIs" dxfId="222" priority="3" operator="equal">
      <formula>"&lt;&lt;Select Fuel &gt;&gt;"</formula>
    </cfRule>
  </conditionalFormatting>
  <conditionalFormatting sqref="J39:M39">
    <cfRule type="cellIs" dxfId="221"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2019-07-08T16:58:28Z</cp:lastPrinted>
  <dcterms:created xsi:type="dcterms:W3CDTF">2005-09-15T20:51:37Z</dcterms:created>
  <dcterms:modified xsi:type="dcterms:W3CDTF">2020-01-28T18:35:48Z</dcterms:modified>
</cp:coreProperties>
</file>