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3A945630-A3C8-4493-B08F-D724CD0B1DF1}" xr6:coauthVersionLast="44" xr6:coauthVersionMax="44" xr10:uidLastSave="{00000000-0000-0000-0000-000000000000}"/>
  <workbookProtection workbookAlgorithmName="SHA-512" workbookHashValue="LTIy0DyDDU9bDAUCj4EfFAaUe0Ffojq85Gwb+HBkuXj1Iz7L/+AmIphdzbBDMaPkEku9q0a+jaJbGFj0MisQVA==" workbookSaltValue="zPU+cEbax6QB6P2fmuGilw==" workbookSpinCount="100000" lockStructure="1"/>
  <bookViews>
    <workbookView xWindow="2004" yWindow="2676" windowWidth="18372" windowHeight="549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Narrative'!$A$1:$A$20</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A2013" i="93" l="1"/>
  <c r="A2010" i="93"/>
  <c r="P2001" i="93"/>
  <c r="O2001" i="93"/>
  <c r="N2001" i="93"/>
  <c r="M2001" i="93"/>
  <c r="L2001" i="93"/>
  <c r="K2001" i="93"/>
  <c r="J2001" i="93"/>
  <c r="I2001" i="93"/>
  <c r="H2001" i="93"/>
  <c r="G2001" i="93"/>
  <c r="F2001" i="93"/>
  <c r="E2001" i="93"/>
  <c r="D2001" i="93"/>
  <c r="C2001" i="93"/>
  <c r="B2001" i="93"/>
  <c r="A2001" i="93"/>
  <c r="M1995" i="93"/>
  <c r="M1560" i="93" s="1"/>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P1972" i="93"/>
  <c r="O1972" i="93"/>
  <c r="Q1972" i="93" s="1"/>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9" i="93"/>
  <c r="O1959" i="93"/>
  <c r="P1957" i="93"/>
  <c r="O1957" i="93"/>
  <c r="P1956" i="93"/>
  <c r="O1956" i="93"/>
  <c r="P1955" i="93"/>
  <c r="O1955" i="93"/>
  <c r="P1952" i="93"/>
  <c r="O1952" i="93"/>
  <c r="P1951" i="93"/>
  <c r="O1951" i="93"/>
  <c r="P1950" i="93"/>
  <c r="O1950"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s="1"/>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K1926" i="93"/>
  <c r="J1926" i="93"/>
  <c r="P1925" i="93"/>
  <c r="O1925" i="93"/>
  <c r="N1925" i="93"/>
  <c r="M1925" i="93"/>
  <c r="K1925" i="93"/>
  <c r="J1925" i="93"/>
  <c r="P1923" i="93"/>
  <c r="O1923" i="93"/>
  <c r="L1923" i="93" s="1"/>
  <c r="P1921" i="93"/>
  <c r="O1921" i="93"/>
  <c r="P1920" i="93"/>
  <c r="O1920" i="93"/>
  <c r="P1919" i="93"/>
  <c r="O1919" i="93"/>
  <c r="S1918" i="93"/>
  <c r="P1918" i="93"/>
  <c r="O1918" i="93"/>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P1908" i="93"/>
  <c r="O1908" i="93"/>
  <c r="Q1908" i="93" s="1"/>
  <c r="P1905" i="93"/>
  <c r="O1905" i="93"/>
  <c r="P1904" i="93"/>
  <c r="O1904" i="93"/>
  <c r="P1903" i="93"/>
  <c r="O1903" i="93"/>
  <c r="J1902" i="93"/>
  <c r="I1902" i="93"/>
  <c r="H1902" i="93"/>
  <c r="P1900" i="93"/>
  <c r="O1900"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s="1"/>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2" i="93"/>
  <c r="O1872"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64" i="93"/>
  <c r="O1864" i="93"/>
  <c r="Q1864" i="93" s="1"/>
  <c r="P1863" i="93"/>
  <c r="O1863" i="93"/>
  <c r="Q1863" i="93" s="1"/>
  <c r="P1862" i="93"/>
  <c r="O1862" i="93"/>
  <c r="Q1862" i="93" s="1"/>
  <c r="P1859" i="93"/>
  <c r="O1859" i="93"/>
  <c r="P1858" i="93"/>
  <c r="O1858" i="93"/>
  <c r="L1858" i="93" s="1"/>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P1849" i="93"/>
  <c r="O1849" i="93"/>
  <c r="Q1849" i="93" s="1"/>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P1841" i="93"/>
  <c r="O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P1830" i="93"/>
  <c r="O1830" i="93"/>
  <c r="P1829" i="93"/>
  <c r="O1829" i="93"/>
  <c r="H1829" i="93"/>
  <c r="P1828" i="93"/>
  <c r="O1828" i="93"/>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J1767" i="93"/>
  <c r="P1766" i="93"/>
  <c r="O1766" i="93"/>
  <c r="L1766" i="93" s="1"/>
  <c r="M1764" i="93"/>
  <c r="I1764" i="93"/>
  <c r="E1764" i="93"/>
  <c r="P1763" i="93"/>
  <c r="O1763" i="93"/>
  <c r="Q1763" i="93" s="1"/>
  <c r="P1762" i="93"/>
  <c r="O1762" i="93"/>
  <c r="Q1762" i="93" s="1"/>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I1732" i="93"/>
  <c r="J1731" i="93"/>
  <c r="I1731" i="93"/>
  <c r="T1726" i="93"/>
  <c r="L1723" i="93"/>
  <c r="K1723" i="93"/>
  <c r="J1723" i="93"/>
  <c r="I1723" i="93"/>
  <c r="L1722" i="93"/>
  <c r="K1722" i="93"/>
  <c r="J1722" i="93"/>
  <c r="I1722" i="93"/>
  <c r="M1722" i="93" s="1"/>
  <c r="P1722" i="93" s="1"/>
  <c r="L1721" i="93"/>
  <c r="K1721" i="93"/>
  <c r="J1721" i="93"/>
  <c r="I1721" i="93"/>
  <c r="L1719" i="93"/>
  <c r="K1719" i="93"/>
  <c r="J1719" i="93"/>
  <c r="I1719" i="93"/>
  <c r="H1719" i="93"/>
  <c r="H1723" i="93" s="1"/>
  <c r="G1719" i="93"/>
  <c r="G1723" i="93" s="1"/>
  <c r="F1719" i="93"/>
  <c r="E1719" i="93"/>
  <c r="D1719" i="93"/>
  <c r="D1723" i="93" s="1"/>
  <c r="L1718" i="93"/>
  <c r="K1718" i="93"/>
  <c r="J1718" i="93"/>
  <c r="I1718" i="93"/>
  <c r="H1718" i="93"/>
  <c r="H1722" i="93" s="1"/>
  <c r="G1718" i="93"/>
  <c r="G1722" i="93" s="1"/>
  <c r="F1718" i="93"/>
  <c r="E1718" i="93"/>
  <c r="D1718" i="93"/>
  <c r="D1722" i="93" s="1"/>
  <c r="L1717" i="93"/>
  <c r="K1717" i="93"/>
  <c r="J1717" i="93"/>
  <c r="I1717" i="93"/>
  <c r="H1717" i="93"/>
  <c r="H1721" i="93" s="1"/>
  <c r="G1717" i="93"/>
  <c r="G1721" i="93" s="1"/>
  <c r="F1717" i="93"/>
  <c r="E1717" i="93"/>
  <c r="D1717" i="93"/>
  <c r="D1721" i="93" s="1"/>
  <c r="F1714" i="93"/>
  <c r="P1713" i="93"/>
  <c r="O1713" i="93"/>
  <c r="L1712" i="93"/>
  <c r="K1712" i="93"/>
  <c r="J1712" i="93"/>
  <c r="I1712" i="93"/>
  <c r="P1710" i="93"/>
  <c r="O1710" i="93"/>
  <c r="P1709"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P1691" i="93"/>
  <c r="O1691" i="93"/>
  <c r="Q1691" i="93" s="1"/>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Q1673" i="93" s="1"/>
  <c r="P1671" i="93"/>
  <c r="O1671" i="93"/>
  <c r="N1671" i="93"/>
  <c r="M1671" i="93"/>
  <c r="L1671" i="93"/>
  <c r="K1671" i="93"/>
  <c r="J1671" i="93"/>
  <c r="I1671" i="93"/>
  <c r="H1671" i="93"/>
  <c r="G1671" i="93"/>
  <c r="F1671" i="93"/>
  <c r="E1671" i="93"/>
  <c r="D1671" i="93"/>
  <c r="H1670" i="93"/>
  <c r="P1669" i="93"/>
  <c r="O1669" i="93"/>
  <c r="L1669" i="93" s="1"/>
  <c r="P1667" i="93"/>
  <c r="O1667" i="93"/>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59" i="93"/>
  <c r="O1659" i="93"/>
  <c r="Q1659" i="93" s="1"/>
  <c r="J1659" i="93"/>
  <c r="P1658" i="93"/>
  <c r="O1658" i="93"/>
  <c r="Q1658" i="93" s="1"/>
  <c r="P1657" i="93"/>
  <c r="O1657" i="93"/>
  <c r="Q1657" i="93" s="1"/>
  <c r="P1656" i="93"/>
  <c r="O1656" i="93"/>
  <c r="Q1656" i="93" s="1"/>
  <c r="J1654" i="93"/>
  <c r="I1654" i="93"/>
  <c r="J1653" i="93"/>
  <c r="I1653" i="93"/>
  <c r="I1651" i="93"/>
  <c r="L1650" i="93"/>
  <c r="K1650" i="93"/>
  <c r="J1650" i="93"/>
  <c r="I1650" i="93"/>
  <c r="P1648" i="93"/>
  <c r="O1648" i="93"/>
  <c r="P1646" i="93"/>
  <c r="O1646" i="93"/>
  <c r="N1646" i="93"/>
  <c r="M1646" i="93"/>
  <c r="L1646" i="93"/>
  <c r="K1646" i="93"/>
  <c r="J1646" i="93"/>
  <c r="I1646" i="93"/>
  <c r="H1646" i="93"/>
  <c r="G1646" i="93"/>
  <c r="F1646" i="93"/>
  <c r="E1646" i="93"/>
  <c r="D1646" i="93"/>
  <c r="C1646" i="93"/>
  <c r="B1646" i="93"/>
  <c r="A1646" i="93"/>
  <c r="P1643" i="93"/>
  <c r="O1643" i="93"/>
  <c r="Q1643" i="93" s="1"/>
  <c r="L1642" i="93"/>
  <c r="K1642" i="93"/>
  <c r="J1642" i="93"/>
  <c r="I1642" i="93"/>
  <c r="P1641" i="93"/>
  <c r="O1641" i="93"/>
  <c r="Q1641" i="93" s="1"/>
  <c r="L1641" i="93"/>
  <c r="K1641" i="93"/>
  <c r="J1641" i="93"/>
  <c r="I1641" i="93"/>
  <c r="P1640" i="93"/>
  <c r="O1640" i="93"/>
  <c r="Q1640" i="93" s="1"/>
  <c r="L1640" i="93"/>
  <c r="K1640" i="93"/>
  <c r="J1640" i="93"/>
  <c r="I1640" i="93"/>
  <c r="P1639" i="93"/>
  <c r="O1639" i="93"/>
  <c r="Q1639" i="93" s="1"/>
  <c r="L1639" i="93"/>
  <c r="K1639" i="93"/>
  <c r="J1639" i="93"/>
  <c r="I1639" i="93"/>
  <c r="L1638" i="93"/>
  <c r="K1638" i="93"/>
  <c r="J1638" i="93"/>
  <c r="I1638" i="93"/>
  <c r="P1637" i="93"/>
  <c r="O1637" i="93"/>
  <c r="Q1637" i="93" s="1"/>
  <c r="L1637" i="93"/>
  <c r="K1637" i="93"/>
  <c r="J1637" i="93"/>
  <c r="I1637" i="93"/>
  <c r="H1637" i="93"/>
  <c r="P1636" i="93"/>
  <c r="O1636" i="93"/>
  <c r="Q1636" i="93" s="1"/>
  <c r="P1635" i="93"/>
  <c r="O1635" i="93"/>
  <c r="Q1635" i="93" s="1"/>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P1614" i="93"/>
  <c r="O1614" i="93"/>
  <c r="Q1614" i="93" s="1"/>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P1603" i="93"/>
  <c r="O1603" i="93"/>
  <c r="L1603" i="93"/>
  <c r="K1603" i="93"/>
  <c r="I1603" i="93"/>
  <c r="H1603" i="93"/>
  <c r="P1602" i="93"/>
  <c r="O1602" i="93"/>
  <c r="L1602" i="93"/>
  <c r="K1602" i="93"/>
  <c r="I1602" i="93"/>
  <c r="H1602" i="93"/>
  <c r="S1595" i="93"/>
  <c r="R1595" i="93"/>
  <c r="Q1595" i="93"/>
  <c r="P1595" i="93"/>
  <c r="O1595" i="93"/>
  <c r="F1595" i="93"/>
  <c r="E1595" i="93"/>
  <c r="S1594" i="93"/>
  <c r="R1594" i="93"/>
  <c r="Q1594" i="93"/>
  <c r="P1594" i="93"/>
  <c r="O1594" i="93"/>
  <c r="F1594" i="93"/>
  <c r="E1594" i="93"/>
  <c r="S1593" i="93"/>
  <c r="R1593" i="93"/>
  <c r="Q1593" i="93"/>
  <c r="P1593" i="93"/>
  <c r="O1593" i="93"/>
  <c r="F1593" i="93"/>
  <c r="E1593" i="93"/>
  <c r="S1592" i="93"/>
  <c r="R1592" i="93"/>
  <c r="Q1592" i="93"/>
  <c r="P1592" i="93"/>
  <c r="O1592" i="93"/>
  <c r="F1592" i="93"/>
  <c r="E1592" i="93"/>
  <c r="S1591" i="93"/>
  <c r="R1591" i="93"/>
  <c r="Q1591" i="93"/>
  <c r="P1591" i="93"/>
  <c r="O1591" i="93"/>
  <c r="F1591" i="93"/>
  <c r="E1591" i="93"/>
  <c r="S1590" i="93"/>
  <c r="R1590" i="93"/>
  <c r="Q1590" i="93"/>
  <c r="P1590" i="93"/>
  <c r="O1590" i="93"/>
  <c r="F1590" i="93"/>
  <c r="E1590" i="93"/>
  <c r="S1589" i="93"/>
  <c r="R1589" i="93"/>
  <c r="Q1589" i="93"/>
  <c r="P1589" i="93"/>
  <c r="O1589" i="93"/>
  <c r="F1589" i="93"/>
  <c r="E1589" i="93"/>
  <c r="S1588" i="93"/>
  <c r="R1588" i="93"/>
  <c r="Q1588" i="93"/>
  <c r="P1588" i="93"/>
  <c r="O1588" i="93"/>
  <c r="F1588" i="93"/>
  <c r="E1588" i="93"/>
  <c r="S1587" i="93"/>
  <c r="R1587" i="93"/>
  <c r="Q1587" i="93"/>
  <c r="F1587" i="93"/>
  <c r="E1587" i="93"/>
  <c r="S1586" i="93"/>
  <c r="R1586" i="93"/>
  <c r="Q1586" i="93"/>
  <c r="F1586" i="93"/>
  <c r="E1586" i="93"/>
  <c r="S1585" i="93"/>
  <c r="R1585" i="93"/>
  <c r="Q1585" i="93"/>
  <c r="P1585" i="93"/>
  <c r="O1585" i="93"/>
  <c r="O1583" i="93" s="1"/>
  <c r="P1567" i="93" s="1"/>
  <c r="F1585" i="93"/>
  <c r="E1585" i="93"/>
  <c r="F1584" i="93"/>
  <c r="E1584" i="93"/>
  <c r="P1581" i="93"/>
  <c r="O1581" i="93"/>
  <c r="N1581" i="93"/>
  <c r="M1581" i="93"/>
  <c r="L1581" i="93"/>
  <c r="K1581" i="93"/>
  <c r="J1581" i="93"/>
  <c r="I1581" i="93"/>
  <c r="H1581" i="93"/>
  <c r="G1581" i="93"/>
  <c r="F1581" i="93"/>
  <c r="E1581" i="93"/>
  <c r="D1581" i="93"/>
  <c r="C1581" i="93"/>
  <c r="B1581" i="93"/>
  <c r="A1581" i="93"/>
  <c r="P1580" i="93"/>
  <c r="O1580" i="93"/>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E1571" i="93"/>
  <c r="D1571" i="93"/>
  <c r="C1571" i="93"/>
  <c r="B1571" i="93"/>
  <c r="A1571" i="93"/>
  <c r="N1570" i="93"/>
  <c r="M1570" i="93"/>
  <c r="L1570" i="93"/>
  <c r="K1570" i="93"/>
  <c r="I1570" i="93"/>
  <c r="H1570" i="93"/>
  <c r="G1570" i="93"/>
  <c r="F1570" i="93"/>
  <c r="E1570" i="93"/>
  <c r="D1570" i="93"/>
  <c r="C1570" i="93"/>
  <c r="B1570" i="93"/>
  <c r="A1570" i="93"/>
  <c r="O1567" i="93"/>
  <c r="O1566" i="93"/>
  <c r="O1565" i="93"/>
  <c r="O1564"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K1477" i="93"/>
  <c r="J1477" i="93"/>
  <c r="Q1474" i="93"/>
  <c r="P1474" i="93"/>
  <c r="N1473" i="93"/>
  <c r="M1473" i="93"/>
  <c r="K1473" i="93"/>
  <c r="J1473" i="93"/>
  <c r="Q1472" i="93"/>
  <c r="P1472" i="93"/>
  <c r="G1472" i="93"/>
  <c r="Q1471" i="93"/>
  <c r="P1471" i="93"/>
  <c r="M1471" i="93"/>
  <c r="L1471" i="93"/>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F1071" i="93"/>
  <c r="E1071" i="93"/>
  <c r="D1071" i="93"/>
  <c r="C1071" i="93"/>
  <c r="B1071" i="93"/>
  <c r="F1064" i="93"/>
  <c r="E1064" i="93"/>
  <c r="D1064" i="93"/>
  <c r="C1064" i="93"/>
  <c r="B1064" i="93"/>
  <c r="F1062" i="93"/>
  <c r="E1062" i="93"/>
  <c r="D1062" i="93"/>
  <c r="C1062" i="93"/>
  <c r="B1062" i="93"/>
  <c r="F1061" i="93"/>
  <c r="E1061" i="93"/>
  <c r="D1061" i="93"/>
  <c r="C1061" i="93"/>
  <c r="B1061" i="93"/>
  <c r="K1043" i="93"/>
  <c r="J1043" i="93"/>
  <c r="I1043" i="93"/>
  <c r="H1043" i="93"/>
  <c r="G1043" i="93"/>
  <c r="F1043" i="93"/>
  <c r="E1043" i="93"/>
  <c r="D1043" i="93"/>
  <c r="C1043" i="93"/>
  <c r="B1043"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K1015" i="93"/>
  <c r="J1015" i="93"/>
  <c r="I1015" i="93"/>
  <c r="H1015" i="93"/>
  <c r="G1015" i="93"/>
  <c r="K1013" i="93"/>
  <c r="J1013" i="93"/>
  <c r="I1013" i="93"/>
  <c r="H1013" i="93"/>
  <c r="G1013" i="93"/>
  <c r="F1013" i="93"/>
  <c r="E1013" i="93"/>
  <c r="D1013" i="93"/>
  <c r="C1013" i="93"/>
  <c r="B1013" i="93"/>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B985" i="93"/>
  <c r="K983" i="93"/>
  <c r="J983" i="93"/>
  <c r="I983" i="93"/>
  <c r="H983" i="93"/>
  <c r="G983" i="93"/>
  <c r="F983" i="93"/>
  <c r="E983" i="93"/>
  <c r="D983" i="93"/>
  <c r="C983" i="93"/>
  <c r="B983" i="93"/>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7" i="93" s="1"/>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G937" i="93"/>
  <c r="F937" i="93"/>
  <c r="G933" i="93"/>
  <c r="F933" i="93"/>
  <c r="E933" i="93"/>
  <c r="D933" i="93"/>
  <c r="C933" i="93"/>
  <c r="B933" i="93"/>
  <c r="G932" i="93"/>
  <c r="F932" i="93"/>
  <c r="L931" i="93"/>
  <c r="K931" i="93"/>
  <c r="J931" i="93"/>
  <c r="I931" i="93"/>
  <c r="G931" i="93"/>
  <c r="F931" i="93"/>
  <c r="L930" i="93"/>
  <c r="K930" i="93"/>
  <c r="G930" i="93"/>
  <c r="F930" i="93"/>
  <c r="L929" i="93"/>
  <c r="K929" i="93"/>
  <c r="G929" i="93"/>
  <c r="F929" i="93"/>
  <c r="L928" i="93"/>
  <c r="K928" i="93"/>
  <c r="G928" i="93"/>
  <c r="F928" i="93"/>
  <c r="G924" i="93"/>
  <c r="F924" i="93"/>
  <c r="E924" i="93"/>
  <c r="D924" i="93"/>
  <c r="C924" i="93"/>
  <c r="B924" i="93"/>
  <c r="P923" i="93"/>
  <c r="O923" i="93"/>
  <c r="N923" i="93"/>
  <c r="G923" i="93"/>
  <c r="F923" i="93"/>
  <c r="P922" i="93"/>
  <c r="L922" i="93"/>
  <c r="K922" i="93"/>
  <c r="G922" i="93"/>
  <c r="F922" i="93"/>
  <c r="P921" i="93"/>
  <c r="L921" i="93"/>
  <c r="K921" i="93"/>
  <c r="G921" i="93"/>
  <c r="F921" i="93"/>
  <c r="R918" i="93"/>
  <c r="K915" i="93"/>
  <c r="J915" i="93"/>
  <c r="I915" i="93"/>
  <c r="H915" i="93"/>
  <c r="G915" i="93"/>
  <c r="F915" i="93"/>
  <c r="E915" i="93"/>
  <c r="D915" i="93"/>
  <c r="C915" i="93"/>
  <c r="K914" i="93"/>
  <c r="J914" i="93"/>
  <c r="I914" i="93"/>
  <c r="H914" i="93"/>
  <c r="G914" i="93"/>
  <c r="R913" i="93"/>
  <c r="K911" i="93"/>
  <c r="J911" i="93"/>
  <c r="I911" i="93"/>
  <c r="H911" i="93"/>
  <c r="G911" i="93"/>
  <c r="F911" i="93"/>
  <c r="E911" i="93"/>
  <c r="D911" i="93"/>
  <c r="C911" i="93"/>
  <c r="K910" i="93"/>
  <c r="J910" i="93"/>
  <c r="I910" i="93"/>
  <c r="H910" i="93"/>
  <c r="G910" i="93"/>
  <c r="S909" i="93"/>
  <c r="P906" i="93"/>
  <c r="O906" i="93"/>
  <c r="N906" i="93"/>
  <c r="M906" i="93"/>
  <c r="L906" i="93"/>
  <c r="K906" i="93"/>
  <c r="J906" i="93"/>
  <c r="I906" i="93"/>
  <c r="H906" i="93"/>
  <c r="G906" i="93"/>
  <c r="F906" i="93"/>
  <c r="E906" i="93"/>
  <c r="D906" i="93"/>
  <c r="C906" i="93"/>
  <c r="P905" i="93"/>
  <c r="O905" i="93"/>
  <c r="N905" i="93"/>
  <c r="M905" i="93"/>
  <c r="L905" i="93"/>
  <c r="K905" i="93"/>
  <c r="J905" i="93"/>
  <c r="I905" i="93"/>
  <c r="H905" i="93"/>
  <c r="G905" i="93"/>
  <c r="R904" i="93"/>
  <c r="P902" i="93"/>
  <c r="O902" i="93"/>
  <c r="N902" i="93"/>
  <c r="M902" i="93"/>
  <c r="L902" i="93"/>
  <c r="K902" i="93"/>
  <c r="J902" i="93"/>
  <c r="I902" i="93"/>
  <c r="H902" i="93"/>
  <c r="G902" i="93"/>
  <c r="F902" i="93"/>
  <c r="E902" i="93"/>
  <c r="D902" i="93"/>
  <c r="C902" i="93"/>
  <c r="P901" i="93"/>
  <c r="O901" i="93"/>
  <c r="N901" i="93"/>
  <c r="M901" i="93"/>
  <c r="L901" i="93"/>
  <c r="K901" i="93"/>
  <c r="J901" i="93"/>
  <c r="I901" i="93"/>
  <c r="H901" i="93"/>
  <c r="G901" i="93"/>
  <c r="S900" i="93"/>
  <c r="P897" i="93"/>
  <c r="O897" i="93"/>
  <c r="N897" i="93"/>
  <c r="M897" i="93"/>
  <c r="L897" i="93"/>
  <c r="K897" i="93"/>
  <c r="J897" i="93"/>
  <c r="I897" i="93"/>
  <c r="H897" i="93"/>
  <c r="G897" i="93"/>
  <c r="F897" i="93"/>
  <c r="E897" i="93"/>
  <c r="D897" i="93"/>
  <c r="C897" i="93"/>
  <c r="P896" i="93"/>
  <c r="O896" i="93"/>
  <c r="N896" i="93"/>
  <c r="M896" i="93"/>
  <c r="L896" i="93"/>
  <c r="K896" i="93"/>
  <c r="J896" i="93"/>
  <c r="I896" i="93"/>
  <c r="H896" i="93"/>
  <c r="G896" i="93"/>
  <c r="R895" i="93"/>
  <c r="P893" i="93"/>
  <c r="O893" i="93"/>
  <c r="N893" i="93"/>
  <c r="M893" i="93"/>
  <c r="L893" i="93"/>
  <c r="K893" i="93"/>
  <c r="J893" i="93"/>
  <c r="I893" i="93"/>
  <c r="H893" i="93"/>
  <c r="G893" i="93"/>
  <c r="F893" i="93"/>
  <c r="E893" i="93"/>
  <c r="D893" i="93"/>
  <c r="C893" i="93"/>
  <c r="P892" i="93"/>
  <c r="O892" i="93"/>
  <c r="N892" i="93"/>
  <c r="M892" i="93"/>
  <c r="L892" i="93"/>
  <c r="K892" i="93"/>
  <c r="J892" i="93"/>
  <c r="I892" i="93"/>
  <c r="H892" i="93"/>
  <c r="G892" i="93"/>
  <c r="S891" i="93"/>
  <c r="P888" i="93"/>
  <c r="O888" i="93"/>
  <c r="N888" i="93"/>
  <c r="M888" i="93"/>
  <c r="L888" i="93"/>
  <c r="K888" i="93"/>
  <c r="J888" i="93"/>
  <c r="I888" i="93"/>
  <c r="H888" i="93"/>
  <c r="G888" i="93"/>
  <c r="F888" i="93"/>
  <c r="E888" i="93"/>
  <c r="D888" i="93"/>
  <c r="C888" i="93"/>
  <c r="P887" i="93"/>
  <c r="O887" i="93"/>
  <c r="N887" i="93"/>
  <c r="M887" i="93"/>
  <c r="L887" i="93"/>
  <c r="K887" i="93"/>
  <c r="J887" i="93"/>
  <c r="I887" i="93"/>
  <c r="H887" i="93"/>
  <c r="G887" i="93"/>
  <c r="R886" i="93"/>
  <c r="P884" i="93"/>
  <c r="O884" i="93"/>
  <c r="N884" i="93"/>
  <c r="M884" i="93"/>
  <c r="L884" i="93"/>
  <c r="K884" i="93"/>
  <c r="J884" i="93"/>
  <c r="I884" i="93"/>
  <c r="H884" i="93"/>
  <c r="G884" i="93"/>
  <c r="F884" i="93"/>
  <c r="E884" i="93"/>
  <c r="D884" i="93"/>
  <c r="C884" i="93"/>
  <c r="P883" i="93"/>
  <c r="O883" i="93"/>
  <c r="N883" i="93"/>
  <c r="M883" i="93"/>
  <c r="L883" i="93"/>
  <c r="K883" i="93"/>
  <c r="J883" i="93"/>
  <c r="I883" i="93"/>
  <c r="H883" i="93"/>
  <c r="G883" i="93"/>
  <c r="R882" i="93"/>
  <c r="R881" i="93"/>
  <c r="R879" i="93"/>
  <c r="I879" i="93"/>
  <c r="R869" i="93"/>
  <c r="R860" i="93"/>
  <c r="R842" i="93"/>
  <c r="N839" i="93"/>
  <c r="M839" i="93"/>
  <c r="L839" i="93"/>
  <c r="K839" i="93"/>
  <c r="J839" i="93"/>
  <c r="N838" i="93"/>
  <c r="M838" i="93"/>
  <c r="L838" i="93"/>
  <c r="K838" i="93"/>
  <c r="J838" i="93"/>
  <c r="R828" i="93"/>
  <c r="R824" i="93"/>
  <c r="R820" i="93"/>
  <c r="R810" i="93"/>
  <c r="JR805" i="93"/>
  <c r="T804" i="93"/>
  <c r="S804" i="93"/>
  <c r="P804" i="93"/>
  <c r="O804" i="93"/>
  <c r="N804" i="93"/>
  <c r="M804" i="93"/>
  <c r="J804" i="93"/>
  <c r="H804" i="93"/>
  <c r="G804" i="93"/>
  <c r="F804" i="93"/>
  <c r="E804" i="93"/>
  <c r="D804" i="93"/>
  <c r="C804" i="93"/>
  <c r="B804" i="93"/>
  <c r="T803" i="93"/>
  <c r="S803" i="93"/>
  <c r="P803" i="93"/>
  <c r="O803" i="93"/>
  <c r="N803" i="93"/>
  <c r="M803" i="93"/>
  <c r="J803" i="93"/>
  <c r="H803" i="93"/>
  <c r="G803" i="93"/>
  <c r="F803" i="93"/>
  <c r="E803" i="93"/>
  <c r="D803" i="93"/>
  <c r="C803" i="93"/>
  <c r="B803" i="93"/>
  <c r="T802" i="93"/>
  <c r="S802" i="93"/>
  <c r="P802" i="93"/>
  <c r="O802" i="93"/>
  <c r="N802" i="93"/>
  <c r="M802" i="93"/>
  <c r="J802" i="93"/>
  <c r="H802" i="93"/>
  <c r="G802" i="93"/>
  <c r="F802" i="93"/>
  <c r="E802" i="93"/>
  <c r="D802" i="93"/>
  <c r="C802" i="93"/>
  <c r="B802" i="93"/>
  <c r="T801" i="93"/>
  <c r="S801" i="93"/>
  <c r="P801" i="93"/>
  <c r="O801" i="93"/>
  <c r="N801" i="93"/>
  <c r="M801" i="93"/>
  <c r="J801" i="93"/>
  <c r="H801" i="93"/>
  <c r="G801" i="93"/>
  <c r="F801" i="93"/>
  <c r="E801" i="93"/>
  <c r="D801" i="93"/>
  <c r="C801" i="93"/>
  <c r="B801" i="93"/>
  <c r="T800" i="93"/>
  <c r="S800" i="93"/>
  <c r="P800" i="93"/>
  <c r="FZ800" i="93" s="1"/>
  <c r="O800" i="93"/>
  <c r="N800" i="93"/>
  <c r="M800" i="93"/>
  <c r="J800" i="93"/>
  <c r="H800" i="93"/>
  <c r="G800" i="93"/>
  <c r="F800" i="93"/>
  <c r="E800" i="93"/>
  <c r="D800" i="93"/>
  <c r="C800" i="93"/>
  <c r="B800" i="93"/>
  <c r="CD800" i="93" s="1"/>
  <c r="T799" i="93"/>
  <c r="S799" i="93"/>
  <c r="P799" i="93"/>
  <c r="O799" i="93"/>
  <c r="N799" i="93"/>
  <c r="M799" i="93"/>
  <c r="J799" i="93"/>
  <c r="H799" i="93"/>
  <c r="G799" i="93"/>
  <c r="F799" i="93"/>
  <c r="E799" i="93"/>
  <c r="D799" i="93"/>
  <c r="C799" i="93"/>
  <c r="B799" i="93"/>
  <c r="T798" i="93"/>
  <c r="S798" i="93"/>
  <c r="P798" i="93"/>
  <c r="O798" i="93"/>
  <c r="N798" i="93"/>
  <c r="M798" i="93"/>
  <c r="J798" i="93"/>
  <c r="H798" i="93"/>
  <c r="G798" i="93"/>
  <c r="F798" i="93"/>
  <c r="E798" i="93"/>
  <c r="D798" i="93"/>
  <c r="C798" i="93"/>
  <c r="B798" i="93"/>
  <c r="T797" i="93"/>
  <c r="S797" i="93"/>
  <c r="P797" i="93"/>
  <c r="O797" i="93"/>
  <c r="N797" i="93"/>
  <c r="M797" i="93"/>
  <c r="J797" i="93"/>
  <c r="H797" i="93"/>
  <c r="G797" i="93"/>
  <c r="F797" i="93"/>
  <c r="E797" i="93"/>
  <c r="D797" i="93"/>
  <c r="C797" i="93"/>
  <c r="B797" i="93"/>
  <c r="T796" i="93"/>
  <c r="S796" i="93"/>
  <c r="P796" i="93"/>
  <c r="O796" i="93"/>
  <c r="N796" i="93"/>
  <c r="M796" i="93"/>
  <c r="J796" i="93"/>
  <c r="H796" i="93"/>
  <c r="G796" i="93"/>
  <c r="F796" i="93"/>
  <c r="E796" i="93"/>
  <c r="D796" i="93"/>
  <c r="C796" i="93"/>
  <c r="B796" i="93"/>
  <c r="T795" i="93"/>
  <c r="S795" i="93"/>
  <c r="P795" i="93"/>
  <c r="O795" i="93"/>
  <c r="N795" i="93"/>
  <c r="M795" i="93"/>
  <c r="J795" i="93"/>
  <c r="H795" i="93"/>
  <c r="G795" i="93"/>
  <c r="F795" i="93"/>
  <c r="E795" i="93"/>
  <c r="D795" i="93"/>
  <c r="C795" i="93"/>
  <c r="B795" i="93"/>
  <c r="T794" i="93"/>
  <c r="S794" i="93"/>
  <c r="P794" i="93"/>
  <c r="O794" i="93"/>
  <c r="N794" i="93"/>
  <c r="M794" i="93"/>
  <c r="J794" i="93"/>
  <c r="H794" i="93"/>
  <c r="G794" i="93"/>
  <c r="F794" i="93"/>
  <c r="E794" i="93"/>
  <c r="D794" i="93"/>
  <c r="C794" i="93"/>
  <c r="B794" i="93"/>
  <c r="T793" i="93"/>
  <c r="S793" i="93"/>
  <c r="P793" i="93"/>
  <c r="O793" i="93"/>
  <c r="N793" i="93"/>
  <c r="M793" i="93"/>
  <c r="J793" i="93"/>
  <c r="H793" i="93"/>
  <c r="G793" i="93"/>
  <c r="F793" i="93"/>
  <c r="E793" i="93"/>
  <c r="D793" i="93"/>
  <c r="C793" i="93"/>
  <c r="B793" i="93"/>
  <c r="T792" i="93"/>
  <c r="S792" i="93"/>
  <c r="P792" i="93"/>
  <c r="HI792" i="93" s="1"/>
  <c r="O792" i="93"/>
  <c r="N792" i="93"/>
  <c r="M792" i="93"/>
  <c r="J792" i="93"/>
  <c r="H792" i="93"/>
  <c r="G792" i="93"/>
  <c r="F792" i="93"/>
  <c r="E792" i="93"/>
  <c r="D792" i="93"/>
  <c r="C792" i="93"/>
  <c r="B792" i="93"/>
  <c r="T791" i="93"/>
  <c r="S791" i="93"/>
  <c r="P791" i="93"/>
  <c r="O791" i="93"/>
  <c r="IU791" i="93" s="1"/>
  <c r="N791" i="93"/>
  <c r="M791" i="93"/>
  <c r="J791" i="93"/>
  <c r="H791" i="93"/>
  <c r="G791" i="93"/>
  <c r="F791" i="93"/>
  <c r="E791" i="93"/>
  <c r="JO791" i="93" s="1"/>
  <c r="D791" i="93"/>
  <c r="C791" i="93"/>
  <c r="B791" i="93"/>
  <c r="T790" i="93"/>
  <c r="S790" i="93"/>
  <c r="P790" i="93"/>
  <c r="O790" i="93"/>
  <c r="N790" i="93"/>
  <c r="M790" i="93"/>
  <c r="J790" i="93"/>
  <c r="H790" i="93"/>
  <c r="G790" i="93"/>
  <c r="F790" i="93"/>
  <c r="E790" i="93"/>
  <c r="D790" i="93"/>
  <c r="C790" i="93"/>
  <c r="CL790" i="93" s="1"/>
  <c r="B790" i="93"/>
  <c r="T789" i="93"/>
  <c r="S789" i="93"/>
  <c r="P789" i="93"/>
  <c r="O789" i="93"/>
  <c r="N789" i="93"/>
  <c r="M789" i="93"/>
  <c r="BV789" i="93" s="1"/>
  <c r="J789" i="93"/>
  <c r="H789" i="93"/>
  <c r="G789" i="93"/>
  <c r="F789" i="93"/>
  <c r="E789" i="93"/>
  <c r="D789" i="93"/>
  <c r="C789" i="93"/>
  <c r="B789" i="93"/>
  <c r="IN789" i="93" s="1"/>
  <c r="T788" i="93"/>
  <c r="S788" i="93"/>
  <c r="P788" i="93"/>
  <c r="O788" i="93"/>
  <c r="N788" i="93"/>
  <c r="M788" i="93"/>
  <c r="J788" i="93"/>
  <c r="H788" i="93"/>
  <c r="G788" i="93"/>
  <c r="F788" i="93"/>
  <c r="E788" i="93"/>
  <c r="D788" i="93"/>
  <c r="C788" i="93"/>
  <c r="B788" i="93"/>
  <c r="T787" i="93"/>
  <c r="S787" i="93"/>
  <c r="P787" i="93"/>
  <c r="O787" i="93"/>
  <c r="N787" i="93"/>
  <c r="M787" i="93"/>
  <c r="J787" i="93"/>
  <c r="H787" i="93"/>
  <c r="G787" i="93"/>
  <c r="F787" i="93"/>
  <c r="E787" i="93"/>
  <c r="D787" i="93"/>
  <c r="C787" i="93"/>
  <c r="B787" i="93"/>
  <c r="T786" i="93"/>
  <c r="S786" i="93"/>
  <c r="P786" i="93"/>
  <c r="O786" i="93"/>
  <c r="N786" i="93"/>
  <c r="M786" i="93"/>
  <c r="J786" i="93"/>
  <c r="H786" i="93"/>
  <c r="G786" i="93"/>
  <c r="F786" i="93"/>
  <c r="E786" i="93"/>
  <c r="D786" i="93"/>
  <c r="C786" i="93"/>
  <c r="B786" i="93"/>
  <c r="T785" i="93"/>
  <c r="S785" i="93"/>
  <c r="P785" i="93"/>
  <c r="O785" i="93"/>
  <c r="N785" i="93"/>
  <c r="M785" i="93"/>
  <c r="J785" i="93"/>
  <c r="H785" i="93"/>
  <c r="G785" i="93"/>
  <c r="F785" i="93"/>
  <c r="E785" i="93"/>
  <c r="D785" i="93"/>
  <c r="C785" i="93"/>
  <c r="B785" i="93"/>
  <c r="T784" i="93"/>
  <c r="S784" i="93"/>
  <c r="P784" i="93"/>
  <c r="O784" i="93"/>
  <c r="N784" i="93"/>
  <c r="M784" i="93"/>
  <c r="J784" i="93"/>
  <c r="H784" i="93"/>
  <c r="G784" i="93"/>
  <c r="F784" i="93"/>
  <c r="E784" i="93"/>
  <c r="D784" i="93"/>
  <c r="C784" i="93"/>
  <c r="B784" i="93"/>
  <c r="T783" i="93"/>
  <c r="S783" i="93"/>
  <c r="P783" i="93"/>
  <c r="O783" i="93"/>
  <c r="N783" i="93"/>
  <c r="M783" i="93"/>
  <c r="J783" i="93"/>
  <c r="H783" i="93"/>
  <c r="G783" i="93"/>
  <c r="F783" i="93"/>
  <c r="E783" i="93"/>
  <c r="D783" i="93"/>
  <c r="C783" i="93"/>
  <c r="B783" i="93"/>
  <c r="T782" i="93"/>
  <c r="S782" i="93"/>
  <c r="P782" i="93"/>
  <c r="O782" i="93"/>
  <c r="N782" i="93"/>
  <c r="M782" i="93"/>
  <c r="J782" i="93"/>
  <c r="H782" i="93"/>
  <c r="G782" i="93"/>
  <c r="F782" i="93"/>
  <c r="E782" i="93"/>
  <c r="D782" i="93"/>
  <c r="C782" i="93"/>
  <c r="EZ782" i="93" s="1"/>
  <c r="B782" i="93"/>
  <c r="T781" i="93"/>
  <c r="S781" i="93"/>
  <c r="P781" i="93"/>
  <c r="O781" i="93"/>
  <c r="N781" i="93"/>
  <c r="M781" i="93"/>
  <c r="J781" i="93"/>
  <c r="H781" i="93"/>
  <c r="G781" i="93"/>
  <c r="F781" i="93"/>
  <c r="E781" i="93"/>
  <c r="D781" i="93"/>
  <c r="C781" i="93"/>
  <c r="B781" i="93"/>
  <c r="T780" i="93"/>
  <c r="S780" i="93"/>
  <c r="P780" i="93"/>
  <c r="O780" i="93"/>
  <c r="N780" i="93"/>
  <c r="M780" i="93"/>
  <c r="J780" i="93"/>
  <c r="H780" i="93"/>
  <c r="G780" i="93"/>
  <c r="F780" i="93"/>
  <c r="E780" i="93"/>
  <c r="D780" i="93"/>
  <c r="C780" i="93"/>
  <c r="B780" i="93"/>
  <c r="T779" i="93"/>
  <c r="S779" i="93"/>
  <c r="P779" i="93"/>
  <c r="O779" i="93"/>
  <c r="N779" i="93"/>
  <c r="M779" i="93"/>
  <c r="J779" i="93"/>
  <c r="H779" i="93"/>
  <c r="G779" i="93"/>
  <c r="F779" i="93"/>
  <c r="E779" i="93"/>
  <c r="D779" i="93"/>
  <c r="C779" i="93"/>
  <c r="B779" i="93"/>
  <c r="T778" i="93"/>
  <c r="S778" i="93"/>
  <c r="P778" i="93"/>
  <c r="O778" i="93"/>
  <c r="N778" i="93"/>
  <c r="M778" i="93"/>
  <c r="J778" i="93"/>
  <c r="H778" i="93"/>
  <c r="G778" i="93"/>
  <c r="F778" i="93"/>
  <c r="E778" i="93"/>
  <c r="D778" i="93"/>
  <c r="C778" i="93"/>
  <c r="EX778" i="93" s="1"/>
  <c r="B778" i="93"/>
  <c r="T777" i="93"/>
  <c r="S777" i="93"/>
  <c r="P777" i="93"/>
  <c r="O777" i="93"/>
  <c r="N777" i="93"/>
  <c r="M777" i="93"/>
  <c r="J777" i="93"/>
  <c r="H777" i="93"/>
  <c r="G777" i="93"/>
  <c r="F777" i="93"/>
  <c r="E777" i="93"/>
  <c r="D777" i="93"/>
  <c r="C777" i="93"/>
  <c r="B777" i="93"/>
  <c r="T776" i="93"/>
  <c r="S776" i="93"/>
  <c r="P776" i="93"/>
  <c r="O776" i="93"/>
  <c r="N776" i="93"/>
  <c r="M776" i="93"/>
  <c r="J776" i="93"/>
  <c r="H776" i="93"/>
  <c r="G776" i="93"/>
  <c r="F776" i="93"/>
  <c r="E776" i="93"/>
  <c r="D776" i="93"/>
  <c r="C776" i="93"/>
  <c r="B776" i="93"/>
  <c r="T775" i="93"/>
  <c r="S775" i="93"/>
  <c r="P775" i="93"/>
  <c r="O775" i="93"/>
  <c r="N775" i="93"/>
  <c r="M775" i="93"/>
  <c r="J775" i="93"/>
  <c r="H775" i="93"/>
  <c r="G775" i="93"/>
  <c r="F775" i="93"/>
  <c r="E775" i="93"/>
  <c r="D775" i="93"/>
  <c r="C775" i="93"/>
  <c r="B775" i="93"/>
  <c r="T774" i="93"/>
  <c r="S774" i="93"/>
  <c r="P774" i="93"/>
  <c r="O774" i="93"/>
  <c r="N774" i="93"/>
  <c r="M774" i="93"/>
  <c r="J774" i="93"/>
  <c r="H774" i="93"/>
  <c r="G774" i="93"/>
  <c r="F774" i="93"/>
  <c r="E774" i="93"/>
  <c r="D774" i="93"/>
  <c r="C774" i="93"/>
  <c r="B774" i="93"/>
  <c r="T773" i="93"/>
  <c r="S773" i="93"/>
  <c r="P773" i="93"/>
  <c r="O773" i="93"/>
  <c r="N773" i="93"/>
  <c r="M773" i="93"/>
  <c r="J773" i="93"/>
  <c r="H773" i="93"/>
  <c r="G773" i="93"/>
  <c r="F773" i="93"/>
  <c r="E773" i="93"/>
  <c r="D773" i="93"/>
  <c r="C773" i="93"/>
  <c r="B773" i="93"/>
  <c r="T772" i="93"/>
  <c r="S772" i="93"/>
  <c r="P772" i="93"/>
  <c r="O772" i="93"/>
  <c r="N772" i="93"/>
  <c r="M772" i="93"/>
  <c r="J772" i="93"/>
  <c r="H772" i="93"/>
  <c r="G772" i="93"/>
  <c r="F772" i="93"/>
  <c r="E772" i="93"/>
  <c r="D772" i="93"/>
  <c r="C772" i="93"/>
  <c r="B772" i="93"/>
  <c r="T771" i="93"/>
  <c r="S771" i="93"/>
  <c r="P771" i="93"/>
  <c r="O771" i="93"/>
  <c r="N771" i="93"/>
  <c r="M771" i="93"/>
  <c r="J771" i="93"/>
  <c r="H771" i="93"/>
  <c r="G771" i="93"/>
  <c r="F771" i="93"/>
  <c r="E771" i="93"/>
  <c r="D771" i="93"/>
  <c r="C771" i="93"/>
  <c r="B771" i="93"/>
  <c r="T770" i="93"/>
  <c r="S770" i="93"/>
  <c r="P770" i="93"/>
  <c r="O770" i="93"/>
  <c r="N770" i="93"/>
  <c r="M770" i="93"/>
  <c r="J770" i="93"/>
  <c r="H770" i="93"/>
  <c r="G770" i="93"/>
  <c r="F770" i="93"/>
  <c r="E770" i="93"/>
  <c r="D770" i="93"/>
  <c r="C770" i="93"/>
  <c r="B770" i="93"/>
  <c r="T769" i="93"/>
  <c r="S769" i="93"/>
  <c r="P769" i="93"/>
  <c r="O769" i="93"/>
  <c r="N769" i="93"/>
  <c r="M769" i="93"/>
  <c r="J769" i="93"/>
  <c r="H769" i="93"/>
  <c r="G769" i="93"/>
  <c r="F769" i="93"/>
  <c r="E769" i="93"/>
  <c r="D769" i="93"/>
  <c r="C769" i="93"/>
  <c r="B769" i="93"/>
  <c r="T768" i="93"/>
  <c r="S768" i="93"/>
  <c r="P768" i="93"/>
  <c r="O768" i="93"/>
  <c r="N768" i="93"/>
  <c r="M768" i="93"/>
  <c r="J768" i="93"/>
  <c r="H768" i="93"/>
  <c r="G768" i="93"/>
  <c r="F768" i="93"/>
  <c r="E768" i="93"/>
  <c r="D768" i="93"/>
  <c r="C768" i="93"/>
  <c r="B768" i="93"/>
  <c r="T767" i="93"/>
  <c r="S767" i="93"/>
  <c r="P767" i="93"/>
  <c r="O767" i="93"/>
  <c r="N767" i="93"/>
  <c r="M767" i="93"/>
  <c r="J767" i="93"/>
  <c r="H767" i="93"/>
  <c r="G767" i="93"/>
  <c r="F767" i="93"/>
  <c r="E767" i="93"/>
  <c r="D767" i="93"/>
  <c r="C767" i="93"/>
  <c r="B767" i="93"/>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K738" i="93"/>
  <c r="J738" i="93"/>
  <c r="I738" i="93"/>
  <c r="G738" i="93"/>
  <c r="F738" i="93"/>
  <c r="E738" i="93"/>
  <c r="D738" i="93"/>
  <c r="M737" i="93"/>
  <c r="L737" i="93"/>
  <c r="K737" i="93"/>
  <c r="J737" i="93"/>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I723" i="93"/>
  <c r="G723" i="93"/>
  <c r="F723" i="93"/>
  <c r="E723" i="93"/>
  <c r="D723" i="93"/>
  <c r="M722" i="93"/>
  <c r="L722" i="93"/>
  <c r="K722" i="93"/>
  <c r="J722" i="93"/>
  <c r="I722" i="93"/>
  <c r="G722" i="93"/>
  <c r="F722" i="93"/>
  <c r="E722" i="93"/>
  <c r="D722" i="93"/>
  <c r="M721" i="93"/>
  <c r="L721" i="93"/>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2" i="93"/>
  <c r="T601" i="93"/>
  <c r="O601" i="93"/>
  <c r="L599" i="93"/>
  <c r="K599" i="93"/>
  <c r="W597" i="93"/>
  <c r="Q592" i="93"/>
  <c r="P592" i="93"/>
  <c r="N592" i="93"/>
  <c r="M592" i="93"/>
  <c r="K592" i="93"/>
  <c r="J592" i="93"/>
  <c r="Q588" i="93"/>
  <c r="P588" i="93"/>
  <c r="K588" i="93"/>
  <c r="J588" i="93"/>
  <c r="I588" i="93"/>
  <c r="H588" i="93"/>
  <c r="W584" i="93"/>
  <c r="V582" i="93"/>
  <c r="Q581" i="93"/>
  <c r="P581" i="93"/>
  <c r="K581" i="93"/>
  <c r="J581" i="93"/>
  <c r="I581" i="93"/>
  <c r="H581" i="93"/>
  <c r="G581" i="93"/>
  <c r="F581" i="93"/>
  <c r="E581" i="93"/>
  <c r="D581" i="93"/>
  <c r="C581" i="93"/>
  <c r="Q580" i="93"/>
  <c r="P580" i="93"/>
  <c r="K580" i="93"/>
  <c r="J580" i="93"/>
  <c r="Q579" i="93"/>
  <c r="P579" i="93"/>
  <c r="K579" i="93"/>
  <c r="J579" i="93"/>
  <c r="Q578" i="93"/>
  <c r="P578" i="93"/>
  <c r="K578" i="93"/>
  <c r="J578" i="93"/>
  <c r="Q577" i="93"/>
  <c r="P577" i="93"/>
  <c r="K577" i="93"/>
  <c r="J577" i="93"/>
  <c r="Q576" i="93"/>
  <c r="P576" i="93"/>
  <c r="K576" i="93"/>
  <c r="J576" i="93"/>
  <c r="W574" i="93"/>
  <c r="W573" i="93"/>
  <c r="V566" i="93"/>
  <c r="T565" i="93"/>
  <c r="S565" i="93"/>
  <c r="Q565" i="93"/>
  <c r="P565" i="93"/>
  <c r="N565" i="93"/>
  <c r="M565" i="93"/>
  <c r="K565" i="93"/>
  <c r="J565" i="93"/>
  <c r="H565" i="93"/>
  <c r="G565" i="93"/>
  <c r="F565" i="93"/>
  <c r="E565" i="93"/>
  <c r="D565" i="93"/>
  <c r="C565" i="93"/>
  <c r="T564" i="93"/>
  <c r="S564" i="93"/>
  <c r="Q564" i="93"/>
  <c r="P564" i="93"/>
  <c r="N564" i="93"/>
  <c r="M564" i="93"/>
  <c r="K564" i="93"/>
  <c r="J564" i="93"/>
  <c r="H564" i="93"/>
  <c r="G564" i="93"/>
  <c r="W563" i="93"/>
  <c r="O563" i="93"/>
  <c r="V562" i="93"/>
  <c r="T561" i="93"/>
  <c r="S561" i="93"/>
  <c r="Q561" i="93"/>
  <c r="P561" i="93"/>
  <c r="N561" i="93"/>
  <c r="M561" i="93"/>
  <c r="K561" i="93"/>
  <c r="J561" i="93"/>
  <c r="H561" i="93"/>
  <c r="G561" i="93"/>
  <c r="F561" i="93"/>
  <c r="E561" i="93"/>
  <c r="D561" i="93"/>
  <c r="C561" i="93"/>
  <c r="T560" i="93"/>
  <c r="S560" i="93"/>
  <c r="Q560" i="93"/>
  <c r="P560" i="93"/>
  <c r="N560" i="93"/>
  <c r="M560" i="93"/>
  <c r="K560" i="93"/>
  <c r="J560" i="93"/>
  <c r="H560" i="93"/>
  <c r="G560" i="93"/>
  <c r="T559" i="93"/>
  <c r="S559" i="93"/>
  <c r="H559" i="93"/>
  <c r="G559" i="93"/>
  <c r="T558" i="93"/>
  <c r="S558" i="93"/>
  <c r="H558" i="93"/>
  <c r="G558" i="93"/>
  <c r="J558" i="93" s="1"/>
  <c r="T557" i="93"/>
  <c r="S557" i="93"/>
  <c r="H557" i="93"/>
  <c r="G557" i="93"/>
  <c r="J557" i="93" s="1"/>
  <c r="T556" i="93"/>
  <c r="S556" i="93"/>
  <c r="H556" i="93"/>
  <c r="G556" i="93"/>
  <c r="W555" i="93"/>
  <c r="O555" i="93"/>
  <c r="V554" i="93"/>
  <c r="T553" i="93"/>
  <c r="S553" i="93"/>
  <c r="Q553" i="93"/>
  <c r="P553" i="93"/>
  <c r="N553" i="93"/>
  <c r="M553" i="93"/>
  <c r="K553" i="93"/>
  <c r="J553" i="93"/>
  <c r="H553" i="93"/>
  <c r="G553" i="93"/>
  <c r="T552" i="93"/>
  <c r="S552" i="93"/>
  <c r="Q552" i="93"/>
  <c r="P552" i="93"/>
  <c r="N552" i="93"/>
  <c r="M552" i="93"/>
  <c r="K552" i="93"/>
  <c r="J552" i="93"/>
  <c r="H552" i="93"/>
  <c r="G552" i="93"/>
  <c r="T551" i="93"/>
  <c r="S551" i="93"/>
  <c r="Q551" i="93"/>
  <c r="P551" i="93"/>
  <c r="N551" i="93"/>
  <c r="M551" i="93"/>
  <c r="K551" i="93"/>
  <c r="J551" i="93"/>
  <c r="H551" i="93"/>
  <c r="G551" i="93"/>
  <c r="F550" i="93"/>
  <c r="T549" i="93"/>
  <c r="S549" i="93"/>
  <c r="Q549" i="93"/>
  <c r="P549" i="93"/>
  <c r="N549" i="93"/>
  <c r="M549" i="93"/>
  <c r="K549" i="93"/>
  <c r="J549" i="93"/>
  <c r="H549" i="93"/>
  <c r="G549" i="93"/>
  <c r="W548" i="93"/>
  <c r="O548" i="93"/>
  <c r="V547" i="93"/>
  <c r="T546" i="93"/>
  <c r="S546" i="93"/>
  <c r="H546" i="93"/>
  <c r="G546" i="93"/>
  <c r="A546" i="93" s="1"/>
  <c r="F546" i="93"/>
  <c r="E546" i="93"/>
  <c r="D546" i="93"/>
  <c r="C546" i="93"/>
  <c r="T545" i="93"/>
  <c r="S545" i="93"/>
  <c r="H545" i="93"/>
  <c r="G545" i="93"/>
  <c r="T544" i="93"/>
  <c r="S544" i="93"/>
  <c r="H544" i="93"/>
  <c r="G544" i="93"/>
  <c r="T543" i="93"/>
  <c r="S543" i="93"/>
  <c r="H543" i="93"/>
  <c r="G543" i="93"/>
  <c r="W542" i="93"/>
  <c r="O542" i="93"/>
  <c r="V541" i="93"/>
  <c r="T540" i="93"/>
  <c r="S540" i="93"/>
  <c r="H540" i="93"/>
  <c r="G540" i="93"/>
  <c r="F540" i="93"/>
  <c r="E540" i="93"/>
  <c r="D540" i="93"/>
  <c r="C540" i="93"/>
  <c r="T539" i="93"/>
  <c r="S539" i="93"/>
  <c r="H539" i="93"/>
  <c r="G539" i="93"/>
  <c r="F539" i="93"/>
  <c r="E539" i="93"/>
  <c r="D539" i="93"/>
  <c r="C539" i="93"/>
  <c r="T538" i="93"/>
  <c r="S538" i="93"/>
  <c r="H538" i="93"/>
  <c r="G538" i="93"/>
  <c r="F538" i="93"/>
  <c r="T537" i="93"/>
  <c r="S537" i="93"/>
  <c r="H537" i="93"/>
  <c r="G537" i="93"/>
  <c r="F537" i="93"/>
  <c r="T536" i="93"/>
  <c r="S536" i="93"/>
  <c r="H536" i="93"/>
  <c r="G536" i="93"/>
  <c r="T535" i="93"/>
  <c r="S535" i="93"/>
  <c r="H535" i="93"/>
  <c r="G535" i="93"/>
  <c r="T534" i="93"/>
  <c r="S534" i="93"/>
  <c r="H534" i="93"/>
  <c r="G534" i="93"/>
  <c r="T533" i="93"/>
  <c r="S533" i="93"/>
  <c r="H533" i="93"/>
  <c r="G533" i="93"/>
  <c r="B533" i="93"/>
  <c r="T532" i="93"/>
  <c r="S532" i="93"/>
  <c r="H532" i="93"/>
  <c r="G532" i="93"/>
  <c r="B532" i="93"/>
  <c r="W531" i="93"/>
  <c r="O531" i="93"/>
  <c r="V529" i="93"/>
  <c r="V527" i="93"/>
  <c r="T526" i="93"/>
  <c r="S526" i="93"/>
  <c r="H526" i="93"/>
  <c r="G526" i="93"/>
  <c r="F526" i="93"/>
  <c r="E526" i="93"/>
  <c r="D526" i="93"/>
  <c r="C526" i="93"/>
  <c r="T525" i="93"/>
  <c r="S525" i="93"/>
  <c r="H525" i="93"/>
  <c r="G525" i="93"/>
  <c r="T524" i="93"/>
  <c r="S524" i="93"/>
  <c r="H524" i="93"/>
  <c r="G524" i="93"/>
  <c r="T523" i="93"/>
  <c r="S523" i="93"/>
  <c r="H523" i="93"/>
  <c r="G523" i="93"/>
  <c r="T522" i="93"/>
  <c r="S522" i="93"/>
  <c r="H522" i="93"/>
  <c r="G522" i="93"/>
  <c r="T521" i="93"/>
  <c r="S521" i="93"/>
  <c r="H521" i="93"/>
  <c r="G521" i="93"/>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G517" i="93"/>
  <c r="E517" i="93"/>
  <c r="T516" i="93"/>
  <c r="S516" i="93"/>
  <c r="Q516" i="93"/>
  <c r="P516" i="93"/>
  <c r="N516" i="93"/>
  <c r="M516" i="93"/>
  <c r="K516" i="93"/>
  <c r="J516" i="93"/>
  <c r="H516" i="93"/>
  <c r="G516" i="93"/>
  <c r="T515" i="93"/>
  <c r="S515" i="93"/>
  <c r="Q515" i="93"/>
  <c r="P515" i="93"/>
  <c r="N515" i="93"/>
  <c r="M515" i="93"/>
  <c r="K515" i="93"/>
  <c r="J515" i="93"/>
  <c r="H515" i="93"/>
  <c r="G515" i="93"/>
  <c r="W514" i="93"/>
  <c r="O514" i="93"/>
  <c r="V513" i="93"/>
  <c r="T512" i="93"/>
  <c r="S512" i="93"/>
  <c r="Q512" i="93"/>
  <c r="P512" i="93"/>
  <c r="N512" i="93"/>
  <c r="M512" i="93"/>
  <c r="K512" i="93"/>
  <c r="J512" i="93"/>
  <c r="H512" i="93"/>
  <c r="G512" i="93"/>
  <c r="F512" i="93"/>
  <c r="E512" i="93"/>
  <c r="D512" i="93"/>
  <c r="C512" i="93"/>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E504" i="93"/>
  <c r="T503" i="93"/>
  <c r="S503" i="93"/>
  <c r="Q503" i="93"/>
  <c r="P503" i="93"/>
  <c r="N503" i="93"/>
  <c r="M503" i="93"/>
  <c r="K503" i="93"/>
  <c r="J503" i="93"/>
  <c r="H503" i="93"/>
  <c r="G503" i="93"/>
  <c r="T502" i="93"/>
  <c r="S502" i="93"/>
  <c r="Q502" i="93"/>
  <c r="P502" i="93"/>
  <c r="N502" i="93"/>
  <c r="M502" i="93"/>
  <c r="K502" i="93"/>
  <c r="J502" i="93"/>
  <c r="H502" i="93"/>
  <c r="G502" i="93"/>
  <c r="W501" i="93"/>
  <c r="O501" i="93"/>
  <c r="V500" i="93"/>
  <c r="T499" i="93"/>
  <c r="S499" i="93"/>
  <c r="Q499" i="93"/>
  <c r="P499" i="93"/>
  <c r="N499" i="93"/>
  <c r="M499" i="93"/>
  <c r="K499" i="93"/>
  <c r="J499" i="93"/>
  <c r="H499" i="93"/>
  <c r="G499" i="93"/>
  <c r="F499" i="93"/>
  <c r="E499" i="93"/>
  <c r="D499" i="93"/>
  <c r="C499" i="93"/>
  <c r="T498" i="93"/>
  <c r="S498" i="93"/>
  <c r="Q498" i="93"/>
  <c r="P498" i="93"/>
  <c r="N498" i="93"/>
  <c r="M498" i="93"/>
  <c r="K498" i="93"/>
  <c r="J498" i="93"/>
  <c r="H498" i="93"/>
  <c r="G498" i="93"/>
  <c r="F498" i="93"/>
  <c r="E498" i="93"/>
  <c r="D498" i="93"/>
  <c r="C498" i="93"/>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K489" i="93"/>
  <c r="J489" i="93"/>
  <c r="H489" i="93"/>
  <c r="G489" i="93"/>
  <c r="T488" i="93"/>
  <c r="S488" i="93"/>
  <c r="Q488" i="93"/>
  <c r="P488" i="93"/>
  <c r="N488" i="93"/>
  <c r="M488" i="93"/>
  <c r="K488" i="93"/>
  <c r="J488" i="93"/>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X473" i="93"/>
  <c r="W473" i="93"/>
  <c r="T473" i="93"/>
  <c r="S473" i="93"/>
  <c r="Q473" i="93"/>
  <c r="P473" i="93"/>
  <c r="N473" i="93"/>
  <c r="M473" i="93"/>
  <c r="K473" i="93"/>
  <c r="J473" i="93"/>
  <c r="H473" i="93"/>
  <c r="G473" i="93"/>
  <c r="D473" i="93"/>
  <c r="X472" i="93"/>
  <c r="W472" i="93"/>
  <c r="T472" i="93"/>
  <c r="S472" i="93"/>
  <c r="Q472" i="93"/>
  <c r="P472" i="93"/>
  <c r="N472" i="93"/>
  <c r="M472" i="93"/>
  <c r="K472" i="93"/>
  <c r="J472" i="93"/>
  <c r="H472" i="93"/>
  <c r="G472" i="93"/>
  <c r="D472" i="93"/>
  <c r="X471" i="93"/>
  <c r="W471" i="93"/>
  <c r="T471" i="93"/>
  <c r="S471" i="93"/>
  <c r="Q471" i="93"/>
  <c r="P471" i="93"/>
  <c r="N471" i="93"/>
  <c r="M471" i="93"/>
  <c r="K471" i="93"/>
  <c r="J471" i="93"/>
  <c r="H471" i="93"/>
  <c r="G471" i="93"/>
  <c r="D471" i="93"/>
  <c r="W470" i="93"/>
  <c r="O470" i="93"/>
  <c r="V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6" i="93"/>
  <c r="K466" i="93"/>
  <c r="J466" i="93"/>
  <c r="H466" i="93"/>
  <c r="G466" i="93"/>
  <c r="X465" i="93"/>
  <c r="W465" i="93"/>
  <c r="T465" i="93"/>
  <c r="S465" i="93"/>
  <c r="Q465" i="93"/>
  <c r="P465" i="93"/>
  <c r="N465" i="93"/>
  <c r="M465" i="93"/>
  <c r="K465" i="93"/>
  <c r="J465" i="93"/>
  <c r="H465" i="93"/>
  <c r="G465" i="93"/>
  <c r="W464" i="93"/>
  <c r="O464" i="93"/>
  <c r="V463" i="93"/>
  <c r="X462" i="93"/>
  <c r="W462" i="93"/>
  <c r="T462" i="93"/>
  <c r="S462" i="93"/>
  <c r="K462" i="93"/>
  <c r="J462" i="93"/>
  <c r="H462" i="93"/>
  <c r="G462" i="93"/>
  <c r="X461" i="93"/>
  <c r="W461" i="93"/>
  <c r="T461" i="93"/>
  <c r="S461" i="93"/>
  <c r="Q461" i="93"/>
  <c r="P461" i="93"/>
  <c r="P463" i="93" s="1"/>
  <c r="N461" i="93"/>
  <c r="M461" i="93"/>
  <c r="M463" i="93" s="1"/>
  <c r="K461" i="93"/>
  <c r="J461" i="93"/>
  <c r="H461" i="93"/>
  <c r="G461" i="93"/>
  <c r="F461" i="93" s="1"/>
  <c r="W460" i="93"/>
  <c r="O460" i="93"/>
  <c r="V459" i="93"/>
  <c r="X458" i="93"/>
  <c r="W458" i="93"/>
  <c r="T458" i="93"/>
  <c r="S458" i="93"/>
  <c r="N458" i="93"/>
  <c r="M458" i="93"/>
  <c r="H458" i="93"/>
  <c r="G458" i="93"/>
  <c r="X457" i="93"/>
  <c r="W457" i="93"/>
  <c r="T457" i="93"/>
  <c r="S457" i="93"/>
  <c r="N457" i="93"/>
  <c r="M457" i="93"/>
  <c r="H457" i="93"/>
  <c r="G457" i="93"/>
  <c r="X456" i="93"/>
  <c r="W456" i="93"/>
  <c r="T456" i="93"/>
  <c r="S456" i="93"/>
  <c r="H456" i="93"/>
  <c r="G456" i="93"/>
  <c r="X455" i="93"/>
  <c r="W455" i="93"/>
  <c r="T455" i="93"/>
  <c r="S455" i="93"/>
  <c r="H455" i="93"/>
  <c r="G455" i="93"/>
  <c r="W454" i="93"/>
  <c r="O454" i="93"/>
  <c r="V453" i="93"/>
  <c r="X452" i="93"/>
  <c r="W452" i="93"/>
  <c r="T452" i="93"/>
  <c r="S452" i="93"/>
  <c r="Q452" i="93"/>
  <c r="P452" i="93"/>
  <c r="N452" i="93"/>
  <c r="M452" i="93"/>
  <c r="K452" i="93"/>
  <c r="J452" i="93"/>
  <c r="H452" i="93"/>
  <c r="G452" i="93"/>
  <c r="F452" i="93"/>
  <c r="E452" i="93"/>
  <c r="D452" i="93"/>
  <c r="C452" i="93"/>
  <c r="X451" i="93"/>
  <c r="W451" i="93"/>
  <c r="T451" i="93"/>
  <c r="S451" i="93"/>
  <c r="Q451" i="93"/>
  <c r="P451" i="93"/>
  <c r="N451" i="93"/>
  <c r="M451" i="93"/>
  <c r="K451" i="93"/>
  <c r="J451" i="93"/>
  <c r="H451" i="93"/>
  <c r="G451" i="93"/>
  <c r="F451" i="93"/>
  <c r="E451" i="93"/>
  <c r="D451" i="93"/>
  <c r="C451" i="93"/>
  <c r="X450" i="93"/>
  <c r="W450" i="93"/>
  <c r="T450" i="93"/>
  <c r="S450" i="93"/>
  <c r="Q450" i="93"/>
  <c r="P450" i="93"/>
  <c r="N450" i="93"/>
  <c r="M450" i="93"/>
  <c r="K450" i="93"/>
  <c r="J450" i="93"/>
  <c r="H450" i="93"/>
  <c r="G450" i="93"/>
  <c r="F450" i="93"/>
  <c r="E450" i="93"/>
  <c r="D450" i="93"/>
  <c r="C450" i="93"/>
  <c r="U450" i="93" s="1"/>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45" i="93"/>
  <c r="X444" i="93"/>
  <c r="W444" i="93"/>
  <c r="T444" i="93"/>
  <c r="S444" i="93"/>
  <c r="Q444" i="93"/>
  <c r="P444" i="93"/>
  <c r="N444" i="93"/>
  <c r="M444" i="93"/>
  <c r="K444" i="93"/>
  <c r="J444" i="93"/>
  <c r="H444" i="93"/>
  <c r="G444" i="93"/>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F408" i="93"/>
  <c r="Q405" i="93"/>
  <c r="P405" i="93"/>
  <c r="O405" i="93"/>
  <c r="M405" i="93"/>
  <c r="L405" i="93"/>
  <c r="K405" i="93"/>
  <c r="J405" i="93"/>
  <c r="I405" i="93"/>
  <c r="H405" i="93"/>
  <c r="G405" i="93"/>
  <c r="F405" i="93"/>
  <c r="E405" i="93"/>
  <c r="J404" i="93"/>
  <c r="I404" i="93"/>
  <c r="N404" i="93" s="1"/>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M401" i="93"/>
  <c r="L401" i="93"/>
  <c r="K401" i="93"/>
  <c r="J401" i="93"/>
  <c r="I401" i="93"/>
  <c r="H401" i="93"/>
  <c r="G401" i="93"/>
  <c r="F401" i="93"/>
  <c r="E401" i="93"/>
  <c r="Q400" i="93"/>
  <c r="P400" i="93"/>
  <c r="O400" i="93"/>
  <c r="M400" i="93"/>
  <c r="L400" i="93"/>
  <c r="K400" i="93"/>
  <c r="J400" i="93"/>
  <c r="I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1" i="93"/>
  <c r="P180" i="93"/>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P94" i="93"/>
  <c r="H94" i="93"/>
  <c r="P92" i="93"/>
  <c r="N92" i="93"/>
  <c r="L92" i="93"/>
  <c r="N91" i="93"/>
  <c r="L91" i="93"/>
  <c r="P89" i="93"/>
  <c r="O89" i="93"/>
  <c r="N89" i="93"/>
  <c r="M89" i="93"/>
  <c r="I89" i="93"/>
  <c r="H89" i="93"/>
  <c r="H85" i="93"/>
  <c r="H82" i="93"/>
  <c r="P81" i="93"/>
  <c r="H81" i="93"/>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A12" i="93" s="1"/>
  <c r="J33" i="93"/>
  <c r="H33" i="93"/>
  <c r="G33" i="93"/>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5" i="93"/>
  <c r="A2" i="93"/>
  <c r="R50" i="81"/>
  <c r="Q50" i="81"/>
  <c r="P50" i="81"/>
  <c r="O50" i="81"/>
  <c r="N50" i="81"/>
  <c r="R49" i="81"/>
  <c r="Q49" i="81"/>
  <c r="P49" i="81"/>
  <c r="O49" i="81"/>
  <c r="N49" i="81"/>
  <c r="R48" i="81"/>
  <c r="L1217" i="94" s="1"/>
  <c r="Q48" i="81"/>
  <c r="L1202" i="94" s="1"/>
  <c r="P48" i="81"/>
  <c r="O48" i="81"/>
  <c r="L1214" i="94" s="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A2102" i="94"/>
  <c r="P2097" i="94"/>
  <c r="M2096" i="94"/>
  <c r="M1654" i="94" s="1"/>
  <c r="O2092" i="94"/>
  <c r="O2091" i="94"/>
  <c r="O2090" i="94"/>
  <c r="P2088" i="94"/>
  <c r="A2084" i="94"/>
  <c r="O2079" i="94"/>
  <c r="Q2079" i="94" s="1"/>
  <c r="P2077" i="94"/>
  <c r="O2077" i="94"/>
  <c r="N2077" i="94"/>
  <c r="M2077" i="94"/>
  <c r="L2077" i="94"/>
  <c r="K2077" i="94"/>
  <c r="J2077" i="94"/>
  <c r="I2077" i="94"/>
  <c r="H2077" i="94"/>
  <c r="G2077" i="94"/>
  <c r="F2077" i="94"/>
  <c r="E2077" i="94"/>
  <c r="D2077" i="94"/>
  <c r="C2077" i="94"/>
  <c r="B2077" i="94"/>
  <c r="O2072" i="94"/>
  <c r="Q2072" i="94" s="1"/>
  <c r="L2070" i="94"/>
  <c r="I2070" i="94"/>
  <c r="H2070" i="94"/>
  <c r="G2070" i="94"/>
  <c r="F2070" i="94"/>
  <c r="E2070" i="94"/>
  <c r="D2070" i="94"/>
  <c r="R2068" i="94"/>
  <c r="P2068" i="94"/>
  <c r="A2064" i="94"/>
  <c r="O2062" i="94"/>
  <c r="O2061" i="94"/>
  <c r="O2060" i="94"/>
  <c r="O2059" i="94"/>
  <c r="L2059" i="94" s="1"/>
  <c r="P2057" i="94"/>
  <c r="O2057" i="94"/>
  <c r="N2057" i="94"/>
  <c r="K2057" i="94"/>
  <c r="I2057" i="94"/>
  <c r="P2056" i="94"/>
  <c r="O2056" i="94"/>
  <c r="N2056" i="94"/>
  <c r="I2056" i="94"/>
  <c r="I2055" i="94"/>
  <c r="M2052" i="94"/>
  <c r="K2051" i="94"/>
  <c r="J2051" i="94"/>
  <c r="K2050" i="94"/>
  <c r="J2050" i="94"/>
  <c r="K2049" i="94"/>
  <c r="J2049" i="94"/>
  <c r="K2048" i="94"/>
  <c r="J2048" i="94"/>
  <c r="K2047" i="94"/>
  <c r="J2047" i="94"/>
  <c r="K2046" i="94"/>
  <c r="J2046" i="94"/>
  <c r="K2045" i="94"/>
  <c r="J2045" i="94"/>
  <c r="K2044" i="94"/>
  <c r="J2044" i="94"/>
  <c r="K2043" i="94"/>
  <c r="J2043" i="94"/>
  <c r="K2042" i="94"/>
  <c r="J2042" i="94"/>
  <c r="O2039" i="94"/>
  <c r="L2039" i="94" s="1"/>
  <c r="O2037" i="94"/>
  <c r="O2036" i="94"/>
  <c r="O2035" i="94"/>
  <c r="S2034" i="94"/>
  <c r="R2034" i="94"/>
  <c r="O2034" i="94"/>
  <c r="P2032" i="94"/>
  <c r="J2032" i="94"/>
  <c r="A2028" i="94"/>
  <c r="O2024" i="94"/>
  <c r="O2023" i="94"/>
  <c r="O2022" i="94"/>
  <c r="O2020" i="94"/>
  <c r="M2020" i="94"/>
  <c r="O2019" i="94"/>
  <c r="L2018" i="94"/>
  <c r="K2018" i="94"/>
  <c r="J2018" i="94"/>
  <c r="I2018" i="94"/>
  <c r="P2017" i="94"/>
  <c r="A2013" i="94"/>
  <c r="P2011" i="94"/>
  <c r="O2011" i="94"/>
  <c r="N2011" i="94"/>
  <c r="M2011" i="94"/>
  <c r="L2011" i="94"/>
  <c r="K2011" i="94"/>
  <c r="J2011" i="94"/>
  <c r="I2011" i="94"/>
  <c r="P2010" i="94"/>
  <c r="O2010" i="94"/>
  <c r="N2010" i="94"/>
  <c r="M2010" i="94"/>
  <c r="L2010" i="94"/>
  <c r="K2010" i="94"/>
  <c r="J2010" i="94"/>
  <c r="I2010" i="94"/>
  <c r="P2009" i="94"/>
  <c r="O2009" i="94"/>
  <c r="N2009" i="94"/>
  <c r="M2009" i="94"/>
  <c r="L2009" i="94"/>
  <c r="K2009" i="94"/>
  <c r="J2009" i="94"/>
  <c r="I2009" i="94"/>
  <c r="O2007" i="94"/>
  <c r="L2007" i="94" s="1"/>
  <c r="I2007" i="94"/>
  <c r="O2003" i="94"/>
  <c r="O2002" i="94"/>
  <c r="O2001" i="94"/>
  <c r="O2000" i="94"/>
  <c r="G1999" i="94"/>
  <c r="O1998" i="94"/>
  <c r="O1997" i="94"/>
  <c r="O1996" i="94"/>
  <c r="O1995" i="94"/>
  <c r="O1994" i="94"/>
  <c r="O1993" i="94"/>
  <c r="O1992" i="94"/>
  <c r="O1991" i="94"/>
  <c r="G1991" i="94"/>
  <c r="P1990" i="94"/>
  <c r="P2098" i="94" s="1"/>
  <c r="O1985" i="94"/>
  <c r="O1983" i="94"/>
  <c r="P1982" i="94"/>
  <c r="O1981" i="94"/>
  <c r="O1980" i="94"/>
  <c r="O1979" i="94"/>
  <c r="P1978" i="94"/>
  <c r="P1984" i="94" s="1"/>
  <c r="A1973" i="94"/>
  <c r="O1971" i="94"/>
  <c r="Q1971" i="94" s="1"/>
  <c r="O1970" i="94"/>
  <c r="Q1970" i="94" s="1"/>
  <c r="O1969" i="94"/>
  <c r="Q1969" i="94" s="1"/>
  <c r="O1966" i="94"/>
  <c r="L1966" i="94" s="1"/>
  <c r="O1965" i="94"/>
  <c r="O1962" i="94"/>
  <c r="O1961" i="94"/>
  <c r="O1960" i="94"/>
  <c r="O1959" i="94"/>
  <c r="P1958" i="94"/>
  <c r="O1958" i="94"/>
  <c r="N1958" i="94"/>
  <c r="M1958" i="94"/>
  <c r="L1958" i="94"/>
  <c r="J1958" i="94"/>
  <c r="P1957" i="94"/>
  <c r="O1957" i="94"/>
  <c r="N1957" i="94"/>
  <c r="M1957" i="94"/>
  <c r="L1957" i="94"/>
  <c r="J1957" i="94"/>
  <c r="O1956" i="94"/>
  <c r="O1955" i="94"/>
  <c r="Q1955" i="94" s="1"/>
  <c r="L1955" i="94"/>
  <c r="J1955" i="94"/>
  <c r="L1954" i="94"/>
  <c r="A1950" i="94"/>
  <c r="U1948" i="94"/>
  <c r="O1948" i="94"/>
  <c r="U1947" i="94"/>
  <c r="O1947" i="94"/>
  <c r="P1946" i="94"/>
  <c r="K1941" i="94"/>
  <c r="O1939" i="94"/>
  <c r="O1938" i="94"/>
  <c r="O1937" i="94"/>
  <c r="P1936" i="94"/>
  <c r="K1934" i="94"/>
  <c r="J1934" i="94"/>
  <c r="O1932" i="94"/>
  <c r="O1931" i="94"/>
  <c r="O1930" i="94"/>
  <c r="H1930" i="94"/>
  <c r="O1929" i="94"/>
  <c r="G1928" i="94"/>
  <c r="J1927" i="94"/>
  <c r="A1921" i="94"/>
  <c r="O1919" i="94"/>
  <c r="O1918" i="94"/>
  <c r="O1917" i="94"/>
  <c r="O1915" i="94"/>
  <c r="O1914" i="94"/>
  <c r="O1912" i="94"/>
  <c r="O1911" i="94"/>
  <c r="K1910" i="94"/>
  <c r="J1910" i="94"/>
  <c r="O1909" i="94"/>
  <c r="O1907" i="94"/>
  <c r="P1905" i="94"/>
  <c r="O1905" i="94"/>
  <c r="N1905" i="94"/>
  <c r="M1905" i="94"/>
  <c r="L1905" i="94"/>
  <c r="K1905" i="94"/>
  <c r="J1905" i="94"/>
  <c r="I1905" i="94"/>
  <c r="H1905" i="94"/>
  <c r="G1905" i="94"/>
  <c r="F1905" i="94"/>
  <c r="E1905" i="94"/>
  <c r="D1905" i="94"/>
  <c r="C1905" i="94"/>
  <c r="P1904" i="94"/>
  <c r="O1904" i="94"/>
  <c r="N1904" i="94"/>
  <c r="M1904" i="94"/>
  <c r="L1904" i="94"/>
  <c r="K1904" i="94"/>
  <c r="J1904" i="94"/>
  <c r="I1904" i="94"/>
  <c r="H1904" i="94"/>
  <c r="G1904" i="94"/>
  <c r="F1904" i="94"/>
  <c r="E1904" i="94"/>
  <c r="D1904" i="94"/>
  <c r="C1904" i="94"/>
  <c r="P1903" i="94"/>
  <c r="O1903" i="94"/>
  <c r="N1903" i="94"/>
  <c r="M1903" i="94"/>
  <c r="L1903" i="94"/>
  <c r="K1903" i="94"/>
  <c r="J1903" i="94"/>
  <c r="I1903" i="94"/>
  <c r="H1903" i="94"/>
  <c r="G1903" i="94"/>
  <c r="F1903" i="94"/>
  <c r="E1903" i="94"/>
  <c r="D1903" i="94"/>
  <c r="C1903"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P1899" i="94"/>
  <c r="O1899" i="94"/>
  <c r="N1899" i="94"/>
  <c r="M1899" i="94"/>
  <c r="L1899" i="94"/>
  <c r="K1899" i="94"/>
  <c r="J1899" i="94"/>
  <c r="I1899" i="94"/>
  <c r="H1899" i="94"/>
  <c r="G1899" i="94"/>
  <c r="F1899" i="94"/>
  <c r="E1899" i="94"/>
  <c r="D1899" i="94"/>
  <c r="C1899" i="94"/>
  <c r="O1897" i="94"/>
  <c r="O1895" i="94"/>
  <c r="N1895" i="94"/>
  <c r="M1895" i="94"/>
  <c r="L1895" i="94"/>
  <c r="K1895" i="94"/>
  <c r="J1895" i="94"/>
  <c r="H1895" i="94"/>
  <c r="F1895" i="94"/>
  <c r="E1895" i="94"/>
  <c r="D1895" i="94"/>
  <c r="N1894" i="94"/>
  <c r="M1894" i="94"/>
  <c r="L1894" i="94"/>
  <c r="K1894" i="94"/>
  <c r="J1894" i="94"/>
  <c r="H1894" i="94"/>
  <c r="G1894" i="94"/>
  <c r="F1894" i="94"/>
  <c r="E1894" i="94"/>
  <c r="D1894" i="94"/>
  <c r="O1893" i="94"/>
  <c r="N1893" i="94"/>
  <c r="M1893" i="94"/>
  <c r="L1893" i="94"/>
  <c r="K1893" i="94"/>
  <c r="J1893" i="94"/>
  <c r="H1893" i="94"/>
  <c r="F1893" i="94"/>
  <c r="E1893" i="94"/>
  <c r="D1893" i="94"/>
  <c r="N1892" i="94"/>
  <c r="M1892" i="94"/>
  <c r="L1892" i="94"/>
  <c r="K1892" i="94"/>
  <c r="J1892" i="94"/>
  <c r="H1892" i="94"/>
  <c r="G1892" i="94"/>
  <c r="F1892" i="94"/>
  <c r="E1892" i="94"/>
  <c r="D1892" i="94"/>
  <c r="O1891" i="94"/>
  <c r="N1888" i="94"/>
  <c r="M1888" i="94"/>
  <c r="L1888" i="94"/>
  <c r="K1888" i="94"/>
  <c r="J1888" i="94"/>
  <c r="H1888" i="94"/>
  <c r="F1888" i="94"/>
  <c r="E1888" i="94"/>
  <c r="D1888" i="94"/>
  <c r="N1887" i="94"/>
  <c r="M1887" i="94"/>
  <c r="L1887" i="94"/>
  <c r="K1887" i="94"/>
  <c r="J1887" i="94"/>
  <c r="H1887" i="94"/>
  <c r="G1887" i="94"/>
  <c r="F1887" i="94"/>
  <c r="E1887" i="94"/>
  <c r="D1887" i="94"/>
  <c r="O1884" i="94"/>
  <c r="L1884" i="94"/>
  <c r="K1884" i="94"/>
  <c r="O1883" i="94"/>
  <c r="K1882" i="94"/>
  <c r="O1881" i="94"/>
  <c r="O1880" i="94"/>
  <c r="L1880" i="94"/>
  <c r="O1879" i="94"/>
  <c r="O1877" i="94"/>
  <c r="A1872" i="94"/>
  <c r="L1870" i="94"/>
  <c r="K1870"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J1864" i="94"/>
  <c r="O1863" i="94"/>
  <c r="J1863" i="94"/>
  <c r="J1862" i="94"/>
  <c r="L1861" i="94"/>
  <c r="K1861" i="94"/>
  <c r="J1861" i="94"/>
  <c r="I1861" i="94"/>
  <c r="P1860" i="94"/>
  <c r="O1860" i="94"/>
  <c r="N1860" i="94"/>
  <c r="M1860" i="94"/>
  <c r="L1860" i="94"/>
  <c r="K1860" i="94"/>
  <c r="J1860" i="94"/>
  <c r="J1859" i="94"/>
  <c r="O1858" i="94"/>
  <c r="Q1858" i="94" s="1"/>
  <c r="L1857" i="94"/>
  <c r="L1856" i="94"/>
  <c r="O1855" i="94"/>
  <c r="Q1855" i="94" s="1"/>
  <c r="L1855" i="94"/>
  <c r="O1854" i="94"/>
  <c r="Q1854" i="94" s="1"/>
  <c r="P1853" i="94"/>
  <c r="K1850" i="94"/>
  <c r="K1849" i="94"/>
  <c r="K1848" i="94"/>
  <c r="P1847" i="94"/>
  <c r="O1847" i="94"/>
  <c r="N1847" i="94"/>
  <c r="M1847" i="94"/>
  <c r="K1847" i="94"/>
  <c r="P1846" i="94"/>
  <c r="O1846" i="94"/>
  <c r="N1846" i="94"/>
  <c r="M1846" i="94"/>
  <c r="K1846" i="94"/>
  <c r="P1845" i="94"/>
  <c r="O1845" i="94"/>
  <c r="N1845" i="94"/>
  <c r="M1845" i="94"/>
  <c r="K1845" i="94"/>
  <c r="P1844" i="94"/>
  <c r="O1844" i="94"/>
  <c r="N1844" i="94"/>
  <c r="M1844" i="94"/>
  <c r="K1844" i="94"/>
  <c r="P1843" i="94"/>
  <c r="O1843" i="94"/>
  <c r="N1843" i="94"/>
  <c r="M1843" i="94"/>
  <c r="K1843" i="94"/>
  <c r="P1841" i="94"/>
  <c r="O1841" i="94"/>
  <c r="N1841" i="94"/>
  <c r="M1841" i="94"/>
  <c r="K1841" i="94"/>
  <c r="A1833" i="94"/>
  <c r="J1830" i="94"/>
  <c r="J1829" i="94"/>
  <c r="J1828" i="94"/>
  <c r="K1826" i="94"/>
  <c r="I1826" i="94"/>
  <c r="I1825" i="94"/>
  <c r="T1820" i="94"/>
  <c r="O1816" i="94"/>
  <c r="K1816" i="94"/>
  <c r="J1816" i="94"/>
  <c r="I1816" i="94"/>
  <c r="H1816" i="94"/>
  <c r="G1816" i="94"/>
  <c r="F1816" i="94"/>
  <c r="E1816" i="94"/>
  <c r="D1816" i="94"/>
  <c r="O1815" i="94"/>
  <c r="K1815" i="94"/>
  <c r="J1815" i="94"/>
  <c r="I1815" i="94"/>
  <c r="H1815" i="94"/>
  <c r="G1815" i="94"/>
  <c r="F1815" i="94"/>
  <c r="E1815" i="94"/>
  <c r="D1815" i="94"/>
  <c r="O1814" i="94"/>
  <c r="K1814" i="94"/>
  <c r="J1814" i="94"/>
  <c r="I1814" i="94"/>
  <c r="H1814" i="94"/>
  <c r="G1814" i="94"/>
  <c r="F1814" i="94"/>
  <c r="E1814" i="94"/>
  <c r="D1814" i="94"/>
  <c r="F1808" i="94"/>
  <c r="O1807" i="94"/>
  <c r="L1806" i="94"/>
  <c r="K1806" i="94"/>
  <c r="J1806" i="94"/>
  <c r="I1806" i="94"/>
  <c r="O1804" i="94"/>
  <c r="P1797" i="94"/>
  <c r="O1797" i="94"/>
  <c r="N1797" i="94"/>
  <c r="M1797" i="94"/>
  <c r="L1797" i="94"/>
  <c r="K1797" i="94"/>
  <c r="J1797" i="94"/>
  <c r="I1797" i="94"/>
  <c r="H1797" i="94"/>
  <c r="G1797" i="94"/>
  <c r="F1797" i="94"/>
  <c r="E1797" i="94"/>
  <c r="D1797" i="94"/>
  <c r="C1797" i="94"/>
  <c r="P1796" i="94"/>
  <c r="O1796" i="94"/>
  <c r="N1796" i="94"/>
  <c r="M1796" i="94"/>
  <c r="L1796" i="94"/>
  <c r="K1796" i="94"/>
  <c r="J1796" i="94"/>
  <c r="I1796" i="94"/>
  <c r="H1796" i="94"/>
  <c r="G1796" i="94"/>
  <c r="F1796" i="94"/>
  <c r="E1796" i="94"/>
  <c r="D1796" i="94"/>
  <c r="C1796" i="94"/>
  <c r="P1795" i="94"/>
  <c r="O1795" i="94"/>
  <c r="N1795" i="94"/>
  <c r="M1795" i="94"/>
  <c r="L1795" i="94"/>
  <c r="K1795" i="94"/>
  <c r="J1795" i="94"/>
  <c r="I1795" i="94"/>
  <c r="H1795" i="94"/>
  <c r="G1795" i="94"/>
  <c r="F1795" i="94"/>
  <c r="E1795" i="94"/>
  <c r="D1795" i="94"/>
  <c r="C1795" i="94"/>
  <c r="P1794" i="94"/>
  <c r="O1794" i="94"/>
  <c r="N1794" i="94"/>
  <c r="M1794" i="94"/>
  <c r="L1794" i="94"/>
  <c r="K1794" i="94"/>
  <c r="J1794" i="94"/>
  <c r="I1794" i="94"/>
  <c r="H1794" i="94"/>
  <c r="G1794" i="94"/>
  <c r="F1794" i="94"/>
  <c r="E1794" i="94"/>
  <c r="D1794" i="94"/>
  <c r="C1794" i="94"/>
  <c r="O1792" i="94"/>
  <c r="O1791" i="94"/>
  <c r="O1790" i="94"/>
  <c r="O1789" i="94"/>
  <c r="O1788" i="94"/>
  <c r="O1787" i="94"/>
  <c r="O1786" i="94"/>
  <c r="O1785" i="94"/>
  <c r="O1783" i="94"/>
  <c r="O1782" i="94"/>
  <c r="L1782" i="94"/>
  <c r="K1782" i="94"/>
  <c r="J1782" i="94"/>
  <c r="I1782" i="94"/>
  <c r="H1782" i="94"/>
  <c r="G1782" i="94"/>
  <c r="F1782" i="94"/>
  <c r="E1782" i="94"/>
  <c r="O1781" i="94"/>
  <c r="O1780" i="94"/>
  <c r="O1779" i="94"/>
  <c r="O1778" i="94"/>
  <c r="O1777" i="94"/>
  <c r="O1776" i="94"/>
  <c r="O1774" i="94"/>
  <c r="O1773" i="94"/>
  <c r="P1772" i="94"/>
  <c r="O1772" i="94"/>
  <c r="Q1772" i="94" s="1"/>
  <c r="N1772" i="94"/>
  <c r="M1772" i="94"/>
  <c r="L1772" i="94"/>
  <c r="K1772" i="94"/>
  <c r="J1772" i="94"/>
  <c r="I1772" i="94"/>
  <c r="H1772" i="94"/>
  <c r="G1772" i="94"/>
  <c r="F1772" i="94"/>
  <c r="E1772" i="94"/>
  <c r="D1772" i="94"/>
  <c r="C1772" i="94"/>
  <c r="P1771" i="94"/>
  <c r="O1771" i="94"/>
  <c r="Q1771" i="94" s="1"/>
  <c r="N1771" i="94"/>
  <c r="M1771" i="94"/>
  <c r="L1771" i="94"/>
  <c r="K1771" i="94"/>
  <c r="J1771" i="94"/>
  <c r="I1771" i="94"/>
  <c r="H1771" i="94"/>
  <c r="G1771" i="94"/>
  <c r="F1771" i="94"/>
  <c r="E1771" i="94"/>
  <c r="D1771" i="94"/>
  <c r="C1771" i="94"/>
  <c r="P1770" i="94"/>
  <c r="O1770" i="94"/>
  <c r="Q1770" i="94" s="1"/>
  <c r="N1770" i="94"/>
  <c r="M1770" i="94"/>
  <c r="L1770" i="94"/>
  <c r="K1770" i="94"/>
  <c r="J1770" i="94"/>
  <c r="I1770" i="94"/>
  <c r="H1770" i="94"/>
  <c r="G1770" i="94"/>
  <c r="F1770" i="94"/>
  <c r="E1770" i="94"/>
  <c r="D1770" i="94"/>
  <c r="C1770" i="94"/>
  <c r="P1769" i="94"/>
  <c r="O1769" i="94"/>
  <c r="Q1769" i="94" s="1"/>
  <c r="N1769" i="94"/>
  <c r="M1769" i="94"/>
  <c r="L1769" i="94"/>
  <c r="K1769" i="94"/>
  <c r="J1769" i="94"/>
  <c r="I1769" i="94"/>
  <c r="H1769" i="94"/>
  <c r="G1769" i="94"/>
  <c r="F1769" i="94"/>
  <c r="E1769" i="94"/>
  <c r="D1769" i="94"/>
  <c r="C1769" i="94"/>
  <c r="O1767" i="94"/>
  <c r="O1766" i="94"/>
  <c r="P1765" i="94"/>
  <c r="O1765" i="94"/>
  <c r="N1765" i="94"/>
  <c r="M1765" i="94"/>
  <c r="L1765" i="94"/>
  <c r="K1765" i="94"/>
  <c r="J1765" i="94"/>
  <c r="I1765" i="94"/>
  <c r="H1765" i="94"/>
  <c r="O1764" i="94"/>
  <c r="O1763" i="94"/>
  <c r="P1761" i="94"/>
  <c r="O1761" i="94"/>
  <c r="N1761" i="94"/>
  <c r="M1761" i="94"/>
  <c r="L1761" i="94"/>
  <c r="K1761" i="94"/>
  <c r="J1761" i="94"/>
  <c r="I1761" i="94"/>
  <c r="H1761" i="94"/>
  <c r="G1761" i="94"/>
  <c r="F1761" i="94"/>
  <c r="E1761" i="94"/>
  <c r="O1760" i="94"/>
  <c r="O1759" i="94"/>
  <c r="O1757" i="94"/>
  <c r="J1757" i="94"/>
  <c r="O1748" i="94"/>
  <c r="Q1748" i="94" s="1"/>
  <c r="I1746" i="94"/>
  <c r="O1745" i="94"/>
  <c r="Q1745" i="94" s="1"/>
  <c r="O1744" i="94"/>
  <c r="Q1744" i="94" s="1"/>
  <c r="I1744" i="94"/>
  <c r="O1743" i="94"/>
  <c r="O1742" i="94"/>
  <c r="I1742" i="94"/>
  <c r="O1741" i="94"/>
  <c r="L1740" i="94"/>
  <c r="I1740" i="94"/>
  <c r="F1738" i="94"/>
  <c r="O1737" i="94"/>
  <c r="Q1737" i="94" s="1"/>
  <c r="O1736" i="94"/>
  <c r="Q1736" i="94" s="1"/>
  <c r="O1735" i="94"/>
  <c r="Q1735" i="94" s="1"/>
  <c r="O1730" i="94"/>
  <c r="K1730" i="94"/>
  <c r="J1730" i="94"/>
  <c r="G1730" i="94"/>
  <c r="F1730" i="94"/>
  <c r="K1729" i="94"/>
  <c r="J1729" i="94"/>
  <c r="G1729" i="94"/>
  <c r="F1729" i="94"/>
  <c r="O1728" i="94"/>
  <c r="K1728" i="94"/>
  <c r="J1728" i="94"/>
  <c r="G1728" i="94"/>
  <c r="F1728" i="94"/>
  <c r="K1727" i="94"/>
  <c r="J1727" i="94"/>
  <c r="G1727" i="94"/>
  <c r="F1727" i="94"/>
  <c r="O1724" i="94"/>
  <c r="O1723" i="94"/>
  <c r="O1722" i="94"/>
  <c r="O1721" i="94"/>
  <c r="J1720" i="94"/>
  <c r="A1715" i="94"/>
  <c r="O1713" i="94"/>
  <c r="O1712" i="94"/>
  <c r="Q1712" i="94" s="1"/>
  <c r="O1711" i="94"/>
  <c r="P1709" i="94"/>
  <c r="M1934" i="94" s="1"/>
  <c r="O1705" i="94"/>
  <c r="J1704" i="94"/>
  <c r="H1704" i="94"/>
  <c r="O1701" i="94"/>
  <c r="O1700" i="94"/>
  <c r="Q1700" i="94" s="1"/>
  <c r="K1700" i="94"/>
  <c r="P1699" i="94"/>
  <c r="K1697" i="94"/>
  <c r="O1681" i="94"/>
  <c r="P1678" i="94" s="1"/>
  <c r="J1681" i="94"/>
  <c r="P1674" i="94" s="1"/>
  <c r="F1681" i="94"/>
  <c r="P1673" i="94" s="1"/>
  <c r="O1678" i="94"/>
  <c r="O1675" i="94"/>
  <c r="O1674" i="94"/>
  <c r="O1673" i="94"/>
  <c r="F1668" i="94"/>
  <c r="F1667" i="94"/>
  <c r="E1667" i="94"/>
  <c r="F1666" i="94"/>
  <c r="F1665" i="94"/>
  <c r="F1664" i="94"/>
  <c r="E1664" i="94"/>
  <c r="F1663" i="94"/>
  <c r="E1663" i="94"/>
  <c r="F1662" i="94"/>
  <c r="F1661" i="94"/>
  <c r="Q1660" i="94"/>
  <c r="F1660" i="94"/>
  <c r="F1659" i="94"/>
  <c r="P1658" i="94"/>
  <c r="P1656" i="94"/>
  <c r="O1656" i="94"/>
  <c r="B1654" i="94"/>
  <c r="A1649" i="94"/>
  <c r="P1645" i="94"/>
  <c r="A1640" i="94"/>
  <c r="A1638" i="94"/>
  <c r="A1634" i="94"/>
  <c r="A1632" i="94"/>
  <c r="P1630" i="94"/>
  <c r="P1628" i="94"/>
  <c r="P1627" i="94"/>
  <c r="P1626" i="94"/>
  <c r="P1625" i="94"/>
  <c r="P1624" i="94"/>
  <c r="P1623" i="94"/>
  <c r="P1621" i="94"/>
  <c r="P1620" i="94"/>
  <c r="A1617" i="94"/>
  <c r="A1615" i="94"/>
  <c r="P1613" i="94"/>
  <c r="P1612" i="94"/>
  <c r="P1611" i="94"/>
  <c r="P1610" i="94"/>
  <c r="P1609" i="94"/>
  <c r="P1608" i="94"/>
  <c r="P1607" i="94"/>
  <c r="P1606" i="94"/>
  <c r="P1605" i="94"/>
  <c r="P1604" i="94"/>
  <c r="A1600" i="94"/>
  <c r="A1598" i="94"/>
  <c r="Q1596" i="94"/>
  <c r="P1596" i="94"/>
  <c r="O1596" i="94"/>
  <c r="N1596" i="94"/>
  <c r="M1596" i="94"/>
  <c r="L1596" i="94"/>
  <c r="K1596" i="94"/>
  <c r="J1596" i="94"/>
  <c r="I1596" i="94"/>
  <c r="H1596" i="94"/>
  <c r="G1596" i="94"/>
  <c r="F1596" i="94"/>
  <c r="E1596" i="94"/>
  <c r="D1596" i="94"/>
  <c r="C1596" i="94"/>
  <c r="B1596" i="94"/>
  <c r="Q1594" i="94"/>
  <c r="P1594" i="94"/>
  <c r="O1594" i="94"/>
  <c r="N1594" i="94"/>
  <c r="M1594" i="94"/>
  <c r="I1594" i="94"/>
  <c r="H1594" i="94"/>
  <c r="G1594" i="94"/>
  <c r="K1593" i="94"/>
  <c r="J1593" i="94"/>
  <c r="I1593" i="94"/>
  <c r="H1593" i="94"/>
  <c r="G1593" i="94"/>
  <c r="P1592" i="94"/>
  <c r="Q1591" i="94"/>
  <c r="P1591" i="94"/>
  <c r="O1591" i="94"/>
  <c r="N1591" i="94"/>
  <c r="M1591" i="94"/>
  <c r="J1591" i="94"/>
  <c r="Q1590" i="94"/>
  <c r="P1590" i="94"/>
  <c r="O1590" i="94"/>
  <c r="N1590" i="94"/>
  <c r="M1590" i="94"/>
  <c r="J1590" i="94"/>
  <c r="J1589" i="94"/>
  <c r="J1587" i="94"/>
  <c r="P1586" i="94"/>
  <c r="J1586" i="94"/>
  <c r="P1585" i="94"/>
  <c r="J1585" i="94"/>
  <c r="P1584" i="94"/>
  <c r="P1583" i="94"/>
  <c r="P1582" i="94"/>
  <c r="P1580" i="94"/>
  <c r="P1579" i="94"/>
  <c r="A1576" i="94"/>
  <c r="A1574" i="94"/>
  <c r="P1572" i="94"/>
  <c r="O1572" i="94"/>
  <c r="N1572" i="94"/>
  <c r="M1572" i="94"/>
  <c r="L1572" i="94"/>
  <c r="K1572" i="94"/>
  <c r="J1572" i="94"/>
  <c r="I1572" i="94"/>
  <c r="H1572" i="94"/>
  <c r="P1571" i="94"/>
  <c r="P1570" i="94"/>
  <c r="P1569" i="94"/>
  <c r="P1568" i="94"/>
  <c r="A1565" i="94"/>
  <c r="A1563" i="94"/>
  <c r="P1561" i="94"/>
  <c r="M1561" i="94"/>
  <c r="P1560" i="94"/>
  <c r="P1559" i="94"/>
  <c r="Q1558" i="94"/>
  <c r="P1558" i="94"/>
  <c r="O1558" i="94"/>
  <c r="N1558" i="94"/>
  <c r="M1558" i="94"/>
  <c r="I1558" i="94"/>
  <c r="H1558" i="94"/>
  <c r="G1558" i="94"/>
  <c r="F1558" i="94"/>
  <c r="E1558" i="94"/>
  <c r="A1554" i="94"/>
  <c r="A1552" i="94"/>
  <c r="P1550" i="94"/>
  <c r="P1549" i="94"/>
  <c r="P1548" i="94"/>
  <c r="O1548" i="94"/>
  <c r="K1548" i="94"/>
  <c r="J1548" i="94"/>
  <c r="P1546" i="94"/>
  <c r="P1544" i="94"/>
  <c r="K1543" i="94"/>
  <c r="J1543" i="94"/>
  <c r="P1542" i="94"/>
  <c r="F1542" i="94"/>
  <c r="J1542" i="94" s="1"/>
  <c r="K1541" i="94"/>
  <c r="J1541" i="94"/>
  <c r="K1540" i="94"/>
  <c r="J1540" i="94"/>
  <c r="P1539" i="94"/>
  <c r="J1539" i="94"/>
  <c r="K1538" i="94"/>
  <c r="J1538" i="94"/>
  <c r="Q1537" i="94"/>
  <c r="P1537" i="94"/>
  <c r="O1537" i="94"/>
  <c r="N1537" i="94"/>
  <c r="M1537" i="94"/>
  <c r="L1537" i="94"/>
  <c r="K1537" i="94"/>
  <c r="J1537" i="94"/>
  <c r="Q1536" i="94"/>
  <c r="P1536" i="94"/>
  <c r="M1536" i="94"/>
  <c r="L1536" i="94"/>
  <c r="K1536" i="94"/>
  <c r="J1536" i="94"/>
  <c r="A1532" i="94"/>
  <c r="A1530" i="94"/>
  <c r="P1528" i="94"/>
  <c r="P1527" i="94"/>
  <c r="P1526" i="94"/>
  <c r="P1525" i="94"/>
  <c r="P1524" i="94"/>
  <c r="P1523" i="94"/>
  <c r="P1522" i="94"/>
  <c r="P1521" i="94"/>
  <c r="P1520" i="94"/>
  <c r="O1520" i="94"/>
  <c r="N1520" i="94"/>
  <c r="M1520" i="94"/>
  <c r="L1520" i="94"/>
  <c r="K1520" i="94"/>
  <c r="J1520" i="94"/>
  <c r="I1520" i="94"/>
  <c r="P1519" i="94"/>
  <c r="O1519" i="94"/>
  <c r="N1519" i="94"/>
  <c r="M1519" i="94"/>
  <c r="L1519" i="94"/>
  <c r="K1519" i="94"/>
  <c r="J1519" i="94"/>
  <c r="I1519" i="94"/>
  <c r="A1516" i="94"/>
  <c r="A1514" i="94"/>
  <c r="P1512" i="94"/>
  <c r="P1511" i="94"/>
  <c r="P1510" i="94"/>
  <c r="A1508" i="94"/>
  <c r="A1506" i="94"/>
  <c r="Q1503" i="94"/>
  <c r="P1503" i="94"/>
  <c r="O1503" i="94"/>
  <c r="P1502" i="94"/>
  <c r="P1501" i="94"/>
  <c r="P1500" i="94"/>
  <c r="P1499" i="94"/>
  <c r="A1497" i="94"/>
  <c r="A1495" i="94"/>
  <c r="P1492" i="94"/>
  <c r="N1492" i="94"/>
  <c r="M1492" i="94"/>
  <c r="L1492" i="94"/>
  <c r="K1492" i="94"/>
  <c r="J1492" i="94"/>
  <c r="I1492" i="94"/>
  <c r="H1492" i="94"/>
  <c r="G1492" i="94"/>
  <c r="F1492" i="94"/>
  <c r="E1492" i="94"/>
  <c r="D1492" i="94"/>
  <c r="C1492" i="94"/>
  <c r="P1491" i="94"/>
  <c r="N1491" i="94"/>
  <c r="M1491" i="94"/>
  <c r="L1491" i="94"/>
  <c r="K1491" i="94"/>
  <c r="J1491" i="94"/>
  <c r="I1491" i="94"/>
  <c r="H1491" i="94"/>
  <c r="G1491" i="94"/>
  <c r="F1491" i="94"/>
  <c r="E1491" i="94"/>
  <c r="D1491" i="94"/>
  <c r="C1491" i="94"/>
  <c r="P1488" i="94"/>
  <c r="N1488" i="94"/>
  <c r="M1488" i="94"/>
  <c r="L1488" i="94"/>
  <c r="K1488" i="94"/>
  <c r="J1488" i="94"/>
  <c r="I1488" i="94"/>
  <c r="H1488" i="94"/>
  <c r="G1488" i="94"/>
  <c r="P1487" i="94"/>
  <c r="N1487" i="94"/>
  <c r="M1487" i="94"/>
  <c r="L1487" i="94"/>
  <c r="K1487" i="94"/>
  <c r="J1487" i="94"/>
  <c r="I1487" i="94"/>
  <c r="H1487" i="94"/>
  <c r="G1487" i="94"/>
  <c r="P1485" i="94"/>
  <c r="P1483" i="94"/>
  <c r="P1482" i="94"/>
  <c r="A1480" i="94"/>
  <c r="A1478" i="94"/>
  <c r="P1476" i="94"/>
  <c r="P1475" i="94"/>
  <c r="P1474" i="94"/>
  <c r="P1473" i="94"/>
  <c r="O1472" i="94"/>
  <c r="N1472" i="94"/>
  <c r="M1472" i="94"/>
  <c r="L1472" i="94"/>
  <c r="P1471" i="94"/>
  <c r="P1467" i="94"/>
  <c r="N1467" i="94"/>
  <c r="K1467" i="94"/>
  <c r="P1466" i="94"/>
  <c r="P1465" i="94"/>
  <c r="N1465" i="94"/>
  <c r="K1465" i="94"/>
  <c r="P1464" i="94"/>
  <c r="N1464" i="94"/>
  <c r="K1464" i="94"/>
  <c r="M1465" i="94" s="1"/>
  <c r="P1460" i="94"/>
  <c r="P1459" i="94"/>
  <c r="P1458" i="94"/>
  <c r="A1454" i="94"/>
  <c r="A1452" i="94"/>
  <c r="N1450" i="94"/>
  <c r="M1450" i="94"/>
  <c r="L1450" i="94"/>
  <c r="K1450" i="94"/>
  <c r="P1449" i="94"/>
  <c r="N1449" i="94"/>
  <c r="M1449" i="94"/>
  <c r="L1449" i="94"/>
  <c r="K1449" i="94"/>
  <c r="P1448" i="94"/>
  <c r="P1447" i="94"/>
  <c r="A1444" i="94"/>
  <c r="A1442" i="94"/>
  <c r="P1440" i="94"/>
  <c r="P1439" i="94"/>
  <c r="P1438" i="94"/>
  <c r="P1437" i="94"/>
  <c r="P1436" i="94"/>
  <c r="P1435" i="94"/>
  <c r="A1432" i="94"/>
  <c r="A1430" i="94"/>
  <c r="M1428" i="94"/>
  <c r="L1428" i="94"/>
  <c r="K1428" i="94"/>
  <c r="J1428" i="94"/>
  <c r="I1428" i="94"/>
  <c r="G1428" i="94"/>
  <c r="F1428" i="94"/>
  <c r="E1428" i="94"/>
  <c r="P1427" i="94"/>
  <c r="Q1426" i="94"/>
  <c r="P1426" i="94"/>
  <c r="O1426" i="94"/>
  <c r="N1426" i="94"/>
  <c r="M1426" i="94"/>
  <c r="K1426" i="94"/>
  <c r="J1426" i="94"/>
  <c r="I1426" i="94"/>
  <c r="G1426" i="94"/>
  <c r="F1426" i="94"/>
  <c r="E1426" i="94"/>
  <c r="P1425" i="94"/>
  <c r="P1424" i="94"/>
  <c r="P1423" i="94"/>
  <c r="P1422" i="94"/>
  <c r="P1421" i="94"/>
  <c r="P1420" i="94"/>
  <c r="P1419" i="94"/>
  <c r="P1418" i="94"/>
  <c r="P1417" i="94"/>
  <c r="O1416" i="94"/>
  <c r="N1416" i="94"/>
  <c r="M1416" i="94"/>
  <c r="L1416" i="94"/>
  <c r="K1416" i="94"/>
  <c r="P1415" i="94"/>
  <c r="L1415" i="94"/>
  <c r="P1414" i="94"/>
  <c r="L1414" i="94"/>
  <c r="O1412" i="94"/>
  <c r="N1412" i="94"/>
  <c r="M1412" i="94"/>
  <c r="L1412" i="94"/>
  <c r="K1412" i="94"/>
  <c r="P1411" i="94"/>
  <c r="O1410" i="94"/>
  <c r="N1410" i="94"/>
  <c r="M1410" i="94"/>
  <c r="L1410" i="94"/>
  <c r="K1410" i="94"/>
  <c r="O1409" i="94"/>
  <c r="N1409" i="94"/>
  <c r="M1409" i="94"/>
  <c r="L1409" i="94"/>
  <c r="K1409" i="94"/>
  <c r="O1408" i="94"/>
  <c r="N1408" i="94"/>
  <c r="M1408" i="94"/>
  <c r="L1408" i="94"/>
  <c r="K1408" i="94"/>
  <c r="A1405" i="94"/>
  <c r="A1403" i="94"/>
  <c r="P1401" i="94"/>
  <c r="P1400" i="94"/>
  <c r="P1399" i="94"/>
  <c r="N1399" i="94"/>
  <c r="P1398" i="94"/>
  <c r="P1397" i="94"/>
  <c r="P1396" i="94"/>
  <c r="P1395" i="94"/>
  <c r="P1394" i="94"/>
  <c r="P1393" i="94"/>
  <c r="P1392" i="94"/>
  <c r="P1391" i="94"/>
  <c r="O1390" i="94"/>
  <c r="N1390" i="94"/>
  <c r="M1390" i="94"/>
  <c r="L1390" i="94"/>
  <c r="K1390" i="94"/>
  <c r="J1390" i="94"/>
  <c r="I1390" i="94"/>
  <c r="G1390" i="94"/>
  <c r="F1390" i="94"/>
  <c r="E1390" i="94"/>
  <c r="D1390" i="94"/>
  <c r="C1390" i="94"/>
  <c r="O1389" i="94"/>
  <c r="N1389" i="94"/>
  <c r="M1389" i="94"/>
  <c r="L1389" i="94"/>
  <c r="K1389" i="94"/>
  <c r="J1389" i="94"/>
  <c r="I1389" i="94"/>
  <c r="G1389" i="94"/>
  <c r="F1389" i="94"/>
  <c r="E1389" i="94"/>
  <c r="D1389" i="94"/>
  <c r="C1389" i="94"/>
  <c r="O1388" i="94"/>
  <c r="N1388" i="94"/>
  <c r="M1388" i="94"/>
  <c r="L1388" i="94"/>
  <c r="K1388" i="94"/>
  <c r="J1388" i="94"/>
  <c r="I1388" i="94"/>
  <c r="G1388" i="94"/>
  <c r="F1388" i="94"/>
  <c r="E1388" i="94"/>
  <c r="D1388" i="94"/>
  <c r="C1388" i="94"/>
  <c r="O1387" i="94"/>
  <c r="N1387" i="94"/>
  <c r="M1387" i="94"/>
  <c r="L1387" i="94"/>
  <c r="K1387" i="94"/>
  <c r="J1387" i="94"/>
  <c r="I1387" i="94"/>
  <c r="G1387" i="94"/>
  <c r="F1387" i="94"/>
  <c r="E1387" i="94"/>
  <c r="D1387" i="94"/>
  <c r="C1387" i="94"/>
  <c r="P1384" i="94"/>
  <c r="N1383" i="94"/>
  <c r="M1383" i="94"/>
  <c r="L1383" i="94"/>
  <c r="K1383" i="94"/>
  <c r="N1382" i="94"/>
  <c r="M1382" i="94"/>
  <c r="L1382" i="94"/>
  <c r="K1382" i="94"/>
  <c r="P1381" i="94"/>
  <c r="O1381" i="94"/>
  <c r="N1381" i="94"/>
  <c r="M1381" i="94"/>
  <c r="L1381" i="94"/>
  <c r="K1381" i="94"/>
  <c r="L1380" i="94"/>
  <c r="K1380" i="94"/>
  <c r="P1379" i="94"/>
  <c r="P1378" i="94"/>
  <c r="A1375" i="94"/>
  <c r="A1373" i="94"/>
  <c r="P1371" i="94"/>
  <c r="P1370" i="94"/>
  <c r="P1369" i="94"/>
  <c r="N1369" i="94"/>
  <c r="M1369" i="94"/>
  <c r="L1369" i="94"/>
  <c r="K1369" i="94"/>
  <c r="J1369" i="94"/>
  <c r="P1368" i="94"/>
  <c r="N1368" i="94"/>
  <c r="M1368" i="94"/>
  <c r="L1368" i="94"/>
  <c r="K1368" i="94"/>
  <c r="J1368" i="94"/>
  <c r="A1365" i="94"/>
  <c r="A1363" i="94"/>
  <c r="P1362" i="94"/>
  <c r="N1362" i="94"/>
  <c r="M1362" i="94"/>
  <c r="L1362" i="94"/>
  <c r="K1362" i="94"/>
  <c r="J1362" i="94"/>
  <c r="P1361" i="94"/>
  <c r="N1361" i="94"/>
  <c r="M1361" i="94"/>
  <c r="L1361" i="94"/>
  <c r="K1361" i="94"/>
  <c r="J1361" i="94"/>
  <c r="A1357" i="94"/>
  <c r="A1355" i="94"/>
  <c r="P1353" i="94"/>
  <c r="P1352" i="94"/>
  <c r="P1351" i="94"/>
  <c r="P1350" i="94"/>
  <c r="P1349" i="94"/>
  <c r="P1348" i="94"/>
  <c r="P1347" i="94"/>
  <c r="P1346" i="94"/>
  <c r="P1345" i="94"/>
  <c r="P1344" i="94"/>
  <c r="P1343" i="94"/>
  <c r="A1340" i="94"/>
  <c r="A1338" i="94"/>
  <c r="P1336" i="94"/>
  <c r="P1335" i="94"/>
  <c r="P1334" i="94"/>
  <c r="P1333" i="94"/>
  <c r="A1330" i="94"/>
  <c r="A1328" i="94"/>
  <c r="P1326" i="94"/>
  <c r="O1326" i="94"/>
  <c r="N1326" i="94"/>
  <c r="M1326" i="94"/>
  <c r="L1326" i="94"/>
  <c r="K1326" i="94"/>
  <c r="O1325" i="94"/>
  <c r="N1325" i="94"/>
  <c r="L1325" i="94" s="1"/>
  <c r="P1324" i="94"/>
  <c r="L1324" i="94"/>
  <c r="K1324" i="94"/>
  <c r="A1321" i="94"/>
  <c r="A1318" i="94"/>
  <c r="O1316" i="94"/>
  <c r="N1316" i="94"/>
  <c r="P1314" i="94"/>
  <c r="P1313" i="94"/>
  <c r="P1312" i="94"/>
  <c r="P1311" i="94"/>
  <c r="Q1309" i="94"/>
  <c r="P1309" i="94"/>
  <c r="O1309" i="94"/>
  <c r="N1309" i="94"/>
  <c r="M1309" i="94"/>
  <c r="L1309" i="94"/>
  <c r="K1309" i="94"/>
  <c r="J1309" i="94"/>
  <c r="I1309" i="94"/>
  <c r="H1309" i="94"/>
  <c r="G1309" i="94"/>
  <c r="F1309" i="94"/>
  <c r="E1309" i="94"/>
  <c r="D1309" i="94"/>
  <c r="C1309" i="94"/>
  <c r="L1307" i="94"/>
  <c r="F1307" i="94"/>
  <c r="P1306" i="94"/>
  <c r="L1306" i="94"/>
  <c r="F1306" i="94"/>
  <c r="P1305" i="94"/>
  <c r="L1305" i="94"/>
  <c r="F1305" i="94"/>
  <c r="P1304" i="94"/>
  <c r="L1304" i="94"/>
  <c r="F1304" i="94"/>
  <c r="P1302" i="94"/>
  <c r="P1301" i="94"/>
  <c r="P1300" i="94"/>
  <c r="P1299" i="94"/>
  <c r="P1298" i="94"/>
  <c r="P1297" i="94"/>
  <c r="P1296" i="94"/>
  <c r="P1295" i="94"/>
  <c r="P1294" i="94"/>
  <c r="P1292" i="94"/>
  <c r="P1291" i="94"/>
  <c r="P1290" i="94"/>
  <c r="O1290" i="94"/>
  <c r="N1290" i="94"/>
  <c r="M1290" i="94"/>
  <c r="L1290" i="94"/>
  <c r="P1289" i="94"/>
  <c r="P1288" i="94"/>
  <c r="P1287" i="94"/>
  <c r="O1287" i="94"/>
  <c r="N1287" i="94"/>
  <c r="M1287" i="94"/>
  <c r="L1287" i="94"/>
  <c r="A1284" i="94"/>
  <c r="A1282" i="94"/>
  <c r="P1280" i="94"/>
  <c r="P1279" i="94"/>
  <c r="P1278" i="94"/>
  <c r="P1276" i="94"/>
  <c r="P1275" i="94"/>
  <c r="P1274" i="94"/>
  <c r="P1273" i="94"/>
  <c r="P1272" i="94"/>
  <c r="P1271" i="94"/>
  <c r="P1270" i="94"/>
  <c r="O1270" i="94"/>
  <c r="N1270" i="94"/>
  <c r="M1270" i="94"/>
  <c r="P1269" i="94"/>
  <c r="P1268" i="94"/>
  <c r="P1267" i="94"/>
  <c r="A1264" i="94"/>
  <c r="A1262" i="94"/>
  <c r="P1260" i="94"/>
  <c r="Q1259" i="94"/>
  <c r="P1259" i="94"/>
  <c r="O1259" i="94"/>
  <c r="N1259" i="94"/>
  <c r="L1259" i="94"/>
  <c r="K1259" i="94"/>
  <c r="J1259" i="94"/>
  <c r="I1259" i="94"/>
  <c r="G1259" i="94"/>
  <c r="F1259" i="94"/>
  <c r="E1259" i="94"/>
  <c r="D1259" i="94"/>
  <c r="Q1258" i="94"/>
  <c r="P1258" i="94"/>
  <c r="O1258" i="94"/>
  <c r="N1258" i="94"/>
  <c r="L1258" i="94"/>
  <c r="K1258" i="94"/>
  <c r="J1258" i="94"/>
  <c r="I1258" i="94"/>
  <c r="G1258" i="94"/>
  <c r="F1258" i="94"/>
  <c r="E1258" i="94"/>
  <c r="D1258" i="94"/>
  <c r="P1255" i="94"/>
  <c r="M1255" i="94"/>
  <c r="P1254" i="94"/>
  <c r="O1254" i="94"/>
  <c r="N1254" i="94"/>
  <c r="M1254" i="94"/>
  <c r="P1253" i="94"/>
  <c r="O1253" i="94"/>
  <c r="N1253" i="94"/>
  <c r="M1253" i="94"/>
  <c r="P1252" i="94"/>
  <c r="O1252" i="94"/>
  <c r="N1252" i="94"/>
  <c r="M1252" i="94"/>
  <c r="A1248" i="94"/>
  <c r="P1245" i="94"/>
  <c r="Q1244" i="94"/>
  <c r="P1244" i="94"/>
  <c r="O1244" i="94"/>
  <c r="N1244" i="94"/>
  <c r="M1244" i="94"/>
  <c r="L1244" i="94"/>
  <c r="P1243" i="94"/>
  <c r="P1242" i="94"/>
  <c r="P1241" i="94"/>
  <c r="P1240" i="94"/>
  <c r="P1237" i="94"/>
  <c r="A1233" i="94"/>
  <c r="J1231" i="94"/>
  <c r="A1229" i="94"/>
  <c r="L1224" i="94"/>
  <c r="L1223" i="94"/>
  <c r="L1222" i="94"/>
  <c r="L1221" i="94"/>
  <c r="L1220" i="94"/>
  <c r="Q1216" i="94"/>
  <c r="P1216" i="94"/>
  <c r="L1216" i="94"/>
  <c r="Q1213" i="94"/>
  <c r="P1213" i="94"/>
  <c r="L1210" i="94"/>
  <c r="L1209" i="94"/>
  <c r="L1208" i="94"/>
  <c r="L1207" i="94"/>
  <c r="L1206" i="94"/>
  <c r="Q1196" i="94"/>
  <c r="A1192" i="94"/>
  <c r="A1190" i="94"/>
  <c r="R1159" i="94"/>
  <c r="A1159" i="94"/>
  <c r="G1154" i="94"/>
  <c r="A1154" i="94"/>
  <c r="N1150" i="94"/>
  <c r="N1149" i="94"/>
  <c r="N1148" i="94"/>
  <c r="N1147" i="94"/>
  <c r="N1146" i="94"/>
  <c r="N1145" i="94"/>
  <c r="N1144" i="94"/>
  <c r="N1143" i="94"/>
  <c r="N1142" i="94"/>
  <c r="N1141" i="94"/>
  <c r="N1140" i="94"/>
  <c r="N1139" i="94"/>
  <c r="N1138" i="94"/>
  <c r="N1137" i="94"/>
  <c r="N1136" i="94"/>
  <c r="N1135" i="94"/>
  <c r="N1134" i="94"/>
  <c r="N1133" i="94"/>
  <c r="N1132" i="94"/>
  <c r="N1131" i="94"/>
  <c r="N1130" i="94"/>
  <c r="N1129" i="94"/>
  <c r="N1128" i="94"/>
  <c r="N1127" i="94"/>
  <c r="N1126" i="94"/>
  <c r="N1125" i="94"/>
  <c r="N1124" i="94"/>
  <c r="N1123" i="94"/>
  <c r="N1120" i="94"/>
  <c r="N1119" i="94"/>
  <c r="N1118" i="94"/>
  <c r="N1117" i="94"/>
  <c r="N1116" i="94"/>
  <c r="N1115" i="94"/>
  <c r="N1114" i="94"/>
  <c r="N1113" i="94"/>
  <c r="N1112" i="94"/>
  <c r="N1111" i="94"/>
  <c r="N1110" i="94"/>
  <c r="N1109" i="94"/>
  <c r="N1108" i="94"/>
  <c r="N1107" i="94"/>
  <c r="N1106" i="94"/>
  <c r="N1105" i="94"/>
  <c r="N1104" i="94"/>
  <c r="N1103" i="94"/>
  <c r="N1102" i="94"/>
  <c r="N1101" i="94"/>
  <c r="N1100" i="94"/>
  <c r="N1099" i="94"/>
  <c r="N1098" i="94"/>
  <c r="N1097" i="94"/>
  <c r="N1096" i="94"/>
  <c r="N1095" i="94"/>
  <c r="N1094" i="94"/>
  <c r="N1093" i="94"/>
  <c r="N1090" i="94"/>
  <c r="N1089" i="94"/>
  <c r="N1088" i="94"/>
  <c r="N1087" i="94"/>
  <c r="N1086" i="94"/>
  <c r="N1085" i="94"/>
  <c r="N1084" i="94"/>
  <c r="N1083" i="94"/>
  <c r="A1083" i="94"/>
  <c r="A1114" i="94" s="1"/>
  <c r="A1144" i="94" s="1"/>
  <c r="N1082" i="94"/>
  <c r="N1081" i="94"/>
  <c r="N1080" i="94"/>
  <c r="N1079" i="94"/>
  <c r="N1078" i="94"/>
  <c r="N1077" i="94"/>
  <c r="N1076" i="94"/>
  <c r="N1075" i="94"/>
  <c r="A1075" i="94"/>
  <c r="A1107" i="94" s="1"/>
  <c r="A1137" i="94" s="1"/>
  <c r="N1074" i="94"/>
  <c r="A1074" i="94"/>
  <c r="A1106" i="94" s="1"/>
  <c r="A1136" i="94" s="1"/>
  <c r="N1073" i="94"/>
  <c r="A1073" i="94"/>
  <c r="A1105" i="94" s="1"/>
  <c r="A1135" i="94" s="1"/>
  <c r="N1072" i="94"/>
  <c r="A1072" i="94"/>
  <c r="A1104" i="94" s="1"/>
  <c r="A1134" i="94" s="1"/>
  <c r="N1071" i="94"/>
  <c r="N1070" i="94"/>
  <c r="N1069" i="94"/>
  <c r="N1068" i="94"/>
  <c r="N1067" i="94"/>
  <c r="N1066" i="94"/>
  <c r="N1065" i="94"/>
  <c r="N1064" i="94"/>
  <c r="N1063" i="94"/>
  <c r="N1062" i="94"/>
  <c r="N1061" i="94"/>
  <c r="N1058" i="94"/>
  <c r="N1057" i="94"/>
  <c r="N1056" i="94"/>
  <c r="N1055" i="94"/>
  <c r="N1054" i="94"/>
  <c r="N1053" i="94"/>
  <c r="N1052" i="94"/>
  <c r="N1051" i="94"/>
  <c r="N1050" i="94"/>
  <c r="A1050" i="94"/>
  <c r="A1082" i="94" s="1"/>
  <c r="A1113" i="94" s="1"/>
  <c r="A1143" i="94" s="1"/>
  <c r="N1049" i="94"/>
  <c r="A1049" i="94"/>
  <c r="A1081" i="94" s="1"/>
  <c r="A1112" i="94" s="1"/>
  <c r="A1142" i="94" s="1"/>
  <c r="N1048" i="94"/>
  <c r="A1048" i="94"/>
  <c r="A1080" i="94" s="1"/>
  <c r="A1111" i="94" s="1"/>
  <c r="A1141" i="94" s="1"/>
  <c r="N1047" i="94"/>
  <c r="N1046" i="94"/>
  <c r="B1046" i="94"/>
  <c r="N1045" i="94"/>
  <c r="N1044" i="94"/>
  <c r="K1044" i="94"/>
  <c r="J1044" i="94"/>
  <c r="I1044" i="94"/>
  <c r="H1044" i="94"/>
  <c r="G1044" i="94"/>
  <c r="F1044" i="94"/>
  <c r="E1044" i="94"/>
  <c r="D1044" i="94"/>
  <c r="C1044" i="94"/>
  <c r="B1044" i="94"/>
  <c r="N1043" i="94"/>
  <c r="N1042" i="94"/>
  <c r="N1041" i="94"/>
  <c r="N1040" i="94"/>
  <c r="N1039" i="94"/>
  <c r="N1038" i="94"/>
  <c r="N1037" i="94"/>
  <c r="N1036" i="94"/>
  <c r="N1035" i="94"/>
  <c r="N1034" i="94"/>
  <c r="N1033" i="94"/>
  <c r="N1032" i="94"/>
  <c r="N1031" i="94"/>
  <c r="N1030" i="94"/>
  <c r="N1029" i="94"/>
  <c r="C1028" i="94"/>
  <c r="D1028" i="94" s="1"/>
  <c r="E1028" i="94" s="1"/>
  <c r="F1028" i="94" s="1"/>
  <c r="G1028" i="94" s="1"/>
  <c r="H1028" i="94" s="1"/>
  <c r="I1028" i="94" s="1"/>
  <c r="J1028" i="94" s="1"/>
  <c r="K1028" i="94" s="1"/>
  <c r="B1060" i="94" s="1"/>
  <c r="N1026" i="94"/>
  <c r="N1024" i="94"/>
  <c r="K1024" i="94"/>
  <c r="G1024" i="94"/>
  <c r="N1023" i="94"/>
  <c r="K1023" i="94"/>
  <c r="G1023" i="94"/>
  <c r="B1023" i="94"/>
  <c r="C1023" i="94" s="1"/>
  <c r="N1022" i="94"/>
  <c r="K1022" i="94"/>
  <c r="N1021" i="94"/>
  <c r="G1021" i="94"/>
  <c r="N1020" i="94"/>
  <c r="K1020" i="94"/>
  <c r="G1020" i="94"/>
  <c r="N1018" i="94"/>
  <c r="C1018" i="94"/>
  <c r="A1016" i="94"/>
  <c r="N1016" i="94" s="1"/>
  <c r="M1010" i="94"/>
  <c r="A1010" i="94"/>
  <c r="R1007" i="94"/>
  <c r="P1007" i="94"/>
  <c r="M1007" i="94"/>
  <c r="K1007" i="94"/>
  <c r="I1007" i="94"/>
  <c r="R1005" i="94"/>
  <c r="L1005" i="94"/>
  <c r="H1005" i="94"/>
  <c r="R1001" i="94"/>
  <c r="R1000" i="94"/>
  <c r="F1000" i="94"/>
  <c r="B1000" i="94"/>
  <c r="R999" i="94"/>
  <c r="F999" i="94"/>
  <c r="R998" i="94"/>
  <c r="F998" i="94"/>
  <c r="R997" i="94"/>
  <c r="K997" i="94"/>
  <c r="I997" i="94"/>
  <c r="F997" i="94"/>
  <c r="R996" i="94"/>
  <c r="K996" i="94"/>
  <c r="F996" i="94"/>
  <c r="R995" i="94"/>
  <c r="K995" i="94"/>
  <c r="F995" i="94"/>
  <c r="R994" i="94"/>
  <c r="K994" i="94"/>
  <c r="F994" i="94"/>
  <c r="R993" i="94"/>
  <c r="K993" i="94"/>
  <c r="F993" i="94"/>
  <c r="R992" i="94"/>
  <c r="R991" i="94"/>
  <c r="R990" i="94"/>
  <c r="R989" i="94"/>
  <c r="F989" i="94"/>
  <c r="B989" i="94"/>
  <c r="R988" i="94"/>
  <c r="F988" i="94"/>
  <c r="R987" i="94"/>
  <c r="K987" i="94"/>
  <c r="I987" i="94"/>
  <c r="F987" i="94"/>
  <c r="R986" i="94"/>
  <c r="K986" i="94"/>
  <c r="F986" i="94"/>
  <c r="R985" i="94"/>
  <c r="K985" i="94"/>
  <c r="F985" i="94"/>
  <c r="R984" i="94"/>
  <c r="K984" i="94"/>
  <c r="F984" i="94"/>
  <c r="R983" i="94"/>
  <c r="R982" i="94"/>
  <c r="R981" i="94"/>
  <c r="R980" i="94"/>
  <c r="F980" i="94"/>
  <c r="B980" i="94"/>
  <c r="R979" i="94"/>
  <c r="P979" i="94"/>
  <c r="N979" i="94"/>
  <c r="F979" i="94"/>
  <c r="R978" i="94"/>
  <c r="P978" i="94"/>
  <c r="K978" i="94"/>
  <c r="F978" i="94"/>
  <c r="R977" i="94"/>
  <c r="P977" i="94"/>
  <c r="K977" i="94"/>
  <c r="F977" i="94"/>
  <c r="R976" i="94"/>
  <c r="R974" i="94"/>
  <c r="R972" i="94"/>
  <c r="R971" i="94"/>
  <c r="K971" i="94"/>
  <c r="J971" i="94"/>
  <c r="I971" i="94"/>
  <c r="H971" i="94"/>
  <c r="G971" i="94"/>
  <c r="C971" i="94"/>
  <c r="R970" i="94"/>
  <c r="K970" i="94"/>
  <c r="J970" i="94"/>
  <c r="I970" i="94"/>
  <c r="H970" i="94"/>
  <c r="H972" i="94" s="1"/>
  <c r="G970" i="94"/>
  <c r="R969" i="94"/>
  <c r="R968" i="94"/>
  <c r="R967" i="94"/>
  <c r="K967" i="94"/>
  <c r="J967" i="94"/>
  <c r="I967" i="94"/>
  <c r="H967" i="94"/>
  <c r="G967" i="94"/>
  <c r="C967" i="94"/>
  <c r="R966" i="94"/>
  <c r="K966" i="94"/>
  <c r="J966" i="94"/>
  <c r="I966" i="94"/>
  <c r="H966" i="94"/>
  <c r="G966" i="94"/>
  <c r="G968" i="94" s="1"/>
  <c r="S965" i="94"/>
  <c r="R963" i="94"/>
  <c r="R962" i="94"/>
  <c r="P962" i="94"/>
  <c r="O962" i="94"/>
  <c r="N962" i="94"/>
  <c r="M962" i="94"/>
  <c r="L962" i="94"/>
  <c r="K962" i="94"/>
  <c r="J962" i="94"/>
  <c r="I962" i="94"/>
  <c r="H962" i="94"/>
  <c r="G962" i="94"/>
  <c r="C962" i="94"/>
  <c r="R961" i="94"/>
  <c r="P961" i="94"/>
  <c r="O961" i="94"/>
  <c r="N961" i="94"/>
  <c r="M961" i="94"/>
  <c r="L961" i="94"/>
  <c r="K961" i="94"/>
  <c r="J961" i="94"/>
  <c r="I961" i="94"/>
  <c r="H961" i="94"/>
  <c r="G961" i="94"/>
  <c r="R960" i="94"/>
  <c r="R959" i="94"/>
  <c r="R958" i="94"/>
  <c r="P958" i="94"/>
  <c r="O958" i="94"/>
  <c r="N958" i="94"/>
  <c r="M958" i="94"/>
  <c r="L958" i="94"/>
  <c r="K958" i="94"/>
  <c r="J958" i="94"/>
  <c r="I958" i="94"/>
  <c r="H958" i="94"/>
  <c r="G958" i="94"/>
  <c r="C958" i="94"/>
  <c r="R957" i="94"/>
  <c r="P957" i="94"/>
  <c r="O957" i="94"/>
  <c r="N957" i="94"/>
  <c r="M957" i="94"/>
  <c r="L957" i="94"/>
  <c r="K957" i="94"/>
  <c r="J957" i="94"/>
  <c r="I957" i="94"/>
  <c r="H957" i="94"/>
  <c r="G957" i="94"/>
  <c r="S956" i="94"/>
  <c r="R954" i="94"/>
  <c r="R953" i="94"/>
  <c r="P953" i="94"/>
  <c r="O953" i="94"/>
  <c r="N953" i="94"/>
  <c r="M953" i="94"/>
  <c r="L953" i="94"/>
  <c r="K953" i="94"/>
  <c r="J953" i="94"/>
  <c r="I953" i="94"/>
  <c r="H953" i="94"/>
  <c r="G953" i="94"/>
  <c r="C953" i="94"/>
  <c r="R952" i="94"/>
  <c r="P952" i="94"/>
  <c r="O952" i="94"/>
  <c r="N952" i="94"/>
  <c r="M952" i="94"/>
  <c r="L952" i="94"/>
  <c r="K952" i="94"/>
  <c r="J952" i="94"/>
  <c r="I952" i="94"/>
  <c r="H952" i="94"/>
  <c r="G952" i="94"/>
  <c r="G954" i="94" s="1"/>
  <c r="R951" i="94"/>
  <c r="R950" i="94"/>
  <c r="R949" i="94"/>
  <c r="P949" i="94"/>
  <c r="O949" i="94"/>
  <c r="N949" i="94"/>
  <c r="M949" i="94"/>
  <c r="L949" i="94"/>
  <c r="K949" i="94"/>
  <c r="J949" i="94"/>
  <c r="I949" i="94"/>
  <c r="H949" i="94"/>
  <c r="G949" i="94"/>
  <c r="C949" i="94"/>
  <c r="R948" i="94"/>
  <c r="P948" i="94"/>
  <c r="O948" i="94"/>
  <c r="N948" i="94"/>
  <c r="M948" i="94"/>
  <c r="L948" i="94"/>
  <c r="K948" i="94"/>
  <c r="J948" i="94"/>
  <c r="I948" i="94"/>
  <c r="I950" i="94" s="1"/>
  <c r="H948" i="94"/>
  <c r="G948" i="94"/>
  <c r="S947" i="94"/>
  <c r="R945" i="94"/>
  <c r="R944" i="94"/>
  <c r="P944" i="94"/>
  <c r="O944" i="94"/>
  <c r="N944" i="94"/>
  <c r="M944" i="94"/>
  <c r="L944" i="94"/>
  <c r="K944" i="94"/>
  <c r="J944" i="94"/>
  <c r="I944" i="94"/>
  <c r="H944" i="94"/>
  <c r="G944" i="94"/>
  <c r="C944" i="94"/>
  <c r="R943" i="94"/>
  <c r="P943" i="94"/>
  <c r="O943" i="94"/>
  <c r="N943" i="94"/>
  <c r="M943" i="94"/>
  <c r="L943" i="94"/>
  <c r="K943" i="94"/>
  <c r="J943" i="94"/>
  <c r="I943" i="94"/>
  <c r="H943" i="94"/>
  <c r="G943" i="94"/>
  <c r="R942" i="94"/>
  <c r="R941" i="94"/>
  <c r="R940" i="94"/>
  <c r="P940" i="94"/>
  <c r="O940" i="94"/>
  <c r="N940" i="94"/>
  <c r="M940" i="94"/>
  <c r="L940" i="94"/>
  <c r="K940" i="94"/>
  <c r="J940" i="94"/>
  <c r="I940" i="94"/>
  <c r="H940" i="94"/>
  <c r="G940" i="94"/>
  <c r="C940" i="94"/>
  <c r="R939" i="94"/>
  <c r="P939" i="94"/>
  <c r="O939" i="94"/>
  <c r="N939" i="94"/>
  <c r="M939" i="94"/>
  <c r="L939" i="94"/>
  <c r="K939" i="94"/>
  <c r="K941" i="94" s="1"/>
  <c r="J939" i="94"/>
  <c r="I939" i="94"/>
  <c r="H939" i="94"/>
  <c r="G939" i="94"/>
  <c r="R938" i="94"/>
  <c r="R937" i="94"/>
  <c r="R935" i="94"/>
  <c r="R918" i="94"/>
  <c r="R917" i="94"/>
  <c r="R916" i="94"/>
  <c r="R915" i="94"/>
  <c r="R914" i="94"/>
  <c r="R913" i="94"/>
  <c r="R912" i="94"/>
  <c r="R911" i="94"/>
  <c r="R910" i="94"/>
  <c r="R909" i="94"/>
  <c r="R908" i="94"/>
  <c r="R907" i="94"/>
  <c r="R906" i="94"/>
  <c r="R904" i="94"/>
  <c r="R903" i="94"/>
  <c r="R902" i="94"/>
  <c r="R901" i="94"/>
  <c r="R900" i="94"/>
  <c r="R899" i="94"/>
  <c r="R898" i="94"/>
  <c r="R897" i="94"/>
  <c r="R896" i="94"/>
  <c r="R895" i="94"/>
  <c r="R893" i="94"/>
  <c r="R892" i="94"/>
  <c r="R891" i="94"/>
  <c r="R890" i="94"/>
  <c r="R889" i="94"/>
  <c r="R888" i="94"/>
  <c r="R887" i="94"/>
  <c r="R886" i="94"/>
  <c r="R885" i="94"/>
  <c r="R884" i="94"/>
  <c r="R883" i="94"/>
  <c r="R882" i="94"/>
  <c r="R881" i="94"/>
  <c r="R880" i="94"/>
  <c r="R879" i="94"/>
  <c r="R878" i="94"/>
  <c r="R877" i="94"/>
  <c r="R876" i="94"/>
  <c r="R875" i="94"/>
  <c r="R874" i="94"/>
  <c r="R873" i="94"/>
  <c r="N873" i="94"/>
  <c r="M873" i="94"/>
  <c r="L873" i="94"/>
  <c r="K873" i="94"/>
  <c r="J873" i="94"/>
  <c r="R872" i="94"/>
  <c r="N872" i="94"/>
  <c r="M872" i="94"/>
  <c r="L872" i="94"/>
  <c r="K872" i="94"/>
  <c r="J872" i="94"/>
  <c r="R871" i="94"/>
  <c r="R870" i="94"/>
  <c r="R869" i="94"/>
  <c r="R868" i="94"/>
  <c r="R867" i="94"/>
  <c r="R866" i="94"/>
  <c r="R865" i="94"/>
  <c r="R864" i="94"/>
  <c r="R863" i="94"/>
  <c r="R861" i="94"/>
  <c r="R860" i="94"/>
  <c r="R859" i="94"/>
  <c r="R858" i="94"/>
  <c r="R857" i="94"/>
  <c r="R856" i="94"/>
  <c r="R855" i="94"/>
  <c r="R854" i="94"/>
  <c r="R853" i="94"/>
  <c r="R852" i="94"/>
  <c r="R850" i="94"/>
  <c r="R849" i="94"/>
  <c r="R848" i="94"/>
  <c r="R847" i="94"/>
  <c r="R846" i="94"/>
  <c r="R845" i="94"/>
  <c r="R844" i="94"/>
  <c r="R843" i="94"/>
  <c r="R842" i="94"/>
  <c r="R839" i="94"/>
  <c r="R838" i="94"/>
  <c r="R837" i="94"/>
  <c r="R836" i="94"/>
  <c r="R835" i="94"/>
  <c r="R834" i="94"/>
  <c r="R833" i="94"/>
  <c r="R832" i="94"/>
  <c r="R829" i="94"/>
  <c r="R828" i="94"/>
  <c r="R827" i="94"/>
  <c r="R826" i="94"/>
  <c r="R825" i="94"/>
  <c r="R824" i="94"/>
  <c r="R823" i="94"/>
  <c r="R822" i="94"/>
  <c r="R821" i="94"/>
  <c r="R820" i="94"/>
  <c r="R819" i="94"/>
  <c r="R818" i="94"/>
  <c r="R815" i="94"/>
  <c r="K815" i="94"/>
  <c r="U809" i="94"/>
  <c r="T809" i="94"/>
  <c r="S809" i="94"/>
  <c r="P809" i="94"/>
  <c r="O809" i="94"/>
  <c r="N809" i="94"/>
  <c r="M809" i="94"/>
  <c r="J809" i="94"/>
  <c r="H809" i="94"/>
  <c r="G809" i="94"/>
  <c r="F809" i="94"/>
  <c r="E809" i="94"/>
  <c r="D809" i="94"/>
  <c r="C809" i="94"/>
  <c r="B809" i="94"/>
  <c r="U808" i="94"/>
  <c r="T808" i="94"/>
  <c r="S808" i="94"/>
  <c r="P808" i="94"/>
  <c r="O808" i="94"/>
  <c r="N808" i="94"/>
  <c r="M808" i="94"/>
  <c r="J808" i="94"/>
  <c r="H808" i="94"/>
  <c r="G808" i="94"/>
  <c r="F808" i="94"/>
  <c r="E808" i="94"/>
  <c r="D808" i="94"/>
  <c r="C808" i="94"/>
  <c r="B808" i="94"/>
  <c r="U807" i="94"/>
  <c r="T807" i="94"/>
  <c r="S807" i="94"/>
  <c r="P807" i="94"/>
  <c r="O807" i="94"/>
  <c r="N807" i="94"/>
  <c r="M807" i="94"/>
  <c r="J807" i="94"/>
  <c r="H807" i="94"/>
  <c r="G807" i="94"/>
  <c r="F807" i="94"/>
  <c r="E807" i="94"/>
  <c r="D807" i="94"/>
  <c r="C807" i="94"/>
  <c r="B807" i="94"/>
  <c r="U806" i="94"/>
  <c r="T806" i="94"/>
  <c r="S806" i="94"/>
  <c r="P806" i="94"/>
  <c r="O806" i="94"/>
  <c r="N806" i="94"/>
  <c r="M806" i="94"/>
  <c r="J806" i="94"/>
  <c r="H806" i="94"/>
  <c r="G806" i="94"/>
  <c r="F806" i="94"/>
  <c r="E806" i="94"/>
  <c r="D806" i="94"/>
  <c r="C806" i="94"/>
  <c r="B806" i="94"/>
  <c r="U805" i="94"/>
  <c r="T805" i="94"/>
  <c r="S805" i="94"/>
  <c r="P805" i="94"/>
  <c r="O805" i="94"/>
  <c r="N805" i="94"/>
  <c r="M805" i="94"/>
  <c r="J805" i="94"/>
  <c r="H805" i="94"/>
  <c r="G805" i="94"/>
  <c r="F805" i="94"/>
  <c r="E805" i="94"/>
  <c r="D805" i="94"/>
  <c r="C805" i="94"/>
  <c r="B805" i="94"/>
  <c r="U804" i="94"/>
  <c r="T804" i="94"/>
  <c r="S804" i="94"/>
  <c r="P804" i="94"/>
  <c r="O804" i="94"/>
  <c r="N804" i="94"/>
  <c r="M804" i="94"/>
  <c r="J804" i="94"/>
  <c r="H804" i="94"/>
  <c r="G804" i="94"/>
  <c r="F804" i="94"/>
  <c r="E804" i="94"/>
  <c r="D804" i="94"/>
  <c r="C804" i="94"/>
  <c r="MS804" i="94" s="1"/>
  <c r="B804" i="94"/>
  <c r="U803" i="94"/>
  <c r="T803" i="94"/>
  <c r="S803" i="94"/>
  <c r="P803" i="94"/>
  <c r="O803" i="94"/>
  <c r="N803" i="94"/>
  <c r="M803" i="94"/>
  <c r="J803" i="94"/>
  <c r="H803" i="94"/>
  <c r="G803" i="94"/>
  <c r="F803" i="94"/>
  <c r="E803" i="94"/>
  <c r="D803" i="94"/>
  <c r="C803" i="94"/>
  <c r="B803" i="94"/>
  <c r="U802" i="94"/>
  <c r="T802" i="94"/>
  <c r="S802" i="94"/>
  <c r="P802" i="94"/>
  <c r="O802" i="94"/>
  <c r="N802" i="94"/>
  <c r="M802" i="94"/>
  <c r="J802" i="94"/>
  <c r="H802" i="94"/>
  <c r="G802" i="94"/>
  <c r="F802" i="94"/>
  <c r="E802" i="94"/>
  <c r="D802" i="94"/>
  <c r="C802" i="94"/>
  <c r="B802" i="94"/>
  <c r="U801" i="94"/>
  <c r="T801" i="94"/>
  <c r="S801" i="94"/>
  <c r="P801" i="94"/>
  <c r="O801" i="94"/>
  <c r="N801" i="94"/>
  <c r="M801" i="94"/>
  <c r="J801" i="94"/>
  <c r="H801" i="94"/>
  <c r="G801" i="94"/>
  <c r="F801" i="94"/>
  <c r="E801" i="94"/>
  <c r="D801" i="94"/>
  <c r="C801" i="94"/>
  <c r="B801" i="94"/>
  <c r="U800" i="94"/>
  <c r="T800" i="94"/>
  <c r="S800" i="94"/>
  <c r="P800" i="94"/>
  <c r="O800" i="94"/>
  <c r="N800" i="94"/>
  <c r="M800" i="94"/>
  <c r="J800" i="94"/>
  <c r="H800" i="94"/>
  <c r="G800" i="94"/>
  <c r="F800" i="94"/>
  <c r="E800" i="94"/>
  <c r="D800" i="94"/>
  <c r="C800" i="94"/>
  <c r="B800" i="94"/>
  <c r="U799" i="94"/>
  <c r="T799" i="94"/>
  <c r="S799" i="94"/>
  <c r="P799" i="94"/>
  <c r="O799" i="94"/>
  <c r="N799" i="94"/>
  <c r="M799" i="94"/>
  <c r="J799" i="94"/>
  <c r="H799" i="94"/>
  <c r="G799" i="94"/>
  <c r="F799" i="94"/>
  <c r="E799" i="94"/>
  <c r="D799" i="94"/>
  <c r="C799" i="94"/>
  <c r="AL799" i="94" s="1"/>
  <c r="B799" i="94"/>
  <c r="U798" i="94"/>
  <c r="T798" i="94"/>
  <c r="S798" i="94"/>
  <c r="P798" i="94"/>
  <c r="O798" i="94"/>
  <c r="N798" i="94"/>
  <c r="M798" i="94"/>
  <c r="J798" i="94"/>
  <c r="H798" i="94"/>
  <c r="G798" i="94"/>
  <c r="F798" i="94"/>
  <c r="E798" i="94"/>
  <c r="D798" i="94"/>
  <c r="C798" i="94"/>
  <c r="B798" i="94"/>
  <c r="U797" i="94"/>
  <c r="T797" i="94"/>
  <c r="S797" i="94"/>
  <c r="P797" i="94"/>
  <c r="KJ797" i="94" s="1"/>
  <c r="O797" i="94"/>
  <c r="N797" i="94"/>
  <c r="M797" i="94"/>
  <c r="J797" i="94"/>
  <c r="H797" i="94"/>
  <c r="G797" i="94"/>
  <c r="F797" i="94"/>
  <c r="E797" i="94"/>
  <c r="D797" i="94"/>
  <c r="C797" i="94"/>
  <c r="AU797" i="94" s="1"/>
  <c r="B797" i="94"/>
  <c r="U796" i="94"/>
  <c r="T796" i="94"/>
  <c r="S796" i="94"/>
  <c r="P796" i="94"/>
  <c r="O796" i="94"/>
  <c r="N796" i="94"/>
  <c r="M796" i="94"/>
  <c r="J796" i="94"/>
  <c r="H796" i="94"/>
  <c r="G796" i="94"/>
  <c r="F796" i="94"/>
  <c r="E796" i="94"/>
  <c r="D796" i="94"/>
  <c r="C796" i="94"/>
  <c r="IB796" i="94" s="1"/>
  <c r="B796" i="94"/>
  <c r="U795" i="94"/>
  <c r="T795" i="94"/>
  <c r="S795" i="94"/>
  <c r="P795" i="94"/>
  <c r="O795" i="94"/>
  <c r="N795" i="94"/>
  <c r="M795" i="94"/>
  <c r="J795" i="94"/>
  <c r="H795" i="94"/>
  <c r="G795" i="94"/>
  <c r="F795" i="94"/>
  <c r="E795" i="94"/>
  <c r="D795" i="94"/>
  <c r="C795" i="94"/>
  <c r="B795" i="94"/>
  <c r="U794" i="94"/>
  <c r="T794" i="94"/>
  <c r="S794" i="94"/>
  <c r="P794" i="94"/>
  <c r="O794" i="94"/>
  <c r="N794" i="94"/>
  <c r="M794" i="94"/>
  <c r="J794" i="94"/>
  <c r="H794" i="94"/>
  <c r="G794" i="94"/>
  <c r="F794" i="94"/>
  <c r="E794" i="94"/>
  <c r="D794" i="94"/>
  <c r="C794" i="94"/>
  <c r="KA794" i="94" s="1"/>
  <c r="B794" i="94"/>
  <c r="U793" i="94"/>
  <c r="T793" i="94"/>
  <c r="S793" i="94"/>
  <c r="P793" i="94"/>
  <c r="O793" i="94"/>
  <c r="N793" i="94"/>
  <c r="M793" i="94"/>
  <c r="J793" i="94"/>
  <c r="H793" i="94"/>
  <c r="G793" i="94"/>
  <c r="F793" i="94"/>
  <c r="E793" i="94"/>
  <c r="D793" i="94"/>
  <c r="C793" i="94"/>
  <c r="B793" i="94"/>
  <c r="U792" i="94"/>
  <c r="T792" i="94"/>
  <c r="S792" i="94"/>
  <c r="P792" i="94"/>
  <c r="O792" i="94"/>
  <c r="N792" i="94"/>
  <c r="M792" i="94"/>
  <c r="J792" i="94"/>
  <c r="H792" i="94"/>
  <c r="G792" i="94"/>
  <c r="F792" i="94"/>
  <c r="E792" i="94"/>
  <c r="D792" i="94"/>
  <c r="C792" i="94"/>
  <c r="B792" i="94"/>
  <c r="U791" i="94"/>
  <c r="T791" i="94"/>
  <c r="S791" i="94"/>
  <c r="P791" i="94"/>
  <c r="O791" i="94"/>
  <c r="N791" i="94"/>
  <c r="M791" i="94"/>
  <c r="J791" i="94"/>
  <c r="H791" i="94"/>
  <c r="G791" i="94"/>
  <c r="F791" i="94"/>
  <c r="E791" i="94"/>
  <c r="D791" i="94"/>
  <c r="C791" i="94"/>
  <c r="B791" i="94"/>
  <c r="U790" i="94"/>
  <c r="T790" i="94"/>
  <c r="S790" i="94"/>
  <c r="P790" i="94"/>
  <c r="O790" i="94"/>
  <c r="N790" i="94"/>
  <c r="M790" i="94"/>
  <c r="J790" i="94"/>
  <c r="H790" i="94"/>
  <c r="G790" i="94"/>
  <c r="F790" i="94"/>
  <c r="E790" i="94"/>
  <c r="D790" i="94"/>
  <c r="C790" i="94"/>
  <c r="B790" i="94"/>
  <c r="U789" i="94"/>
  <c r="T789" i="94"/>
  <c r="S789" i="94"/>
  <c r="P789" i="94"/>
  <c r="O789" i="94"/>
  <c r="N789" i="94"/>
  <c r="M789" i="94"/>
  <c r="J789" i="94"/>
  <c r="H789" i="94"/>
  <c r="G789" i="94"/>
  <c r="F789" i="94"/>
  <c r="E789" i="94"/>
  <c r="D789" i="94"/>
  <c r="C789" i="94"/>
  <c r="B789" i="94"/>
  <c r="U788" i="94"/>
  <c r="T788" i="94"/>
  <c r="S788" i="94"/>
  <c r="P788" i="94"/>
  <c r="O788" i="94"/>
  <c r="N788" i="94"/>
  <c r="M788" i="94"/>
  <c r="J788" i="94"/>
  <c r="H788" i="94"/>
  <c r="G788" i="94"/>
  <c r="F788" i="94"/>
  <c r="E788" i="94"/>
  <c r="D788" i="94"/>
  <c r="C788" i="94"/>
  <c r="B788" i="94"/>
  <c r="U787" i="94"/>
  <c r="T787" i="94"/>
  <c r="S787" i="94"/>
  <c r="P787" i="94"/>
  <c r="O787" i="94"/>
  <c r="N787" i="94"/>
  <c r="M787" i="94"/>
  <c r="J787" i="94"/>
  <c r="H787" i="94"/>
  <c r="G787" i="94"/>
  <c r="F787" i="94"/>
  <c r="E787" i="94"/>
  <c r="D787" i="94"/>
  <c r="C787" i="94"/>
  <c r="B787" i="94"/>
  <c r="U786" i="94"/>
  <c r="T786" i="94"/>
  <c r="S786" i="94"/>
  <c r="P786" i="94"/>
  <c r="O786" i="94"/>
  <c r="N786" i="94"/>
  <c r="M786" i="94"/>
  <c r="J786" i="94"/>
  <c r="H786" i="94"/>
  <c r="G786" i="94"/>
  <c r="F786" i="94"/>
  <c r="E786" i="94"/>
  <c r="D786" i="94"/>
  <c r="C786" i="94"/>
  <c r="AL786" i="94" s="1"/>
  <c r="B786" i="94"/>
  <c r="U785" i="94"/>
  <c r="T785" i="94"/>
  <c r="S785" i="94"/>
  <c r="P785" i="94"/>
  <c r="O785" i="94"/>
  <c r="N785" i="94"/>
  <c r="M785" i="94"/>
  <c r="J785" i="94"/>
  <c r="H785" i="94"/>
  <c r="G785" i="94"/>
  <c r="F785" i="94"/>
  <c r="E785" i="94"/>
  <c r="D785" i="94"/>
  <c r="C785" i="94"/>
  <c r="B785" i="94"/>
  <c r="U784" i="94"/>
  <c r="T784" i="94"/>
  <c r="S784" i="94"/>
  <c r="P784" i="94"/>
  <c r="O784" i="94"/>
  <c r="N784" i="94"/>
  <c r="M784" i="94"/>
  <c r="J784" i="94"/>
  <c r="CS784" i="94" s="1"/>
  <c r="H784" i="94"/>
  <c r="G784" i="94"/>
  <c r="F784" i="94"/>
  <c r="E784" i="94"/>
  <c r="D784" i="94"/>
  <c r="C784" i="94"/>
  <c r="B784" i="94"/>
  <c r="FA784" i="94" s="1"/>
  <c r="U783" i="94"/>
  <c r="T783" i="94"/>
  <c r="S783" i="94"/>
  <c r="P783" i="94"/>
  <c r="O783" i="94"/>
  <c r="N783" i="94"/>
  <c r="M783" i="94"/>
  <c r="J783" i="94"/>
  <c r="H783" i="94"/>
  <c r="G783" i="94"/>
  <c r="F783" i="94"/>
  <c r="E783" i="94"/>
  <c r="D783" i="94"/>
  <c r="C783" i="94"/>
  <c r="W783" i="94" s="1"/>
  <c r="B783" i="94"/>
  <c r="U782" i="94"/>
  <c r="T782" i="94"/>
  <c r="S782" i="94"/>
  <c r="P782" i="94"/>
  <c r="O782" i="94"/>
  <c r="N782" i="94"/>
  <c r="M782" i="94"/>
  <c r="J782" i="94"/>
  <c r="H782" i="94"/>
  <c r="G782" i="94"/>
  <c r="F782" i="94"/>
  <c r="E782" i="94"/>
  <c r="D782" i="94"/>
  <c r="C782" i="94"/>
  <c r="HY782" i="94" s="1"/>
  <c r="B782" i="94"/>
  <c r="U781" i="94"/>
  <c r="T781" i="94"/>
  <c r="S781" i="94"/>
  <c r="P781" i="94"/>
  <c r="O781" i="94"/>
  <c r="N781" i="94"/>
  <c r="M781" i="94"/>
  <c r="J781" i="94"/>
  <c r="H781" i="94"/>
  <c r="G781" i="94"/>
  <c r="F781" i="94"/>
  <c r="E781" i="94"/>
  <c r="D781" i="94"/>
  <c r="C781" i="94"/>
  <c r="B781" i="94"/>
  <c r="U780" i="94"/>
  <c r="T780" i="94"/>
  <c r="S780" i="94"/>
  <c r="P780" i="94"/>
  <c r="O780" i="94"/>
  <c r="N780" i="94"/>
  <c r="M780" i="94"/>
  <c r="J780" i="94"/>
  <c r="H780" i="94"/>
  <c r="G780" i="94"/>
  <c r="F780" i="94"/>
  <c r="E780" i="94"/>
  <c r="D780" i="94"/>
  <c r="C780" i="94"/>
  <c r="B780" i="94"/>
  <c r="U779" i="94"/>
  <c r="T779" i="94"/>
  <c r="S779" i="94"/>
  <c r="P779" i="94"/>
  <c r="O779" i="94"/>
  <c r="N779" i="94"/>
  <c r="M779" i="94"/>
  <c r="J779" i="94"/>
  <c r="H779" i="94"/>
  <c r="G779" i="94"/>
  <c r="F779" i="94"/>
  <c r="E779" i="94"/>
  <c r="D779" i="94"/>
  <c r="C779" i="94"/>
  <c r="B779" i="94"/>
  <c r="U778" i="94"/>
  <c r="T778" i="94"/>
  <c r="S778" i="94"/>
  <c r="P778" i="94"/>
  <c r="O778" i="94"/>
  <c r="N778" i="94"/>
  <c r="M778" i="94"/>
  <c r="J778" i="94"/>
  <c r="H778" i="94"/>
  <c r="G778" i="94"/>
  <c r="F778" i="94"/>
  <c r="E778" i="94"/>
  <c r="D778" i="94"/>
  <c r="C778" i="94"/>
  <c r="EL778" i="94" s="1"/>
  <c r="B778" i="94"/>
  <c r="U777" i="94"/>
  <c r="T777" i="94"/>
  <c r="S777" i="94"/>
  <c r="P777" i="94"/>
  <c r="O777" i="94"/>
  <c r="N777" i="94"/>
  <c r="M777" i="94"/>
  <c r="J777" i="94"/>
  <c r="H777" i="94"/>
  <c r="G777" i="94"/>
  <c r="F777" i="94"/>
  <c r="E777" i="94"/>
  <c r="D777" i="94"/>
  <c r="C777" i="94"/>
  <c r="B777" i="94"/>
  <c r="U776" i="94"/>
  <c r="T776" i="94"/>
  <c r="S776" i="94"/>
  <c r="P776" i="94"/>
  <c r="O776" i="94"/>
  <c r="N776" i="94"/>
  <c r="M776" i="94"/>
  <c r="J776" i="94"/>
  <c r="H776" i="94"/>
  <c r="G776" i="94"/>
  <c r="F776" i="94"/>
  <c r="E776" i="94"/>
  <c r="D776" i="94"/>
  <c r="C776" i="94"/>
  <c r="B776" i="94"/>
  <c r="U775" i="94"/>
  <c r="T775" i="94"/>
  <c r="S775" i="94"/>
  <c r="P775" i="94"/>
  <c r="O775" i="94"/>
  <c r="N775" i="94"/>
  <c r="M775" i="94"/>
  <c r="J775" i="94"/>
  <c r="H775" i="94"/>
  <c r="G775" i="94"/>
  <c r="F775" i="94"/>
  <c r="E775" i="94"/>
  <c r="D775" i="94"/>
  <c r="C775" i="94"/>
  <c r="B775" i="94"/>
  <c r="U774" i="94"/>
  <c r="T774" i="94"/>
  <c r="S774" i="94"/>
  <c r="P774" i="94"/>
  <c r="O774" i="94"/>
  <c r="N774" i="94"/>
  <c r="M774" i="94"/>
  <c r="J774" i="94"/>
  <c r="H774" i="94"/>
  <c r="G774" i="94"/>
  <c r="F774" i="94"/>
  <c r="E774" i="94"/>
  <c r="D774" i="94"/>
  <c r="C774" i="94"/>
  <c r="B774" i="94"/>
  <c r="U773" i="94"/>
  <c r="T773" i="94"/>
  <c r="S773" i="94"/>
  <c r="P773" i="94"/>
  <c r="O773" i="94"/>
  <c r="N773" i="94"/>
  <c r="M773" i="94"/>
  <c r="J773" i="94"/>
  <c r="H773" i="94"/>
  <c r="G773" i="94"/>
  <c r="F773" i="94"/>
  <c r="E773" i="94"/>
  <c r="D773" i="94"/>
  <c r="C773" i="94"/>
  <c r="B773" i="94"/>
  <c r="U772" i="94"/>
  <c r="T772" i="94"/>
  <c r="S772" i="94"/>
  <c r="P772" i="94"/>
  <c r="O772" i="94"/>
  <c r="N772" i="94"/>
  <c r="M772" i="94"/>
  <c r="J772" i="94"/>
  <c r="H772" i="94"/>
  <c r="G772" i="94"/>
  <c r="F772" i="94"/>
  <c r="E772" i="94"/>
  <c r="D772" i="94"/>
  <c r="C772" i="94"/>
  <c r="B772" i="94"/>
  <c r="F768" i="94"/>
  <c r="K767" i="94"/>
  <c r="G767" i="94"/>
  <c r="U765" i="94"/>
  <c r="A763" i="94"/>
  <c r="U763" i="94" s="1"/>
  <c r="B756" i="94"/>
  <c r="B753" i="94"/>
  <c r="M748" i="94"/>
  <c r="L748" i="94"/>
  <c r="K748" i="94"/>
  <c r="J748" i="94"/>
  <c r="I748" i="94"/>
  <c r="G748" i="94"/>
  <c r="F748" i="94"/>
  <c r="M747" i="94"/>
  <c r="L747" i="94"/>
  <c r="K747" i="94"/>
  <c r="J747" i="94"/>
  <c r="I747" i="94"/>
  <c r="G747" i="94"/>
  <c r="F747" i="94"/>
  <c r="M746" i="94"/>
  <c r="L746" i="94"/>
  <c r="K746" i="94"/>
  <c r="J746" i="94"/>
  <c r="I746" i="94"/>
  <c r="G746" i="94"/>
  <c r="F746" i="94"/>
  <c r="E746" i="94"/>
  <c r="M745" i="94"/>
  <c r="L745" i="94"/>
  <c r="K745" i="94"/>
  <c r="J745" i="94"/>
  <c r="I745" i="94"/>
  <c r="G745" i="94"/>
  <c r="F745" i="94"/>
  <c r="M744" i="94"/>
  <c r="L744" i="94"/>
  <c r="K744" i="94"/>
  <c r="J744" i="94"/>
  <c r="I744" i="94"/>
  <c r="G744" i="94"/>
  <c r="F744" i="94"/>
  <c r="M743" i="94"/>
  <c r="L743" i="94"/>
  <c r="K743" i="94"/>
  <c r="J743" i="94"/>
  <c r="I743" i="94"/>
  <c r="G743" i="94"/>
  <c r="F743" i="94"/>
  <c r="M742" i="94"/>
  <c r="L742" i="94"/>
  <c r="K742" i="94"/>
  <c r="J742" i="94"/>
  <c r="I742" i="94"/>
  <c r="G742" i="94"/>
  <c r="F742" i="94"/>
  <c r="M741" i="94"/>
  <c r="L741" i="94"/>
  <c r="K741" i="94"/>
  <c r="J741" i="94"/>
  <c r="I741" i="94"/>
  <c r="G741" i="94"/>
  <c r="F741" i="94"/>
  <c r="D741" i="94"/>
  <c r="M740" i="94"/>
  <c r="L740" i="94"/>
  <c r="K740" i="94"/>
  <c r="J740" i="94"/>
  <c r="I740" i="94"/>
  <c r="G740" i="94"/>
  <c r="F740" i="94"/>
  <c r="D740" i="94"/>
  <c r="M739" i="94"/>
  <c r="L739" i="94"/>
  <c r="K739" i="94"/>
  <c r="J739" i="94"/>
  <c r="I739" i="94"/>
  <c r="G739" i="94"/>
  <c r="F739" i="94"/>
  <c r="D739" i="94"/>
  <c r="L735" i="94"/>
  <c r="I735" i="94"/>
  <c r="I734" i="94"/>
  <c r="M731" i="94"/>
  <c r="L731" i="94"/>
  <c r="K731" i="94"/>
  <c r="J731" i="94"/>
  <c r="I731" i="94"/>
  <c r="G731" i="94"/>
  <c r="F731" i="94"/>
  <c r="C731" i="94"/>
  <c r="M730" i="94"/>
  <c r="L730" i="94"/>
  <c r="K730" i="94"/>
  <c r="J730" i="94"/>
  <c r="I730" i="94"/>
  <c r="G730" i="94"/>
  <c r="F730" i="94"/>
  <c r="M729" i="94"/>
  <c r="L729" i="94"/>
  <c r="K729" i="94"/>
  <c r="J729" i="94"/>
  <c r="I729" i="94"/>
  <c r="G729" i="94"/>
  <c r="F729" i="94"/>
  <c r="E729" i="94"/>
  <c r="M728" i="94"/>
  <c r="L728" i="94"/>
  <c r="K728" i="94"/>
  <c r="J728" i="94"/>
  <c r="I728" i="94"/>
  <c r="G728" i="94"/>
  <c r="F728" i="94"/>
  <c r="M727" i="94"/>
  <c r="L727" i="94"/>
  <c r="K727" i="94"/>
  <c r="J727" i="94"/>
  <c r="I727" i="94"/>
  <c r="G727" i="94"/>
  <c r="F727" i="94"/>
  <c r="M726" i="94"/>
  <c r="L726" i="94"/>
  <c r="K726" i="94"/>
  <c r="J726" i="94"/>
  <c r="I726" i="94"/>
  <c r="G726" i="94"/>
  <c r="F726" i="94"/>
  <c r="M725" i="94"/>
  <c r="L725" i="94"/>
  <c r="K725" i="94"/>
  <c r="J725" i="94"/>
  <c r="I725" i="94"/>
  <c r="G725" i="94"/>
  <c r="F725" i="94"/>
  <c r="M724" i="94"/>
  <c r="L724" i="94"/>
  <c r="K724" i="94"/>
  <c r="J724" i="94"/>
  <c r="I724" i="94"/>
  <c r="G724" i="94"/>
  <c r="F724" i="94"/>
  <c r="D724" i="94"/>
  <c r="M723" i="94"/>
  <c r="L723" i="94"/>
  <c r="K723" i="94"/>
  <c r="J723" i="94"/>
  <c r="I723" i="94"/>
  <c r="G723" i="94"/>
  <c r="F723" i="94"/>
  <c r="D723" i="94"/>
  <c r="M722" i="94"/>
  <c r="L722" i="94"/>
  <c r="K722" i="94"/>
  <c r="J722" i="94"/>
  <c r="I722" i="94"/>
  <c r="G722" i="94"/>
  <c r="F722" i="94"/>
  <c r="D722" i="94"/>
  <c r="L718" i="94"/>
  <c r="I718" i="94"/>
  <c r="I717" i="94"/>
  <c r="B713" i="94"/>
  <c r="A711" i="94"/>
  <c r="D707" i="94"/>
  <c r="B707" i="94"/>
  <c r="H704" i="94"/>
  <c r="F704" i="94"/>
  <c r="A704" i="94"/>
  <c r="D701" i="94"/>
  <c r="B701" i="94"/>
  <c r="H698" i="94"/>
  <c r="F698" i="94"/>
  <c r="A698" i="94"/>
  <c r="B695" i="94"/>
  <c r="F692" i="94"/>
  <c r="A692" i="94"/>
  <c r="B689" i="94"/>
  <c r="F686" i="94"/>
  <c r="A686" i="94"/>
  <c r="B684" i="94"/>
  <c r="F681" i="94"/>
  <c r="A681" i="94"/>
  <c r="B678" i="94"/>
  <c r="F675" i="94"/>
  <c r="A675" i="94"/>
  <c r="D672" i="94"/>
  <c r="B672" i="94"/>
  <c r="H669" i="94"/>
  <c r="F669" i="94"/>
  <c r="A669" i="94"/>
  <c r="D666" i="94"/>
  <c r="B666" i="94"/>
  <c r="H663" i="94"/>
  <c r="F663" i="94"/>
  <c r="A663" i="94"/>
  <c r="D661" i="94"/>
  <c r="B661" i="94"/>
  <c r="H658" i="94"/>
  <c r="F658" i="94"/>
  <c r="A658" i="94"/>
  <c r="D655" i="94"/>
  <c r="B655" i="94"/>
  <c r="H652" i="94"/>
  <c r="F652" i="94"/>
  <c r="A652" i="94"/>
  <c r="D649" i="94"/>
  <c r="B649" i="94"/>
  <c r="H646" i="94"/>
  <c r="F646" i="94"/>
  <c r="A646" i="94"/>
  <c r="D644" i="94"/>
  <c r="B644" i="94"/>
  <c r="H641" i="94"/>
  <c r="F641" i="94"/>
  <c r="A641" i="94"/>
  <c r="D639" i="94"/>
  <c r="B639" i="94"/>
  <c r="H636" i="94"/>
  <c r="F636" i="94"/>
  <c r="A636" i="94"/>
  <c r="N624" i="94"/>
  <c r="A624" i="94"/>
  <c r="W620" i="94"/>
  <c r="V620" i="94"/>
  <c r="W619" i="94"/>
  <c r="W618" i="94"/>
  <c r="V618" i="94"/>
  <c r="J618" i="94"/>
  <c r="W617" i="94"/>
  <c r="W616" i="94"/>
  <c r="V616" i="94"/>
  <c r="W615" i="94"/>
  <c r="W614" i="94"/>
  <c r="V614" i="94"/>
  <c r="W613" i="94"/>
  <c r="V613" i="94"/>
  <c r="Q613" i="94"/>
  <c r="N613" i="94"/>
  <c r="W612" i="94"/>
  <c r="V612" i="94"/>
  <c r="W611" i="94"/>
  <c r="J611" i="94"/>
  <c r="W610" i="94"/>
  <c r="V610" i="94"/>
  <c r="T610" i="94"/>
  <c r="O610" i="94"/>
  <c r="W609" i="94"/>
  <c r="V609" i="94"/>
  <c r="W608" i="94"/>
  <c r="V608" i="94"/>
  <c r="W607" i="94"/>
  <c r="V607" i="94"/>
  <c r="W606" i="94"/>
  <c r="W603" i="94"/>
  <c r="V603" i="94"/>
  <c r="W602" i="94"/>
  <c r="V602" i="94"/>
  <c r="W601" i="94"/>
  <c r="V601" i="94"/>
  <c r="P601" i="94"/>
  <c r="M601" i="94"/>
  <c r="J601" i="94"/>
  <c r="W600" i="94"/>
  <c r="V600" i="94"/>
  <c r="W599" i="94"/>
  <c r="V599" i="94"/>
  <c r="W598" i="94"/>
  <c r="V598" i="94"/>
  <c r="W597" i="94"/>
  <c r="V597" i="94"/>
  <c r="R597" i="94"/>
  <c r="P597" i="94"/>
  <c r="J597" i="94"/>
  <c r="H597" i="94"/>
  <c r="W596" i="94"/>
  <c r="V596" i="94"/>
  <c r="W595" i="94"/>
  <c r="V595" i="94"/>
  <c r="W594" i="94"/>
  <c r="V594" i="94"/>
  <c r="W593" i="94"/>
  <c r="W591" i="94"/>
  <c r="W590" i="94"/>
  <c r="V590" i="94"/>
  <c r="P590" i="94"/>
  <c r="J590" i="94"/>
  <c r="C590" i="94"/>
  <c r="W589" i="94"/>
  <c r="V589" i="94"/>
  <c r="P589" i="94"/>
  <c r="J589" i="94"/>
  <c r="W588" i="94"/>
  <c r="V588" i="94"/>
  <c r="P588" i="94"/>
  <c r="J588" i="94"/>
  <c r="W587" i="94"/>
  <c r="V587" i="94"/>
  <c r="P587" i="94"/>
  <c r="J587" i="94"/>
  <c r="W586" i="94"/>
  <c r="V586" i="94"/>
  <c r="P586" i="94"/>
  <c r="J586" i="94"/>
  <c r="W585" i="94"/>
  <c r="V585" i="94"/>
  <c r="P585" i="94"/>
  <c r="J585" i="94"/>
  <c r="W583" i="94"/>
  <c r="W582" i="94"/>
  <c r="W577" i="94"/>
  <c r="W575" i="94"/>
  <c r="W574" i="94"/>
  <c r="V574" i="94"/>
  <c r="S574" i="94"/>
  <c r="P574" i="94"/>
  <c r="M574" i="94"/>
  <c r="J574" i="94"/>
  <c r="G574" i="94"/>
  <c r="C574" i="94"/>
  <c r="W573" i="94"/>
  <c r="V573" i="94"/>
  <c r="S573" i="94"/>
  <c r="S575" i="94" s="1"/>
  <c r="P573" i="94"/>
  <c r="M573" i="94"/>
  <c r="J573" i="94"/>
  <c r="G573" i="94"/>
  <c r="G575" i="94" s="1"/>
  <c r="W572" i="94"/>
  <c r="O572" i="94"/>
  <c r="W571" i="94"/>
  <c r="W570" i="94"/>
  <c r="V570" i="94"/>
  <c r="S570" i="94"/>
  <c r="P570" i="94"/>
  <c r="M570" i="94"/>
  <c r="J570" i="94"/>
  <c r="G570" i="94"/>
  <c r="C570" i="94"/>
  <c r="W569" i="94"/>
  <c r="V569" i="94"/>
  <c r="S569" i="94"/>
  <c r="P569" i="94"/>
  <c r="M569" i="94"/>
  <c r="M571" i="94" s="1"/>
  <c r="J569" i="94"/>
  <c r="J571" i="94" s="1"/>
  <c r="G569" i="94"/>
  <c r="W568" i="94"/>
  <c r="V568" i="94"/>
  <c r="S568" i="94"/>
  <c r="G568" i="94"/>
  <c r="W567" i="94"/>
  <c r="V567" i="94"/>
  <c r="S567" i="94"/>
  <c r="G567" i="94"/>
  <c r="J567" i="94" s="1"/>
  <c r="W566" i="94"/>
  <c r="V566" i="94"/>
  <c r="S566" i="94"/>
  <c r="G566" i="94"/>
  <c r="W565" i="94"/>
  <c r="V565" i="94"/>
  <c r="S565" i="94"/>
  <c r="G565" i="94"/>
  <c r="W564" i="94"/>
  <c r="O564" i="94"/>
  <c r="W563" i="94"/>
  <c r="W562" i="94"/>
  <c r="V562" i="94"/>
  <c r="S562" i="94"/>
  <c r="P562" i="94"/>
  <c r="M562" i="94"/>
  <c r="J562" i="94"/>
  <c r="G562" i="94"/>
  <c r="F562" i="94"/>
  <c r="W561" i="94"/>
  <c r="V561" i="94"/>
  <c r="S561" i="94"/>
  <c r="P561" i="94"/>
  <c r="M561" i="94"/>
  <c r="J561" i="94"/>
  <c r="G561" i="94"/>
  <c r="F561" i="94"/>
  <c r="W560" i="94"/>
  <c r="V560" i="94"/>
  <c r="S560" i="94"/>
  <c r="P560" i="94"/>
  <c r="M560" i="94"/>
  <c r="J560" i="94"/>
  <c r="G560" i="94"/>
  <c r="F560" i="94"/>
  <c r="W559" i="94"/>
  <c r="V559" i="94"/>
  <c r="W558" i="94"/>
  <c r="V558" i="94"/>
  <c r="S558" i="94"/>
  <c r="P558" i="94"/>
  <c r="M558" i="94"/>
  <c r="J558" i="94"/>
  <c r="G558" i="94"/>
  <c r="F558" i="94"/>
  <c r="W557" i="94"/>
  <c r="O557" i="94"/>
  <c r="W556" i="94"/>
  <c r="W555" i="94"/>
  <c r="V555" i="94"/>
  <c r="S555" i="94"/>
  <c r="G555" i="94"/>
  <c r="C555" i="94"/>
  <c r="W554" i="94"/>
  <c r="V554" i="94"/>
  <c r="S554" i="94"/>
  <c r="G554" i="94"/>
  <c r="W553" i="94"/>
  <c r="V553" i="94"/>
  <c r="S553" i="94"/>
  <c r="G553" i="94"/>
  <c r="W552" i="94"/>
  <c r="V552" i="94"/>
  <c r="S552" i="94"/>
  <c r="G552" i="94"/>
  <c r="W551" i="94"/>
  <c r="O551" i="94"/>
  <c r="W550" i="94"/>
  <c r="W549" i="94"/>
  <c r="V549" i="94"/>
  <c r="S549" i="94"/>
  <c r="G549" i="94"/>
  <c r="C549" i="94"/>
  <c r="W548" i="94"/>
  <c r="V548" i="94"/>
  <c r="S548" i="94"/>
  <c r="G548" i="94"/>
  <c r="C548" i="94"/>
  <c r="W547" i="94"/>
  <c r="V547" i="94"/>
  <c r="S547" i="94"/>
  <c r="G547" i="94"/>
  <c r="F547" i="94"/>
  <c r="W546" i="94"/>
  <c r="V546" i="94"/>
  <c r="S546" i="94"/>
  <c r="G546" i="94"/>
  <c r="F546" i="94"/>
  <c r="W545" i="94"/>
  <c r="V545" i="94"/>
  <c r="S545" i="94"/>
  <c r="G545" i="94"/>
  <c r="W544" i="94"/>
  <c r="V544" i="94"/>
  <c r="S544" i="94"/>
  <c r="G544" i="94"/>
  <c r="W543" i="94"/>
  <c r="V543" i="94"/>
  <c r="S543" i="94"/>
  <c r="G543" i="94"/>
  <c r="W542" i="94"/>
  <c r="V542" i="94"/>
  <c r="S542" i="94"/>
  <c r="G542" i="94"/>
  <c r="B542" i="94"/>
  <c r="W541" i="94"/>
  <c r="V541" i="94"/>
  <c r="S541" i="94"/>
  <c r="G541" i="94"/>
  <c r="B541" i="94"/>
  <c r="W540" i="94"/>
  <c r="O540" i="94"/>
  <c r="V538" i="94"/>
  <c r="W536" i="94"/>
  <c r="W535" i="94"/>
  <c r="V535" i="94"/>
  <c r="S535" i="94"/>
  <c r="G535" i="94"/>
  <c r="C535" i="94"/>
  <c r="W534" i="94"/>
  <c r="V534" i="94"/>
  <c r="S534" i="94"/>
  <c r="G534" i="94"/>
  <c r="W533" i="94"/>
  <c r="V533" i="94"/>
  <c r="S533" i="94"/>
  <c r="G533" i="94"/>
  <c r="W532" i="94"/>
  <c r="V532" i="94"/>
  <c r="S532" i="94"/>
  <c r="G532" i="94"/>
  <c r="W531" i="94"/>
  <c r="V531" i="94"/>
  <c r="S531" i="94"/>
  <c r="G531" i="94"/>
  <c r="W530" i="94"/>
  <c r="V530" i="94"/>
  <c r="S530" i="94"/>
  <c r="G530" i="94"/>
  <c r="W529" i="94"/>
  <c r="O529" i="94"/>
  <c r="W528" i="94"/>
  <c r="W527" i="94"/>
  <c r="V527" i="94"/>
  <c r="S527" i="94"/>
  <c r="P527" i="94"/>
  <c r="M527" i="94"/>
  <c r="J527" i="94"/>
  <c r="G527" i="94"/>
  <c r="E527" i="94"/>
  <c r="W526" i="94"/>
  <c r="V526" i="94"/>
  <c r="S526" i="94"/>
  <c r="P526" i="94"/>
  <c r="M526" i="94"/>
  <c r="J526" i="94"/>
  <c r="G526" i="94"/>
  <c r="E526" i="94"/>
  <c r="W525" i="94"/>
  <c r="V525" i="94"/>
  <c r="S525" i="94"/>
  <c r="P525" i="94"/>
  <c r="M525" i="94"/>
  <c r="J525" i="94"/>
  <c r="G525" i="94"/>
  <c r="W524" i="94"/>
  <c r="V524" i="94"/>
  <c r="S524" i="94"/>
  <c r="P524" i="94"/>
  <c r="M524" i="94"/>
  <c r="J524" i="94"/>
  <c r="G524" i="94"/>
  <c r="W523" i="94"/>
  <c r="O523" i="94"/>
  <c r="W522" i="94"/>
  <c r="W521" i="94"/>
  <c r="V521" i="94"/>
  <c r="S521" i="94"/>
  <c r="P521" i="94"/>
  <c r="M521" i="94"/>
  <c r="J521" i="94"/>
  <c r="G521" i="94"/>
  <c r="C521" i="94"/>
  <c r="W520" i="94"/>
  <c r="V520" i="94"/>
  <c r="S520" i="94"/>
  <c r="P520" i="94"/>
  <c r="M520" i="94"/>
  <c r="J520" i="94"/>
  <c r="G520" i="94"/>
  <c r="W519" i="94"/>
  <c r="V519" i="94"/>
  <c r="S519" i="94"/>
  <c r="P519" i="94"/>
  <c r="M519" i="94"/>
  <c r="J519" i="94"/>
  <c r="G519" i="94"/>
  <c r="W518" i="94"/>
  <c r="V518" i="94"/>
  <c r="S518" i="94"/>
  <c r="P518" i="94"/>
  <c r="M518" i="94"/>
  <c r="J518" i="94"/>
  <c r="G518" i="94"/>
  <c r="W517" i="94"/>
  <c r="V517" i="94"/>
  <c r="S517" i="94"/>
  <c r="P517" i="94"/>
  <c r="M517" i="94"/>
  <c r="J517" i="94"/>
  <c r="G517" i="94"/>
  <c r="W516" i="94"/>
  <c r="V516" i="94"/>
  <c r="S516" i="94"/>
  <c r="P516" i="94"/>
  <c r="M516" i="94"/>
  <c r="J516" i="94"/>
  <c r="G516" i="94"/>
  <c r="W515" i="94"/>
  <c r="V515" i="94"/>
  <c r="S515" i="94"/>
  <c r="P515" i="94"/>
  <c r="M515" i="94"/>
  <c r="J515" i="94"/>
  <c r="G515" i="94"/>
  <c r="W514" i="94"/>
  <c r="V514" i="94"/>
  <c r="S514" i="94"/>
  <c r="P514" i="94"/>
  <c r="M514" i="94"/>
  <c r="J514" i="94"/>
  <c r="G514" i="94"/>
  <c r="W513" i="94"/>
  <c r="V513" i="94"/>
  <c r="S513" i="94"/>
  <c r="P513" i="94"/>
  <c r="M513" i="94"/>
  <c r="J513" i="94"/>
  <c r="G513" i="94"/>
  <c r="E513" i="94"/>
  <c r="W512" i="94"/>
  <c r="V512" i="94"/>
  <c r="S512" i="94"/>
  <c r="P512" i="94"/>
  <c r="M512" i="94"/>
  <c r="J512" i="94"/>
  <c r="G512" i="94"/>
  <c r="W511" i="94"/>
  <c r="V511" i="94"/>
  <c r="S511" i="94"/>
  <c r="P511" i="94"/>
  <c r="M511" i="94"/>
  <c r="J511" i="94"/>
  <c r="G511" i="94"/>
  <c r="W510" i="94"/>
  <c r="O510" i="94"/>
  <c r="W509" i="94"/>
  <c r="W508" i="94"/>
  <c r="V508" i="94"/>
  <c r="S508" i="94"/>
  <c r="P508" i="94"/>
  <c r="M508" i="94"/>
  <c r="J508" i="94"/>
  <c r="G508" i="94"/>
  <c r="C508" i="94"/>
  <c r="W507" i="94"/>
  <c r="V507" i="94"/>
  <c r="S507" i="94"/>
  <c r="P507" i="94"/>
  <c r="M507" i="94"/>
  <c r="J507" i="94"/>
  <c r="G507" i="94"/>
  <c r="C507" i="94"/>
  <c r="W506" i="94"/>
  <c r="V506" i="94"/>
  <c r="S506" i="94"/>
  <c r="P506" i="94"/>
  <c r="M506" i="94"/>
  <c r="J506" i="94"/>
  <c r="G506" i="94"/>
  <c r="W505" i="94"/>
  <c r="V505" i="94"/>
  <c r="S505" i="94"/>
  <c r="P505" i="94"/>
  <c r="M505" i="94"/>
  <c r="J505" i="94"/>
  <c r="G505" i="94"/>
  <c r="W504" i="94"/>
  <c r="V504" i="94"/>
  <c r="S504" i="94"/>
  <c r="P504" i="94"/>
  <c r="M504" i="94"/>
  <c r="J504" i="94"/>
  <c r="G504" i="94"/>
  <c r="W503" i="94"/>
  <c r="V503" i="94"/>
  <c r="S503" i="94"/>
  <c r="P503" i="94"/>
  <c r="M503" i="94"/>
  <c r="J503" i="94"/>
  <c r="G503" i="94"/>
  <c r="W502" i="94"/>
  <c r="V502" i="94"/>
  <c r="S502" i="94"/>
  <c r="P502" i="94"/>
  <c r="M502" i="94"/>
  <c r="J502" i="94"/>
  <c r="G502" i="94"/>
  <c r="W501" i="94"/>
  <c r="V501" i="94"/>
  <c r="S501" i="94"/>
  <c r="P501" i="94"/>
  <c r="M501" i="94"/>
  <c r="J501" i="94"/>
  <c r="G501" i="94"/>
  <c r="W500" i="94"/>
  <c r="V500" i="94"/>
  <c r="S500" i="94"/>
  <c r="P500" i="94"/>
  <c r="M500" i="94"/>
  <c r="J500" i="94"/>
  <c r="G500" i="94"/>
  <c r="W499" i="94"/>
  <c r="V499" i="94"/>
  <c r="S499" i="94"/>
  <c r="P499" i="94"/>
  <c r="M499" i="94"/>
  <c r="J499" i="94"/>
  <c r="G499" i="94"/>
  <c r="W498" i="94"/>
  <c r="V498" i="94"/>
  <c r="S498" i="94"/>
  <c r="P498" i="94"/>
  <c r="M498" i="94"/>
  <c r="J498" i="94"/>
  <c r="G498" i="94"/>
  <c r="W497" i="94"/>
  <c r="V497" i="94"/>
  <c r="S497" i="94"/>
  <c r="P497" i="94"/>
  <c r="M497" i="94"/>
  <c r="J497" i="94"/>
  <c r="G497" i="94"/>
  <c r="W496" i="94"/>
  <c r="O496" i="94"/>
  <c r="W494" i="94"/>
  <c r="W492" i="94"/>
  <c r="V492" i="94"/>
  <c r="S492" i="94"/>
  <c r="P492" i="94"/>
  <c r="M492" i="94"/>
  <c r="J492" i="94"/>
  <c r="G492" i="94"/>
  <c r="W491" i="94"/>
  <c r="O491" i="94"/>
  <c r="W489" i="94"/>
  <c r="W488" i="94"/>
  <c r="W487" i="94"/>
  <c r="W486" i="94"/>
  <c r="S486" i="94"/>
  <c r="P486" i="94"/>
  <c r="M486" i="94"/>
  <c r="J486" i="94"/>
  <c r="G486" i="94"/>
  <c r="C486" i="94"/>
  <c r="W485" i="94"/>
  <c r="O485" i="94"/>
  <c r="W483" i="94"/>
  <c r="W482" i="94"/>
  <c r="V482" i="94"/>
  <c r="S482" i="94"/>
  <c r="P482" i="94"/>
  <c r="M482" i="94"/>
  <c r="J482" i="94"/>
  <c r="G482" i="94"/>
  <c r="F482" i="94"/>
  <c r="D482" i="94"/>
  <c r="W481" i="94"/>
  <c r="V481" i="94"/>
  <c r="S481" i="94"/>
  <c r="P481" i="94"/>
  <c r="M481" i="94"/>
  <c r="J481" i="94"/>
  <c r="G481" i="94"/>
  <c r="F481" i="94"/>
  <c r="D481" i="94"/>
  <c r="W480" i="94"/>
  <c r="V480" i="94"/>
  <c r="S480" i="94"/>
  <c r="P480" i="94"/>
  <c r="M480" i="94"/>
  <c r="J480" i="94"/>
  <c r="G480" i="94"/>
  <c r="F480" i="94"/>
  <c r="D480" i="94"/>
  <c r="W479" i="94"/>
  <c r="O479" i="94"/>
  <c r="W478" i="94"/>
  <c r="W477" i="94"/>
  <c r="V477" i="94"/>
  <c r="S477" i="94"/>
  <c r="P477" i="94"/>
  <c r="M477" i="94"/>
  <c r="J477" i="94"/>
  <c r="G477" i="94"/>
  <c r="W476" i="94"/>
  <c r="V476" i="94"/>
  <c r="S476" i="94"/>
  <c r="P476" i="94"/>
  <c r="M476" i="94"/>
  <c r="J476" i="94"/>
  <c r="G476" i="94"/>
  <c r="W475" i="94"/>
  <c r="V475" i="94"/>
  <c r="S475" i="94"/>
  <c r="P475" i="94"/>
  <c r="M475" i="94"/>
  <c r="J475" i="94"/>
  <c r="G475" i="94"/>
  <c r="W474" i="94"/>
  <c r="V474" i="94"/>
  <c r="S474" i="94"/>
  <c r="P474" i="94"/>
  <c r="M474" i="94"/>
  <c r="J474" i="94"/>
  <c r="G474" i="94"/>
  <c r="W473" i="94"/>
  <c r="O473" i="94"/>
  <c r="W472" i="94"/>
  <c r="W471" i="94"/>
  <c r="V471" i="94"/>
  <c r="S471" i="94"/>
  <c r="J471" i="94"/>
  <c r="G471" i="94"/>
  <c r="W470" i="94"/>
  <c r="V470" i="94"/>
  <c r="S470" i="94"/>
  <c r="P470" i="94"/>
  <c r="P472" i="94" s="1"/>
  <c r="M470" i="94"/>
  <c r="M472" i="94" s="1"/>
  <c r="J470" i="94"/>
  <c r="G470" i="94"/>
  <c r="F470" i="94" s="1"/>
  <c r="W469" i="94"/>
  <c r="O469" i="94"/>
  <c r="W468" i="94"/>
  <c r="W467" i="94"/>
  <c r="V467" i="94"/>
  <c r="S467" i="94"/>
  <c r="M467" i="94"/>
  <c r="G467" i="94"/>
  <c r="W466" i="94"/>
  <c r="V466" i="94"/>
  <c r="S466" i="94"/>
  <c r="M466" i="94"/>
  <c r="G466" i="94"/>
  <c r="W465" i="94"/>
  <c r="V465" i="94"/>
  <c r="S465" i="94"/>
  <c r="G465" i="94"/>
  <c r="W464" i="94"/>
  <c r="V464" i="94"/>
  <c r="S464" i="94"/>
  <c r="G464" i="94"/>
  <c r="F464" i="94" s="1"/>
  <c r="W463" i="94"/>
  <c r="O463" i="94"/>
  <c r="W462" i="94"/>
  <c r="W461" i="94"/>
  <c r="V461" i="94"/>
  <c r="S461" i="94"/>
  <c r="P461" i="94"/>
  <c r="M461" i="94"/>
  <c r="J461" i="94"/>
  <c r="G461" i="94"/>
  <c r="C461" i="94"/>
  <c r="W460" i="94"/>
  <c r="V460" i="94"/>
  <c r="S460" i="94"/>
  <c r="P460" i="94"/>
  <c r="M460" i="94"/>
  <c r="J460" i="94"/>
  <c r="G460" i="94"/>
  <c r="C460" i="94"/>
  <c r="W459" i="94"/>
  <c r="V459" i="94"/>
  <c r="S459" i="94"/>
  <c r="P459" i="94"/>
  <c r="M459" i="94"/>
  <c r="J459" i="94"/>
  <c r="G459" i="94"/>
  <c r="C459" i="94"/>
  <c r="W458" i="94"/>
  <c r="V458" i="94"/>
  <c r="S458" i="94"/>
  <c r="P458" i="94"/>
  <c r="M458" i="94"/>
  <c r="J458" i="94"/>
  <c r="G458" i="94"/>
  <c r="W457" i="94"/>
  <c r="V457" i="94"/>
  <c r="S457" i="94"/>
  <c r="P457" i="94"/>
  <c r="M457" i="94"/>
  <c r="J457" i="94"/>
  <c r="G457" i="94"/>
  <c r="W456" i="94"/>
  <c r="V456" i="94"/>
  <c r="S456" i="94"/>
  <c r="P456" i="94"/>
  <c r="M456" i="94"/>
  <c r="J456" i="94"/>
  <c r="G456" i="94"/>
  <c r="W455" i="94"/>
  <c r="V455" i="94"/>
  <c r="S455" i="94"/>
  <c r="P455" i="94"/>
  <c r="M455" i="94"/>
  <c r="J455" i="94"/>
  <c r="G455" i="94"/>
  <c r="W454" i="94"/>
  <c r="V454" i="94"/>
  <c r="S454" i="94"/>
  <c r="P454" i="94"/>
  <c r="M454" i="94"/>
  <c r="J454" i="94"/>
  <c r="G454" i="94"/>
  <c r="W453" i="94"/>
  <c r="V453" i="94"/>
  <c r="S453" i="94"/>
  <c r="P453" i="94"/>
  <c r="M453" i="94"/>
  <c r="J453" i="94"/>
  <c r="G453" i="94"/>
  <c r="W452" i="94"/>
  <c r="O452" i="94"/>
  <c r="V450" i="94"/>
  <c r="D450" i="94"/>
  <c r="A446" i="94"/>
  <c r="W446"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J434" i="94"/>
  <c r="I434" i="94"/>
  <c r="H434" i="94"/>
  <c r="G434" i="94"/>
  <c r="F434" i="94"/>
  <c r="E434" i="94"/>
  <c r="D434" i="94"/>
  <c r="C434" i="94"/>
  <c r="T433" i="94"/>
  <c r="S433" i="94"/>
  <c r="J433" i="94"/>
  <c r="I433" i="94"/>
  <c r="H433" i="94"/>
  <c r="G433" i="94"/>
  <c r="F433" i="94"/>
  <c r="E433" i="94"/>
  <c r="D433" i="94"/>
  <c r="C433" i="94"/>
  <c r="T432" i="94"/>
  <c r="S432" i="94"/>
  <c r="J432" i="94"/>
  <c r="I432" i="94"/>
  <c r="H432" i="94"/>
  <c r="G432" i="94"/>
  <c r="F432" i="94"/>
  <c r="E432" i="94"/>
  <c r="D432" i="94"/>
  <c r="C432" i="94"/>
  <c r="T431" i="94"/>
  <c r="S431" i="94"/>
  <c r="J431" i="94"/>
  <c r="I431" i="94"/>
  <c r="H431" i="94"/>
  <c r="G431" i="94"/>
  <c r="F431" i="94"/>
  <c r="E431" i="94"/>
  <c r="T430" i="94"/>
  <c r="S430" i="94"/>
  <c r="J430" i="94"/>
  <c r="I430" i="94"/>
  <c r="H430" i="94"/>
  <c r="G430" i="94"/>
  <c r="F430" i="94"/>
  <c r="E430" i="94"/>
  <c r="T429" i="94"/>
  <c r="S429" i="94"/>
  <c r="J429" i="94"/>
  <c r="I429" i="94"/>
  <c r="H429" i="94"/>
  <c r="G429" i="94"/>
  <c r="F429" i="94"/>
  <c r="E429" i="94"/>
  <c r="T428" i="94"/>
  <c r="S428" i="94"/>
  <c r="J428" i="94"/>
  <c r="I428" i="94"/>
  <c r="H428" i="94"/>
  <c r="G428" i="94"/>
  <c r="F428" i="94"/>
  <c r="E428" i="94"/>
  <c r="T427" i="94"/>
  <c r="S427" i="94"/>
  <c r="J427" i="94"/>
  <c r="I427" i="94"/>
  <c r="H427" i="94"/>
  <c r="G427" i="94"/>
  <c r="F427" i="94"/>
  <c r="E427" i="94"/>
  <c r="T426" i="94"/>
  <c r="S426" i="94"/>
  <c r="J426" i="94"/>
  <c r="I426" i="94"/>
  <c r="H426" i="94"/>
  <c r="G426" i="94"/>
  <c r="F426" i="94"/>
  <c r="E426" i="94"/>
  <c r="T425" i="94"/>
  <c r="S425" i="94"/>
  <c r="J425" i="94"/>
  <c r="I425" i="94"/>
  <c r="H425" i="94"/>
  <c r="G425" i="94"/>
  <c r="F425" i="94"/>
  <c r="E425" i="94"/>
  <c r="T424" i="94"/>
  <c r="S424" i="94"/>
  <c r="J424" i="94"/>
  <c r="I424" i="94"/>
  <c r="H424" i="94"/>
  <c r="G424" i="94"/>
  <c r="F424" i="94"/>
  <c r="E424" i="94"/>
  <c r="Q422" i="94"/>
  <c r="M422" i="94"/>
  <c r="J422" i="94"/>
  <c r="G422" i="94"/>
  <c r="T420" i="94"/>
  <c r="S420" i="94"/>
  <c r="Q420" i="94"/>
  <c r="O420" i="94"/>
  <c r="E1668" i="94" s="1"/>
  <c r="N420" i="94"/>
  <c r="M420" i="94"/>
  <c r="L420" i="94"/>
  <c r="K420" i="94"/>
  <c r="J420" i="94"/>
  <c r="I420" i="94"/>
  <c r="H420" i="94"/>
  <c r="G420" i="94"/>
  <c r="F420" i="94"/>
  <c r="E420" i="94"/>
  <c r="T419" i="94"/>
  <c r="S419" i="94"/>
  <c r="J419" i="94"/>
  <c r="I419" i="94"/>
  <c r="H419" i="94"/>
  <c r="G419" i="94"/>
  <c r="F419" i="94"/>
  <c r="E419" i="94"/>
  <c r="T418" i="94"/>
  <c r="S418" i="94"/>
  <c r="Q418" i="94"/>
  <c r="O418" i="94"/>
  <c r="N418" i="94"/>
  <c r="M418" i="94"/>
  <c r="L418" i="94"/>
  <c r="K418" i="94"/>
  <c r="J418" i="94"/>
  <c r="I418" i="94"/>
  <c r="H418" i="94"/>
  <c r="G418" i="94"/>
  <c r="F418" i="94"/>
  <c r="E418" i="94"/>
  <c r="D418" i="94"/>
  <c r="C418" i="94"/>
  <c r="T417" i="94"/>
  <c r="S417" i="94"/>
  <c r="Q417" i="94"/>
  <c r="O417" i="94"/>
  <c r="N417" i="94"/>
  <c r="M417" i="94"/>
  <c r="L417" i="94"/>
  <c r="K417" i="94"/>
  <c r="J417" i="94"/>
  <c r="I417" i="94"/>
  <c r="H417" i="94"/>
  <c r="G417" i="94"/>
  <c r="F417" i="94"/>
  <c r="E417" i="94"/>
  <c r="T416" i="94"/>
  <c r="S416" i="94"/>
  <c r="Q416" i="94"/>
  <c r="O416" i="94"/>
  <c r="N416" i="94"/>
  <c r="M416" i="94"/>
  <c r="L416" i="94"/>
  <c r="K416" i="94"/>
  <c r="J416" i="94"/>
  <c r="I416" i="94"/>
  <c r="H416" i="94"/>
  <c r="G416" i="94"/>
  <c r="F416" i="94"/>
  <c r="E416" i="94"/>
  <c r="T415" i="94"/>
  <c r="S415" i="94"/>
  <c r="Q415" i="94"/>
  <c r="O415" i="94"/>
  <c r="N415" i="94"/>
  <c r="M415" i="94"/>
  <c r="L415" i="94"/>
  <c r="K415" i="94"/>
  <c r="J415" i="94"/>
  <c r="I415" i="94"/>
  <c r="H415" i="94"/>
  <c r="G415" i="94"/>
  <c r="F415" i="94"/>
  <c r="E415" i="94"/>
  <c r="S412" i="94"/>
  <c r="T410" i="94"/>
  <c r="S410" i="94"/>
  <c r="T409" i="94"/>
  <c r="S409" i="94"/>
  <c r="T408" i="94"/>
  <c r="S408" i="94"/>
  <c r="T407" i="94"/>
  <c r="S407" i="94"/>
  <c r="M407" i="94"/>
  <c r="L407" i="94"/>
  <c r="K407" i="94"/>
  <c r="J407" i="94"/>
  <c r="I407" i="94"/>
  <c r="H407" i="94"/>
  <c r="G407" i="94"/>
  <c r="F407" i="94"/>
  <c r="E407" i="94"/>
  <c r="D407" i="94"/>
  <c r="T406" i="94"/>
  <c r="S406" i="94"/>
  <c r="M406" i="94"/>
  <c r="L406" i="94"/>
  <c r="K406" i="94"/>
  <c r="J406" i="94"/>
  <c r="I406" i="94"/>
  <c r="H406" i="94"/>
  <c r="G406" i="94"/>
  <c r="F406" i="94"/>
  <c r="E406" i="94"/>
  <c r="D406" i="94"/>
  <c r="T405" i="94"/>
  <c r="S405" i="94"/>
  <c r="M405" i="94"/>
  <c r="L405" i="94"/>
  <c r="K405" i="94"/>
  <c r="J405" i="94"/>
  <c r="I405" i="94"/>
  <c r="H405" i="94"/>
  <c r="G405" i="94"/>
  <c r="F405" i="94"/>
  <c r="E405" i="94"/>
  <c r="D405" i="94"/>
  <c r="T404" i="94"/>
  <c r="S404" i="94"/>
  <c r="M404" i="94"/>
  <c r="L404" i="94"/>
  <c r="K404" i="94"/>
  <c r="J404" i="94"/>
  <c r="I404" i="94"/>
  <c r="H404" i="94"/>
  <c r="T403" i="94"/>
  <c r="S403" i="94"/>
  <c r="M403" i="94"/>
  <c r="L403" i="94"/>
  <c r="K403" i="94"/>
  <c r="J403" i="94"/>
  <c r="I403" i="94"/>
  <c r="H403" i="94"/>
  <c r="T402" i="94"/>
  <c r="S402" i="94"/>
  <c r="M402" i="94"/>
  <c r="L402" i="94"/>
  <c r="K402" i="94"/>
  <c r="J402" i="94"/>
  <c r="I402" i="94"/>
  <c r="H402" i="94"/>
  <c r="T401" i="94"/>
  <c r="S401" i="94"/>
  <c r="M401" i="94"/>
  <c r="L401" i="94"/>
  <c r="K401" i="94"/>
  <c r="J401" i="94"/>
  <c r="I401" i="94"/>
  <c r="H401" i="94"/>
  <c r="T400" i="94"/>
  <c r="S400" i="94"/>
  <c r="M400" i="94"/>
  <c r="L400" i="94"/>
  <c r="K400" i="94"/>
  <c r="J400" i="94"/>
  <c r="I400" i="94"/>
  <c r="H400" i="94"/>
  <c r="T399" i="94"/>
  <c r="S399" i="94"/>
  <c r="Q399" i="94"/>
  <c r="P399" i="94"/>
  <c r="O399" i="94"/>
  <c r="N399" i="94"/>
  <c r="M399" i="94"/>
  <c r="L399" i="94"/>
  <c r="K399" i="94"/>
  <c r="J399" i="94"/>
  <c r="I399" i="94"/>
  <c r="H399" i="94"/>
  <c r="T398" i="94"/>
  <c r="S398" i="94"/>
  <c r="Q398" i="94"/>
  <c r="P398" i="94"/>
  <c r="O398" i="94"/>
  <c r="N398" i="94"/>
  <c r="M398" i="94"/>
  <c r="L398" i="94"/>
  <c r="K398" i="94"/>
  <c r="J398" i="94"/>
  <c r="I398" i="94"/>
  <c r="H398" i="94"/>
  <c r="T397" i="94"/>
  <c r="S397" i="94"/>
  <c r="Q397" i="94"/>
  <c r="P397" i="94"/>
  <c r="O397" i="94"/>
  <c r="N397" i="94"/>
  <c r="M397" i="94"/>
  <c r="L397" i="94"/>
  <c r="K397" i="94"/>
  <c r="J397" i="94"/>
  <c r="I397" i="94"/>
  <c r="H397" i="94"/>
  <c r="S394" i="94"/>
  <c r="L391" i="94"/>
  <c r="J391" i="94"/>
  <c r="I391" i="94"/>
  <c r="E391" i="94"/>
  <c r="B391" i="94"/>
  <c r="T390" i="94"/>
  <c r="S390" i="94"/>
  <c r="L390" i="94"/>
  <c r="J390" i="94"/>
  <c r="I390" i="94"/>
  <c r="H390" i="94"/>
  <c r="G390" i="94"/>
  <c r="F390" i="94"/>
  <c r="B390" i="94"/>
  <c r="T389" i="94"/>
  <c r="S389" i="94"/>
  <c r="L389" i="94"/>
  <c r="J389" i="94"/>
  <c r="I389" i="94"/>
  <c r="H389" i="94"/>
  <c r="G389" i="94"/>
  <c r="F389" i="94"/>
  <c r="E389" i="94"/>
  <c r="B389" i="94"/>
  <c r="T388" i="94"/>
  <c r="S388" i="94"/>
  <c r="L388" i="94"/>
  <c r="J388" i="94"/>
  <c r="I388" i="94"/>
  <c r="H388" i="94"/>
  <c r="G388" i="94"/>
  <c r="F388" i="94"/>
  <c r="B388" i="94"/>
  <c r="T387" i="94"/>
  <c r="S387" i="94"/>
  <c r="L387" i="94"/>
  <c r="J387" i="94"/>
  <c r="I387" i="94"/>
  <c r="H387" i="94"/>
  <c r="G387" i="94"/>
  <c r="F387" i="94"/>
  <c r="E387" i="94"/>
  <c r="B387" i="94"/>
  <c r="T386" i="94"/>
  <c r="S386" i="94"/>
  <c r="L386" i="94"/>
  <c r="J386" i="94"/>
  <c r="I386" i="94"/>
  <c r="H386" i="94"/>
  <c r="E386" i="94"/>
  <c r="B386" i="94"/>
  <c r="T385" i="94"/>
  <c r="S385" i="94"/>
  <c r="L385" i="94"/>
  <c r="E385" i="94"/>
  <c r="B385" i="94"/>
  <c r="T384" i="94"/>
  <c r="S384" i="94"/>
  <c r="L384" i="94"/>
  <c r="J384" i="94"/>
  <c r="I384" i="94"/>
  <c r="H384" i="94"/>
  <c r="B384" i="94"/>
  <c r="T383" i="94"/>
  <c r="S383" i="94"/>
  <c r="L383" i="94"/>
  <c r="I383" i="94"/>
  <c r="H383" i="94"/>
  <c r="E383" i="94"/>
  <c r="B383" i="94"/>
  <c r="T382" i="94"/>
  <c r="S382" i="94"/>
  <c r="L382" i="94"/>
  <c r="I382" i="94"/>
  <c r="H382" i="94"/>
  <c r="E382" i="94"/>
  <c r="B382"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S348" i="94"/>
  <c r="R348" i="94"/>
  <c r="Q348" i="94"/>
  <c r="P348" i="94"/>
  <c r="O348" i="94"/>
  <c r="N348" i="94"/>
  <c r="M348" i="94"/>
  <c r="L348" i="94"/>
  <c r="K348" i="94"/>
  <c r="J348" i="94"/>
  <c r="I348" i="94"/>
  <c r="H348" i="94"/>
  <c r="G348" i="94"/>
  <c r="F348" i="94"/>
  <c r="E348" i="94"/>
  <c r="D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Q336" i="94"/>
  <c r="H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8" i="94"/>
  <c r="J268" i="94"/>
  <c r="H268" i="94"/>
  <c r="Q267" i="94"/>
  <c r="L267" i="94"/>
  <c r="H267" i="94"/>
  <c r="Q266" i="94"/>
  <c r="L266" i="94"/>
  <c r="H266" i="94"/>
  <c r="Q265" i="94"/>
  <c r="H265" i="94"/>
  <c r="Q264" i="94"/>
  <c r="H264"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J236" i="94"/>
  <c r="H236" i="94"/>
  <c r="Q235" i="94"/>
  <c r="L235" i="94"/>
  <c r="H235" i="94"/>
  <c r="Q234" i="94"/>
  <c r="L234" i="94"/>
  <c r="H234" i="94"/>
  <c r="Q233" i="94"/>
  <c r="H233" i="94"/>
  <c r="Q232" i="94"/>
  <c r="H232" i="94"/>
  <c r="L227" i="94"/>
  <c r="J227" i="94"/>
  <c r="H227" i="94"/>
  <c r="Q226" i="94"/>
  <c r="M226" i="94"/>
  <c r="J226" i="94"/>
  <c r="H226" i="94"/>
  <c r="Q225" i="94"/>
  <c r="L225" i="94"/>
  <c r="H225" i="94"/>
  <c r="Q224" i="94"/>
  <c r="H224" i="94"/>
  <c r="Q223" i="94"/>
  <c r="H223" i="94"/>
  <c r="O221" i="94"/>
  <c r="A219" i="94"/>
  <c r="P216" i="94"/>
  <c r="O216" i="94"/>
  <c r="N216" i="94"/>
  <c r="M216" i="94"/>
  <c r="L216" i="94"/>
  <c r="K216" i="94"/>
  <c r="J216" i="94"/>
  <c r="I216" i="94"/>
  <c r="H216" i="94"/>
  <c r="G216" i="94"/>
  <c r="F216" i="94"/>
  <c r="E216" i="94"/>
  <c r="D216" i="94"/>
  <c r="C216" i="94"/>
  <c r="B216" i="94"/>
  <c r="A216" i="94"/>
  <c r="I213" i="94"/>
  <c r="H213" i="94"/>
  <c r="I212" i="94"/>
  <c r="H212" i="94"/>
  <c r="I211" i="94"/>
  <c r="H211" i="94"/>
  <c r="P208" i="94"/>
  <c r="O208" i="94"/>
  <c r="I208" i="94"/>
  <c r="P207" i="94"/>
  <c r="O207" i="94"/>
  <c r="I207" i="94"/>
  <c r="P206" i="94"/>
  <c r="I206" i="94"/>
  <c r="P205" i="94"/>
  <c r="O205" i="94"/>
  <c r="N205" i="94"/>
  <c r="I205" i="94"/>
  <c r="P204" i="94"/>
  <c r="I204" i="94"/>
  <c r="P203" i="94"/>
  <c r="I203" i="94"/>
  <c r="P200" i="94"/>
  <c r="P199" i="94"/>
  <c r="I199" i="94"/>
  <c r="I197" i="94"/>
  <c r="P195" i="94"/>
  <c r="L195" i="94"/>
  <c r="I195" i="94"/>
  <c r="P194" i="94"/>
  <c r="L194" i="94"/>
  <c r="I194" i="94"/>
  <c r="L192" i="94"/>
  <c r="I192" i="94"/>
  <c r="P191" i="94"/>
  <c r="O191" i="94"/>
  <c r="N191" i="94"/>
  <c r="M191" i="94"/>
  <c r="L191" i="94"/>
  <c r="K191" i="94"/>
  <c r="J191" i="94"/>
  <c r="H191" i="94"/>
  <c r="G191" i="94"/>
  <c r="F191" i="94"/>
  <c r="E191" i="94"/>
  <c r="D191" i="94"/>
  <c r="P190" i="94"/>
  <c r="O190" i="94"/>
  <c r="N190" i="94"/>
  <c r="L190" i="94"/>
  <c r="K190" i="94"/>
  <c r="J190" i="94"/>
  <c r="H190" i="94"/>
  <c r="G190" i="94"/>
  <c r="E190" i="94"/>
  <c r="D190" i="94"/>
  <c r="P189" i="94"/>
  <c r="L1879" i="94" s="1"/>
  <c r="O189" i="94"/>
  <c r="N189" i="94"/>
  <c r="L189" i="94"/>
  <c r="K189" i="94"/>
  <c r="J189" i="94"/>
  <c r="H189" i="94"/>
  <c r="G189" i="94"/>
  <c r="F189" i="94"/>
  <c r="E189" i="94"/>
  <c r="D189" i="94"/>
  <c r="P188" i="94"/>
  <c r="O188" i="94"/>
  <c r="N188" i="94"/>
  <c r="H188" i="94"/>
  <c r="G188" i="94"/>
  <c r="F188" i="94"/>
  <c r="E188" i="94"/>
  <c r="D188" i="94"/>
  <c r="I186" i="94"/>
  <c r="I185" i="94"/>
  <c r="I184" i="94"/>
  <c r="I183" i="94"/>
  <c r="I178" i="94"/>
  <c r="I176" i="94"/>
  <c r="O175" i="94"/>
  <c r="I175" i="94"/>
  <c r="J173" i="94"/>
  <c r="I173" i="94"/>
  <c r="P172" i="94"/>
  <c r="O172" i="94"/>
  <c r="I172" i="94"/>
  <c r="P171" i="94"/>
  <c r="O171" i="94"/>
  <c r="I171" i="94"/>
  <c r="I170" i="94"/>
  <c r="I169"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J136" i="94"/>
  <c r="I136" i="94"/>
  <c r="G136" i="94"/>
  <c r="F136" i="94"/>
  <c r="E136" i="94"/>
  <c r="P135" i="94"/>
  <c r="O135" i="94"/>
  <c r="N135" i="94"/>
  <c r="M135" i="94"/>
  <c r="K135" i="94"/>
  <c r="J135" i="94"/>
  <c r="I135" i="94"/>
  <c r="G135" i="94"/>
  <c r="F135" i="94"/>
  <c r="E135" i="94"/>
  <c r="P134" i="94"/>
  <c r="O134" i="94"/>
  <c r="L134" i="94"/>
  <c r="K134" i="94"/>
  <c r="I134" i="94"/>
  <c r="G134" i="94"/>
  <c r="F134" i="94"/>
  <c r="E134" i="94"/>
  <c r="P133" i="94"/>
  <c r="O133" i="94"/>
  <c r="L133" i="94"/>
  <c r="K133" i="94"/>
  <c r="J133" i="94"/>
  <c r="I133" i="94"/>
  <c r="H133" i="94"/>
  <c r="G133" i="94"/>
  <c r="F133" i="94"/>
  <c r="E133" i="94"/>
  <c r="P132" i="94"/>
  <c r="O132" i="94"/>
  <c r="L132" i="94"/>
  <c r="K132" i="94"/>
  <c r="J132" i="94"/>
  <c r="I132" i="94"/>
  <c r="H132" i="94"/>
  <c r="G132" i="94"/>
  <c r="F132" i="94"/>
  <c r="E132" i="94"/>
  <c r="I128" i="94"/>
  <c r="H128" i="94"/>
  <c r="H126" i="94"/>
  <c r="P124" i="94"/>
  <c r="H124" i="94"/>
  <c r="P123" i="94"/>
  <c r="H123" i="94"/>
  <c r="P119" i="94"/>
  <c r="M117" i="94"/>
  <c r="L117" i="94"/>
  <c r="K117" i="94"/>
  <c r="P113" i="94"/>
  <c r="H113" i="94"/>
  <c r="P111" i="94"/>
  <c r="H111" i="94"/>
  <c r="P110" i="94"/>
  <c r="H110" i="94"/>
  <c r="N111" i="94" s="1"/>
  <c r="P108" i="94"/>
  <c r="O108" i="94"/>
  <c r="M108" i="94"/>
  <c r="O107" i="94"/>
  <c r="K1880" i="94" s="1"/>
  <c r="M107" i="94"/>
  <c r="P1755" i="94" s="1"/>
  <c r="P105" i="94"/>
  <c r="O105" i="94"/>
  <c r="N105" i="94"/>
  <c r="M105" i="94"/>
  <c r="I105" i="94"/>
  <c r="H105" i="94"/>
  <c r="H101" i="94"/>
  <c r="H98" i="94"/>
  <c r="P97" i="94"/>
  <c r="H97" i="94"/>
  <c r="H81" i="94"/>
  <c r="P79" i="94"/>
  <c r="P72" i="94"/>
  <c r="O72" i="94"/>
  <c r="N72" i="94"/>
  <c r="M72" i="94"/>
  <c r="K72" i="94"/>
  <c r="J72" i="94"/>
  <c r="I72" i="94"/>
  <c r="G72" i="94"/>
  <c r="F72" i="94"/>
  <c r="P71" i="94"/>
  <c r="O71" i="94"/>
  <c r="N71" i="94"/>
  <c r="M71" i="94"/>
  <c r="K71" i="94"/>
  <c r="J71" i="94"/>
  <c r="I71" i="94"/>
  <c r="H71" i="94"/>
  <c r="G71" i="94"/>
  <c r="F71" i="94"/>
  <c r="K70" i="94"/>
  <c r="J70" i="94"/>
  <c r="H70" i="94"/>
  <c r="G70" i="94"/>
  <c r="F70" i="94"/>
  <c r="P69" i="94"/>
  <c r="O69" i="94"/>
  <c r="N69" i="94"/>
  <c r="M69" i="94"/>
  <c r="K69" i="94"/>
  <c r="J69" i="94"/>
  <c r="I69" i="94"/>
  <c r="H69" i="94"/>
  <c r="G69" i="94"/>
  <c r="F69" i="94"/>
  <c r="K67" i="94"/>
  <c r="J67" i="94"/>
  <c r="I67" i="94"/>
  <c r="H67" i="94"/>
  <c r="G67" i="94"/>
  <c r="F67" i="94"/>
  <c r="K66" i="94"/>
  <c r="J66" i="94"/>
  <c r="I66" i="94"/>
  <c r="H66" i="94"/>
  <c r="G66" i="94"/>
  <c r="F66" i="94"/>
  <c r="P63" i="94"/>
  <c r="F63" i="94"/>
  <c r="P62" i="94"/>
  <c r="N62" i="94"/>
  <c r="H62" i="94"/>
  <c r="G62" i="94"/>
  <c r="F62" i="94"/>
  <c r="P61" i="94"/>
  <c r="O61" i="94"/>
  <c r="E1659" i="94" s="1"/>
  <c r="K61" i="94"/>
  <c r="J61" i="94"/>
  <c r="H61" i="94"/>
  <c r="G61" i="94"/>
  <c r="F61" i="94"/>
  <c r="P60" i="94"/>
  <c r="O60" i="94"/>
  <c r="K60" i="94"/>
  <c r="J60" i="94"/>
  <c r="H60" i="94"/>
  <c r="G60" i="94"/>
  <c r="P59" i="94"/>
  <c r="N59" i="94"/>
  <c r="K59" i="94"/>
  <c r="J59" i="94"/>
  <c r="I59" i="94"/>
  <c r="H59" i="94"/>
  <c r="G59" i="94"/>
  <c r="F59" i="94"/>
  <c r="P58" i="94"/>
  <c r="O58" i="94"/>
  <c r="K58" i="94"/>
  <c r="J58" i="94"/>
  <c r="I58" i="94"/>
  <c r="H58" i="94"/>
  <c r="G58" i="94"/>
  <c r="F58" i="94"/>
  <c r="P57" i="94"/>
  <c r="O57"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K47" i="94"/>
  <c r="J47" i="94"/>
  <c r="I47" i="94"/>
  <c r="H47" i="94"/>
  <c r="G47" i="94"/>
  <c r="F47" i="94"/>
  <c r="P46" i="94"/>
  <c r="O46" i="94"/>
  <c r="M46" i="94"/>
  <c r="K46" i="94"/>
  <c r="J46" i="94"/>
  <c r="H46" i="94"/>
  <c r="G46" i="94"/>
  <c r="F46" i="94"/>
  <c r="J45" i="94"/>
  <c r="H45" i="94"/>
  <c r="G45" i="94"/>
  <c r="F45" i="94"/>
  <c r="L44" i="94"/>
  <c r="K44" i="94"/>
  <c r="J44" i="94"/>
  <c r="I44" i="94"/>
  <c r="H44" i="94"/>
  <c r="G44" i="94"/>
  <c r="F44" i="94"/>
  <c r="P43" i="94"/>
  <c r="O43" i="94"/>
  <c r="N43" i="94"/>
  <c r="L43" i="94"/>
  <c r="K43" i="94"/>
  <c r="J43" i="94"/>
  <c r="H43" i="94"/>
  <c r="G43" i="94"/>
  <c r="F43" i="94"/>
  <c r="P39" i="94"/>
  <c r="O39" i="94"/>
  <c r="N39" i="94"/>
  <c r="F39" i="94"/>
  <c r="P38" i="94"/>
  <c r="O38" i="94"/>
  <c r="K38" i="94"/>
  <c r="J38" i="94"/>
  <c r="I38" i="94"/>
  <c r="H38" i="94"/>
  <c r="G38" i="94"/>
  <c r="F38" i="94"/>
  <c r="P37" i="94"/>
  <c r="O37" i="94"/>
  <c r="N37" i="94"/>
  <c r="F37" i="94"/>
  <c r="O35" i="94"/>
  <c r="O34" i="94"/>
  <c r="F34" i="94"/>
  <c r="A24" i="94" s="1"/>
  <c r="P32" i="94"/>
  <c r="J32" i="94"/>
  <c r="D31" i="94"/>
  <c r="C31" i="94"/>
  <c r="B31" i="94"/>
  <c r="D30" i="94"/>
  <c r="C30" i="94"/>
  <c r="B30" i="94"/>
  <c r="O29" i="94"/>
  <c r="D29" i="94"/>
  <c r="C29" i="94"/>
  <c r="B29" i="94"/>
  <c r="A5" i="94"/>
  <c r="A2" i="94"/>
  <c r="F103" i="92"/>
  <c r="F101" i="92"/>
  <c r="F95" i="92"/>
  <c r="I65" i="92"/>
  <c r="D53" i="92"/>
  <c r="H52" i="92"/>
  <c r="C52" i="92"/>
  <c r="I9" i="92"/>
  <c r="G11" i="91"/>
  <c r="A206" i="90"/>
  <c r="A200" i="90"/>
  <c r="F197" i="90"/>
  <c r="E184" i="90"/>
  <c r="E163" i="90"/>
  <c r="D101" i="90"/>
  <c r="E96" i="90"/>
  <c r="E92" i="90"/>
  <c r="E81" i="90"/>
  <c r="C16" i="90"/>
  <c r="C5" i="90"/>
  <c r="F75" i="89"/>
  <c r="E183" i="90" s="1"/>
  <c r="F73" i="89"/>
  <c r="E171" i="90" s="1"/>
  <c r="F71" i="89"/>
  <c r="E166" i="90" s="1"/>
  <c r="E50" i="89"/>
  <c r="G49" i="89"/>
  <c r="E49" i="89"/>
  <c r="E47" i="89"/>
  <c r="F39" i="89"/>
  <c r="D79" i="90" s="1"/>
  <c r="F30" i="89"/>
  <c r="D62" i="90" s="1"/>
  <c r="E28" i="89"/>
  <c r="E24" i="89"/>
  <c r="E23" i="89"/>
  <c r="E22" i="89"/>
  <c r="E21" i="89"/>
  <c r="E20" i="89"/>
  <c r="E19" i="89"/>
  <c r="C137" i="90" s="1"/>
  <c r="E17" i="89"/>
  <c r="C31" i="90" s="1"/>
  <c r="E16" i="89"/>
  <c r="C30" i="90" s="1"/>
  <c r="F48" i="92" s="1"/>
  <c r="E13" i="89"/>
  <c r="E12" i="89"/>
  <c r="C23" i="90" s="1"/>
  <c r="E11" i="89"/>
  <c r="C25" i="90" s="1"/>
  <c r="E10" i="89"/>
  <c r="C15" i="90" s="1"/>
  <c r="E9" i="89"/>
  <c r="H7" i="92" s="1"/>
  <c r="E8" i="89"/>
  <c r="C19" i="90" s="1"/>
  <c r="C142" i="90" s="1"/>
  <c r="E7" i="89"/>
  <c r="C18" i="90" s="1"/>
  <c r="C141" i="90" s="1"/>
  <c r="K24" i="88"/>
  <c r="K7" i="88"/>
  <c r="H54" i="86"/>
  <c r="G54" i="86"/>
  <c r="F54" i="86"/>
  <c r="E54" i="86"/>
  <c r="D54" i="86"/>
  <c r="H49" i="86"/>
  <c r="G49" i="86"/>
  <c r="F49" i="86"/>
  <c r="E49" i="86"/>
  <c r="D49" i="86"/>
  <c r="C14" i="86"/>
  <c r="O6" i="86"/>
  <c r="O22" i="86" s="1"/>
  <c r="E6" i="86"/>
  <c r="K5" i="86" s="1"/>
  <c r="E5" i="86"/>
  <c r="H4" i="86"/>
  <c r="E4" i="86"/>
  <c r="A206" i="85"/>
  <c r="Q61" i="85"/>
  <c r="O61" i="85"/>
  <c r="N61" i="85"/>
  <c r="L61" i="85"/>
  <c r="C32" i="84"/>
  <c r="B32" i="84"/>
  <c r="C31" i="84"/>
  <c r="B31" i="84"/>
  <c r="C30" i="84"/>
  <c r="C25" i="84"/>
  <c r="K36" i="88" s="1"/>
  <c r="D39" i="88" s="1"/>
  <c r="B25" i="84"/>
  <c r="E16" i="84"/>
  <c r="F19" i="85" s="1"/>
  <c r="C16" i="84"/>
  <c r="D14" i="84"/>
  <c r="C14" i="84"/>
  <c r="F17" i="85" s="1"/>
  <c r="H12" i="84"/>
  <c r="C12" i="84"/>
  <c r="M11" i="84"/>
  <c r="G130" i="90" s="1"/>
  <c r="K11" i="84"/>
  <c r="D130" i="90" s="1"/>
  <c r="H11" i="84"/>
  <c r="C130" i="90" s="1"/>
  <c r="E11" i="84"/>
  <c r="E57" i="90" s="1"/>
  <c r="C11" i="84"/>
  <c r="C57" i="90" s="1"/>
  <c r="K10" i="84"/>
  <c r="C146" i="90" s="1"/>
  <c r="H10" i="84"/>
  <c r="C144" i="90" s="1"/>
  <c r="C10" i="84"/>
  <c r="C55" i="90" s="1"/>
  <c r="H9" i="84"/>
  <c r="E5" i="89" s="1"/>
  <c r="E8" i="84"/>
  <c r="H2" i="91" s="1"/>
  <c r="C8" i="84"/>
  <c r="C28" i="90" s="1"/>
  <c r="G5" i="92" s="1"/>
  <c r="A11" i="83"/>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A2" i="71"/>
  <c r="P449" i="72"/>
  <c r="M448" i="72"/>
  <c r="P440" i="72"/>
  <c r="P1987" i="93" s="1"/>
  <c r="O440" i="72"/>
  <c r="L440" i="72" s="1"/>
  <c r="Q431" i="72"/>
  <c r="Q424" i="72"/>
  <c r="L422" i="72"/>
  <c r="R420" i="72"/>
  <c r="P420" i="72"/>
  <c r="P1968" i="93" s="1"/>
  <c r="O420" i="72"/>
  <c r="E20" i="72" s="1"/>
  <c r="L411" i="72"/>
  <c r="M404" i="72"/>
  <c r="J404" i="72"/>
  <c r="Q391" i="72"/>
  <c r="L391" i="72"/>
  <c r="S386" i="72"/>
  <c r="R386" i="72"/>
  <c r="M409" i="72" s="1"/>
  <c r="M2057" i="94" s="1"/>
  <c r="L386" i="72"/>
  <c r="J409" i="72" s="1"/>
  <c r="J2057" i="94" s="1"/>
  <c r="P384" i="72"/>
  <c r="P1916" i="93" s="1"/>
  <c r="O384" i="72"/>
  <c r="J384" i="72"/>
  <c r="P369" i="72"/>
  <c r="O369" i="72"/>
  <c r="O1901" i="93" s="1"/>
  <c r="L359" i="72"/>
  <c r="I359" i="72"/>
  <c r="G351" i="72"/>
  <c r="G1884" i="93" s="1"/>
  <c r="O343" i="72"/>
  <c r="G343" i="72"/>
  <c r="G1879" i="93" s="1"/>
  <c r="P342" i="72"/>
  <c r="P1878" i="93" s="1"/>
  <c r="P1997" i="93" s="1"/>
  <c r="P334" i="72"/>
  <c r="P1873" i="93" s="1"/>
  <c r="O334" i="72"/>
  <c r="P330" i="72"/>
  <c r="P1871" i="93" s="1"/>
  <c r="O330" i="72"/>
  <c r="O336" i="72" s="1"/>
  <c r="Q323" i="72"/>
  <c r="Q322" i="72"/>
  <c r="Q321" i="72"/>
  <c r="K321" i="72"/>
  <c r="Q318" i="72"/>
  <c r="L318" i="72"/>
  <c r="Q317" i="72"/>
  <c r="L317" i="72"/>
  <c r="Q307" i="72"/>
  <c r="L307" i="72"/>
  <c r="J307" i="72"/>
  <c r="L306" i="72"/>
  <c r="P316" i="72" s="1"/>
  <c r="P1857" i="93" s="1"/>
  <c r="U300" i="72"/>
  <c r="U299" i="72"/>
  <c r="P298" i="72"/>
  <c r="P1840" i="93" s="1"/>
  <c r="O298" i="72"/>
  <c r="E15" i="72" s="1"/>
  <c r="K293" i="72"/>
  <c r="P288" i="72"/>
  <c r="P1834" i="93" s="1"/>
  <c r="O288" i="72"/>
  <c r="O1936" i="94" s="1"/>
  <c r="M282" i="72"/>
  <c r="Q281" i="72"/>
  <c r="G280" i="72"/>
  <c r="O279" i="72" s="1"/>
  <c r="O1826" i="93" s="1"/>
  <c r="J279" i="72"/>
  <c r="K234" i="72"/>
  <c r="L222" i="72"/>
  <c r="L1776" i="93" s="1"/>
  <c r="J222" i="72"/>
  <c r="I213" i="72"/>
  <c r="T211" i="72"/>
  <c r="J211" i="72"/>
  <c r="Q210" i="72"/>
  <c r="L210" i="72"/>
  <c r="L209" i="72"/>
  <c r="L208" i="72"/>
  <c r="Q207" i="72"/>
  <c r="L207" i="72"/>
  <c r="Q206" i="72"/>
  <c r="P205" i="72"/>
  <c r="P1761" i="93" s="1"/>
  <c r="O205" i="72"/>
  <c r="J182" i="72"/>
  <c r="J1736" i="93" s="1"/>
  <c r="I182" i="72"/>
  <c r="I1736" i="93" s="1"/>
  <c r="J181" i="72"/>
  <c r="J1735" i="93" s="1"/>
  <c r="I181" i="72"/>
  <c r="I1829" i="94" s="1"/>
  <c r="J180" i="72"/>
  <c r="J1734" i="93" s="1"/>
  <c r="I180" i="72"/>
  <c r="I1734" i="93" s="1"/>
  <c r="K178" i="72"/>
  <c r="H178" i="72"/>
  <c r="T172" i="72"/>
  <c r="L168" i="72"/>
  <c r="M168" i="72" s="1"/>
  <c r="T168" i="72" s="1"/>
  <c r="L167" i="72"/>
  <c r="M167" i="72" s="1"/>
  <c r="T167" i="72" s="1"/>
  <c r="L166" i="72"/>
  <c r="M166" i="72" s="1"/>
  <c r="T166" i="72" s="1"/>
  <c r="F160" i="72"/>
  <c r="Q137" i="72"/>
  <c r="L137" i="72"/>
  <c r="Q124" i="72"/>
  <c r="Q123" i="72"/>
  <c r="Q122" i="72"/>
  <c r="Q121" i="72"/>
  <c r="Q115" i="72"/>
  <c r="L115" i="72"/>
  <c r="Q109" i="72"/>
  <c r="L109" i="72"/>
  <c r="J109" i="72"/>
  <c r="P107" i="72"/>
  <c r="P1665" i="93" s="1"/>
  <c r="O107" i="72"/>
  <c r="K232" i="72" s="1"/>
  <c r="K1784" i="93" s="1"/>
  <c r="Q100" i="72"/>
  <c r="F98" i="72"/>
  <c r="Q97" i="72"/>
  <c r="Q96" i="72"/>
  <c r="Q95" i="72"/>
  <c r="F90" i="72"/>
  <c r="Q89" i="72"/>
  <c r="Q88" i="72"/>
  <c r="H88" i="72"/>
  <c r="Q87" i="72"/>
  <c r="J72" i="72"/>
  <c r="P86" i="72" s="1"/>
  <c r="P1634" i="93" s="1"/>
  <c r="O71" i="72"/>
  <c r="P58" i="73" s="1"/>
  <c r="Q64" i="72"/>
  <c r="P61" i="72"/>
  <c r="P1611" i="93" s="1"/>
  <c r="O61" i="72"/>
  <c r="E11" i="72" s="1"/>
  <c r="Q53" i="72"/>
  <c r="Q52" i="72"/>
  <c r="L52" i="72"/>
  <c r="P51" i="72"/>
  <c r="O51" i="72"/>
  <c r="K49" i="72"/>
  <c r="O33" i="72"/>
  <c r="P30" i="72" s="1"/>
  <c r="J33" i="72"/>
  <c r="P26" i="72" s="1"/>
  <c r="F33" i="72"/>
  <c r="P25" i="72" s="1"/>
  <c r="O22" i="72"/>
  <c r="F20" i="72"/>
  <c r="F19" i="72"/>
  <c r="E19" i="72"/>
  <c r="F18" i="72"/>
  <c r="F17" i="72"/>
  <c r="E17" i="72"/>
  <c r="F16" i="72"/>
  <c r="F15" i="72"/>
  <c r="F14" i="72"/>
  <c r="F13" i="72"/>
  <c r="Q12" i="72"/>
  <c r="F12" i="72"/>
  <c r="F11" i="72"/>
  <c r="P10" i="72"/>
  <c r="P8" i="72" s="1"/>
  <c r="M6" i="72"/>
  <c r="B6" i="72"/>
  <c r="M403" i="73"/>
  <c r="O390" i="73"/>
  <c r="N390" i="73"/>
  <c r="F384" i="73"/>
  <c r="F1472" i="93" s="1"/>
  <c r="J1472" i="93" s="1"/>
  <c r="AG311" i="73"/>
  <c r="AF311" i="73" s="1"/>
  <c r="AE311" i="73" s="1"/>
  <c r="AD311" i="73" s="1"/>
  <c r="AC311" i="73" s="1"/>
  <c r="AB311" i="73" s="1"/>
  <c r="AA311" i="73" s="1"/>
  <c r="Z311" i="73" s="1"/>
  <c r="N309" i="73"/>
  <c r="AG308" i="73"/>
  <c r="AF308" i="73" s="1"/>
  <c r="AE308" i="73" s="1"/>
  <c r="AD308" i="73" s="1"/>
  <c r="AC308" i="73" s="1"/>
  <c r="AB308" i="73" s="1"/>
  <c r="AA308" i="73" s="1"/>
  <c r="Z308" i="73" s="1"/>
  <c r="N307" i="73"/>
  <c r="M307" i="73" s="1"/>
  <c r="L307" i="73" s="1"/>
  <c r="AG306" i="73"/>
  <c r="AF306" i="73" s="1"/>
  <c r="AE306" i="73" s="1"/>
  <c r="AD306" i="73" s="1"/>
  <c r="AC306" i="73" s="1"/>
  <c r="AB306" i="73" s="1"/>
  <c r="AA306" i="73" s="1"/>
  <c r="Z306" i="73" s="1"/>
  <c r="N306" i="73"/>
  <c r="N241" i="73"/>
  <c r="L167" i="73"/>
  <c r="K167" i="73"/>
  <c r="I167" i="73"/>
  <c r="H167" i="73"/>
  <c r="F167" i="73"/>
  <c r="J73" i="73"/>
  <c r="J1167" i="93" s="1"/>
  <c r="A3" i="73"/>
  <c r="R1" i="73"/>
  <c r="F135" i="74"/>
  <c r="E135" i="74"/>
  <c r="D135" i="74"/>
  <c r="C135" i="74"/>
  <c r="B135" i="74"/>
  <c r="F134" i="74"/>
  <c r="E134" i="74"/>
  <c r="D134" i="74"/>
  <c r="C134" i="74"/>
  <c r="B134" i="74"/>
  <c r="F133" i="74"/>
  <c r="E133" i="74"/>
  <c r="D133" i="74"/>
  <c r="C133" i="74"/>
  <c r="B133" i="74"/>
  <c r="K105" i="74"/>
  <c r="J105" i="74"/>
  <c r="I105" i="74"/>
  <c r="H105" i="74"/>
  <c r="G105" i="74"/>
  <c r="F105" i="74"/>
  <c r="E105" i="74"/>
  <c r="D105" i="74"/>
  <c r="C105" i="74"/>
  <c r="B105" i="74"/>
  <c r="K104" i="74"/>
  <c r="J104" i="74"/>
  <c r="I104" i="74"/>
  <c r="H104" i="74"/>
  <c r="G104" i="74"/>
  <c r="F104" i="74"/>
  <c r="E104" i="74"/>
  <c r="D104" i="74"/>
  <c r="C104" i="74"/>
  <c r="B104" i="74"/>
  <c r="K103" i="74"/>
  <c r="J103" i="74"/>
  <c r="I103" i="74"/>
  <c r="H103" i="74"/>
  <c r="G103" i="74"/>
  <c r="F103" i="74"/>
  <c r="E103" i="74"/>
  <c r="D103" i="74"/>
  <c r="C103" i="74"/>
  <c r="B103" i="74"/>
  <c r="K75" i="74"/>
  <c r="K1027" i="93" s="1"/>
  <c r="J75" i="74"/>
  <c r="J1027" i="93" s="1"/>
  <c r="I75" i="74"/>
  <c r="H75" i="74"/>
  <c r="H1027" i="93" s="1"/>
  <c r="K74" i="74"/>
  <c r="J74" i="74"/>
  <c r="I74" i="74"/>
  <c r="H74" i="74"/>
  <c r="G74" i="74"/>
  <c r="F74" i="74"/>
  <c r="E74" i="74"/>
  <c r="D74" i="74"/>
  <c r="C74" i="74"/>
  <c r="B74" i="74"/>
  <c r="K73" i="74"/>
  <c r="J73" i="74"/>
  <c r="I73" i="74"/>
  <c r="H73" i="74"/>
  <c r="G73" i="74"/>
  <c r="F73" i="74"/>
  <c r="E73" i="74"/>
  <c r="D73" i="74"/>
  <c r="C73" i="74"/>
  <c r="B73" i="74"/>
  <c r="K72" i="74"/>
  <c r="J72" i="74"/>
  <c r="I72" i="74"/>
  <c r="H72" i="74"/>
  <c r="G72" i="74"/>
  <c r="F72" i="74"/>
  <c r="E72" i="74"/>
  <c r="D72" i="74"/>
  <c r="C72" i="74"/>
  <c r="B72" i="74"/>
  <c r="A68" i="74"/>
  <c r="A99" i="74" s="1"/>
  <c r="A129" i="74" s="1"/>
  <c r="A60" i="74"/>
  <c r="A92" i="74" s="1"/>
  <c r="A122" i="74" s="1"/>
  <c r="A59" i="74"/>
  <c r="A91" i="74" s="1"/>
  <c r="A121" i="74" s="1"/>
  <c r="A58" i="74"/>
  <c r="A90" i="74" s="1"/>
  <c r="A120" i="74" s="1"/>
  <c r="A57" i="74"/>
  <c r="A89" i="74" s="1"/>
  <c r="A119" i="74" s="1"/>
  <c r="B43" i="74"/>
  <c r="K42" i="74"/>
  <c r="J42" i="74"/>
  <c r="I42" i="74"/>
  <c r="H42" i="74"/>
  <c r="G42" i="74"/>
  <c r="F42" i="74"/>
  <c r="E42" i="74"/>
  <c r="D42" i="74"/>
  <c r="C42" i="74"/>
  <c r="B42" i="74"/>
  <c r="K41" i="74"/>
  <c r="J41" i="74"/>
  <c r="I41" i="74"/>
  <c r="H41" i="74"/>
  <c r="G41" i="74"/>
  <c r="F41" i="74"/>
  <c r="E41" i="74"/>
  <c r="D41" i="74"/>
  <c r="C41" i="74"/>
  <c r="B41" i="74"/>
  <c r="K40" i="74"/>
  <c r="J40" i="74"/>
  <c r="I40" i="74"/>
  <c r="H40" i="74"/>
  <c r="G40" i="74"/>
  <c r="F40" i="74"/>
  <c r="E40" i="74"/>
  <c r="G11" i="86" s="1"/>
  <c r="D40" i="74"/>
  <c r="C40" i="74"/>
  <c r="B40" i="74"/>
  <c r="A35" i="74"/>
  <c r="A67" i="74" s="1"/>
  <c r="A98" i="74" s="1"/>
  <c r="A128" i="74" s="1"/>
  <c r="A34" i="74"/>
  <c r="A66" i="74" s="1"/>
  <c r="A97" i="74" s="1"/>
  <c r="A127" i="74" s="1"/>
  <c r="A33" i="74"/>
  <c r="A65" i="74" s="1"/>
  <c r="A96" i="74" s="1"/>
  <c r="A126" i="74" s="1"/>
  <c r="B30" i="74"/>
  <c r="B53" i="82" s="1"/>
  <c r="B23" i="74"/>
  <c r="B1038" i="94" s="1"/>
  <c r="B21" i="74"/>
  <c r="P221" i="75" s="1"/>
  <c r="P983" i="94" s="1"/>
  <c r="R20" i="74"/>
  <c r="C13" i="74"/>
  <c r="C23" i="74" s="1"/>
  <c r="C1038" i="94" s="1"/>
  <c r="N11" i="74"/>
  <c r="C8" i="74"/>
  <c r="G6" i="74"/>
  <c r="N3" i="74"/>
  <c r="C3" i="74"/>
  <c r="P243" i="75"/>
  <c r="P1005" i="94" s="1"/>
  <c r="F239" i="75"/>
  <c r="C59" i="84" s="1"/>
  <c r="I59" i="84" s="1"/>
  <c r="K236" i="75"/>
  <c r="C60" i="84" s="1"/>
  <c r="F228" i="75"/>
  <c r="K226" i="75"/>
  <c r="F219" i="75"/>
  <c r="P218" i="75"/>
  <c r="C61" i="84" s="1"/>
  <c r="K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33" i="75"/>
  <c r="R114" i="75"/>
  <c r="O111" i="75"/>
  <c r="O110" i="75"/>
  <c r="N54" i="66" s="1"/>
  <c r="R91" i="75"/>
  <c r="R90" i="75"/>
  <c r="R80" i="75"/>
  <c r="R53" i="75"/>
  <c r="K53" i="75"/>
  <c r="K133" i="75" s="1"/>
  <c r="F49" i="75"/>
  <c r="E49" i="75"/>
  <c r="B49" i="75"/>
  <c r="B811" i="94" s="1"/>
  <c r="MT48" i="75"/>
  <c r="F48" i="75"/>
  <c r="E48"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K46" i="75" s="1"/>
  <c r="L46" i="75" s="1"/>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I45" i="75"/>
  <c r="K45" i="75" s="1"/>
  <c r="L45" i="75" s="1"/>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K43" i="75" s="1"/>
  <c r="L43" i="75" s="1"/>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K42" i="75" s="1"/>
  <c r="L42" i="75" s="1"/>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K38" i="75" s="1"/>
  <c r="L38" i="75" s="1"/>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I37" i="75"/>
  <c r="K37" i="75" s="1"/>
  <c r="L37" i="75" s="1"/>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I36" i="75"/>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K35" i="75" s="1"/>
  <c r="L35" i="75" s="1"/>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K34" i="75" s="1"/>
  <c r="L34" i="75" s="1"/>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R787" i="93" s="1"/>
  <c r="Q30" i="75"/>
  <c r="I30" i="75"/>
  <c r="K30" i="75" s="1"/>
  <c r="L30" i="75" s="1"/>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K29" i="75" s="1"/>
  <c r="L29" i="75" s="1"/>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K28" i="75" s="1"/>
  <c r="L28" i="75" s="1"/>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K27" i="75" s="1"/>
  <c r="L27" i="75" s="1"/>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K26" i="75" s="1"/>
  <c r="L26" i="75" s="1"/>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Q25" i="75"/>
  <c r="I25" i="75"/>
  <c r="K25" i="75" s="1"/>
  <c r="L25" i="75" s="1"/>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Q24" i="75"/>
  <c r="I24" i="75"/>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Q23" i="75"/>
  <c r="I23" i="75"/>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R22" i="75"/>
  <c r="Q22" i="75"/>
  <c r="I22" i="75"/>
  <c r="K22" i="75" s="1"/>
  <c r="L22" i="75" s="1"/>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R21" i="75"/>
  <c r="Q21" i="75"/>
  <c r="I21" i="75"/>
  <c r="K21" i="75" s="1"/>
  <c r="L21" i="75" s="1"/>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K16" i="75" s="1"/>
  <c r="L16" i="75" s="1"/>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Q772" i="93" s="1"/>
  <c r="I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I14" i="75"/>
  <c r="K14" i="75" s="1"/>
  <c r="L14" i="75" s="1"/>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R770" i="93" s="1"/>
  <c r="Q13" i="75"/>
  <c r="Q770" i="93" s="1"/>
  <c r="I13" i="75"/>
  <c r="I770" i="93" s="1"/>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R768" i="93" s="1"/>
  <c r="Q11" i="75"/>
  <c r="Q768" i="93" s="1"/>
  <c r="I11" i="75"/>
  <c r="I768" i="93" s="1"/>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I10" i="75"/>
  <c r="K10" i="75" s="1"/>
  <c r="L10" i="75" s="1"/>
  <c r="A10" i="75"/>
  <c r="K5" i="75"/>
  <c r="U3" i="75"/>
  <c r="M39" i="76"/>
  <c r="L39" i="76"/>
  <c r="K39" i="76"/>
  <c r="J39" i="76"/>
  <c r="I39" i="76"/>
  <c r="M22" i="76"/>
  <c r="L22" i="76"/>
  <c r="K22" i="76"/>
  <c r="I20" i="75" s="1"/>
  <c r="J22" i="76"/>
  <c r="I17" i="75" s="1"/>
  <c r="I22" i="76"/>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5" i="78"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E68" i="78"/>
  <c r="F68" i="78" s="1"/>
  <c r="W65" i="78"/>
  <c r="O65" i="78"/>
  <c r="V64" i="78"/>
  <c r="S64" i="78"/>
  <c r="P64" i="78"/>
  <c r="M64" i="78"/>
  <c r="J64" i="78"/>
  <c r="G64" i="78"/>
  <c r="U63" i="78"/>
  <c r="A63" i="78"/>
  <c r="U62" i="78"/>
  <c r="A62" i="78"/>
  <c r="W51" i="78"/>
  <c r="O51" i="78"/>
  <c r="W49" i="78"/>
  <c r="W46" i="78"/>
  <c r="O46" i="78"/>
  <c r="W40" i="78"/>
  <c r="O40" i="78"/>
  <c r="V38" i="78"/>
  <c r="S38" i="78"/>
  <c r="P38" i="78"/>
  <c r="M38" i="78"/>
  <c r="J38" i="78"/>
  <c r="G38" i="78"/>
  <c r="D37" i="78"/>
  <c r="D36" i="78"/>
  <c r="D35" i="78"/>
  <c r="W34" i="78"/>
  <c r="O34" i="78"/>
  <c r="V33" i="78"/>
  <c r="S33" i="78"/>
  <c r="P33" i="78"/>
  <c r="M33" i="78"/>
  <c r="J33" i="78"/>
  <c r="G33" i="78"/>
  <c r="W28" i="78"/>
  <c r="O28" i="78"/>
  <c r="V27" i="78"/>
  <c r="S27" i="78"/>
  <c r="P27" i="78"/>
  <c r="M27" i="78"/>
  <c r="J27" i="78"/>
  <c r="G27" i="78"/>
  <c r="E35" i="78" s="1"/>
  <c r="F25" i="78"/>
  <c r="W24" i="78"/>
  <c r="O24" i="78"/>
  <c r="V23" i="78"/>
  <c r="S23" i="78"/>
  <c r="M23" i="78"/>
  <c r="G23" i="78"/>
  <c r="F19" i="78"/>
  <c r="W18" i="78"/>
  <c r="O18" i="78"/>
  <c r="V17" i="78"/>
  <c r="S17" i="78"/>
  <c r="P17" i="78"/>
  <c r="M17" i="78"/>
  <c r="J17" i="78"/>
  <c r="G17" i="78"/>
  <c r="U16" i="78"/>
  <c r="A16" i="78"/>
  <c r="U15" i="78"/>
  <c r="A15" i="78"/>
  <c r="U14" i="78"/>
  <c r="A14" i="78"/>
  <c r="W7" i="78"/>
  <c r="O7" i="78"/>
  <c r="V5" i="78"/>
  <c r="D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1" i="26"/>
  <c r="C12" i="26" s="1"/>
  <c r="E5" i="26"/>
  <c r="E11" i="26" s="1"/>
  <c r="E12" i="26" s="1"/>
  <c r="D5" i="26"/>
  <c r="D11" i="26" s="1"/>
  <c r="D12" i="26" s="1"/>
  <c r="A1" i="26"/>
  <c r="I58" i="68"/>
  <c r="J164" i="78" s="1"/>
  <c r="P43" i="68"/>
  <c r="P41" i="68"/>
  <c r="P40" i="68"/>
  <c r="P39" i="68"/>
  <c r="P38" i="68"/>
  <c r="B119" i="74" s="1"/>
  <c r="S35" i="68"/>
  <c r="L31" i="68"/>
  <c r="S17" i="68"/>
  <c r="S3" i="68"/>
  <c r="L3" i="68"/>
  <c r="L152" i="67"/>
  <c r="O3" i="67"/>
  <c r="P178" i="66"/>
  <c r="P90" i="66"/>
  <c r="H90" i="66"/>
  <c r="P88" i="66"/>
  <c r="H88" i="66"/>
  <c r="P87" i="66"/>
  <c r="H87" i="66"/>
  <c r="H76" i="66"/>
  <c r="H13" i="84" s="1"/>
  <c r="P54" i="66"/>
  <c r="J39" i="66"/>
  <c r="L38" i="66"/>
  <c r="O9" i="66"/>
  <c r="O32" i="94" s="1"/>
  <c r="A2" i="79"/>
  <c r="A3" i="79" l="1"/>
  <c r="J62" i="94"/>
  <c r="ID798" i="93"/>
  <c r="AC802" i="93"/>
  <c r="DA802" i="93"/>
  <c r="L945" i="94"/>
  <c r="P963" i="94"/>
  <c r="A459" i="94"/>
  <c r="AD774" i="94"/>
  <c r="CY780" i="94"/>
  <c r="BL797" i="94"/>
  <c r="L1203" i="94"/>
  <c r="CN776" i="93"/>
  <c r="BU784" i="93"/>
  <c r="HA789" i="93"/>
  <c r="Q1923" i="93"/>
  <c r="ED806" i="94"/>
  <c r="L1762" i="93"/>
  <c r="U548" i="94"/>
  <c r="CD798" i="93"/>
  <c r="LZ781" i="94"/>
  <c r="JC801" i="94"/>
  <c r="J950" i="94"/>
  <c r="H959" i="94"/>
  <c r="GK777" i="93"/>
  <c r="CR781" i="93"/>
  <c r="HV780" i="94"/>
  <c r="AB776" i="93"/>
  <c r="IN801" i="93"/>
  <c r="A2" i="88"/>
  <c r="M945" i="94"/>
  <c r="I963" i="94"/>
  <c r="A2" i="84"/>
  <c r="L61" i="94"/>
  <c r="V528" i="94"/>
  <c r="BR808" i="94"/>
  <c r="F13" i="85"/>
  <c r="DR792" i="94"/>
  <c r="JM767" i="93"/>
  <c r="GQ771" i="93"/>
  <c r="IC783" i="93"/>
  <c r="W791" i="93"/>
  <c r="FO781" i="94"/>
  <c r="FA790" i="94"/>
  <c r="HS801" i="94"/>
  <c r="N954" i="94"/>
  <c r="M959" i="94"/>
  <c r="L963" i="94"/>
  <c r="K968" i="94"/>
  <c r="C31" i="86"/>
  <c r="H12" i="86"/>
  <c r="F51" i="86"/>
  <c r="F513" i="94"/>
  <c r="EE783" i="94"/>
  <c r="EX792" i="94"/>
  <c r="CQ801" i="94"/>
  <c r="BJ801" i="94"/>
  <c r="CD804" i="94"/>
  <c r="IG767" i="93"/>
  <c r="EY767" i="93"/>
  <c r="BU771" i="93"/>
  <c r="HR771" i="93"/>
  <c r="IH777" i="93"/>
  <c r="IH778" i="93"/>
  <c r="CW778" i="93"/>
  <c r="DE779" i="93"/>
  <c r="IY790" i="93"/>
  <c r="CT803" i="93"/>
  <c r="LQ783" i="94"/>
  <c r="HD767" i="93"/>
  <c r="O329" i="72"/>
  <c r="O1870" i="93" s="1"/>
  <c r="P1925" i="94"/>
  <c r="U521" i="94"/>
  <c r="A535" i="94"/>
  <c r="JZ772" i="94"/>
  <c r="IT774" i="94"/>
  <c r="A775" i="94"/>
  <c r="KO777" i="94"/>
  <c r="JE779" i="94"/>
  <c r="MQ781" i="94"/>
  <c r="KO781" i="94"/>
  <c r="EC781" i="94"/>
  <c r="KM785" i="94"/>
  <c r="DQ788" i="94"/>
  <c r="EB792" i="94"/>
  <c r="KA792" i="94"/>
  <c r="AB792" i="94"/>
  <c r="JK793" i="94"/>
  <c r="KV798" i="94"/>
  <c r="GE807" i="94"/>
  <c r="EL767" i="93"/>
  <c r="AJ767" i="93"/>
  <c r="FD771" i="93"/>
  <c r="HY774" i="93"/>
  <c r="W777" i="93"/>
  <c r="GU784" i="93"/>
  <c r="FY785" i="93"/>
  <c r="GN786" i="93"/>
  <c r="IX794" i="93"/>
  <c r="GC797" i="93"/>
  <c r="G885" i="93"/>
  <c r="O885" i="93"/>
  <c r="N889" i="93"/>
  <c r="M894" i="93"/>
  <c r="L898" i="93"/>
  <c r="K903" i="93"/>
  <c r="J907" i="93"/>
  <c r="A1097" i="93"/>
  <c r="H1097" i="93" s="1"/>
  <c r="K770" i="93"/>
  <c r="H31" i="86"/>
  <c r="C52" i="86"/>
  <c r="U459" i="94"/>
  <c r="S528" i="94"/>
  <c r="LJ774" i="94"/>
  <c r="KY776" i="94"/>
  <c r="HJ780" i="94"/>
  <c r="MG782" i="94"/>
  <c r="DV782" i="94"/>
  <c r="IM782" i="94"/>
  <c r="W782" i="94"/>
  <c r="DM783" i="94"/>
  <c r="KO783" i="94"/>
  <c r="CB786" i="94"/>
  <c r="KF789" i="94"/>
  <c r="KY802" i="94"/>
  <c r="CH808" i="94"/>
  <c r="CN767" i="93"/>
  <c r="JN771" i="93"/>
  <c r="FQ771" i="93"/>
  <c r="EF774" i="93"/>
  <c r="IW776" i="93"/>
  <c r="GH777" i="93"/>
  <c r="JN778" i="93"/>
  <c r="GQ778" i="93"/>
  <c r="HH782" i="93"/>
  <c r="IG797" i="93"/>
  <c r="BW797" i="93"/>
  <c r="JI804" i="93"/>
  <c r="J894" i="93"/>
  <c r="I898" i="93"/>
  <c r="H903" i="93"/>
  <c r="P903" i="93"/>
  <c r="G907" i="93"/>
  <c r="O907" i="93"/>
  <c r="G916" i="93"/>
  <c r="M1841" i="93"/>
  <c r="I12" i="86"/>
  <c r="H32" i="86"/>
  <c r="P171" i="72"/>
  <c r="P1725" i="93" s="1"/>
  <c r="A2" i="83"/>
  <c r="M468" i="94"/>
  <c r="J472" i="94"/>
  <c r="V483" i="94"/>
  <c r="V486" i="94" s="1"/>
  <c r="A549" i="94"/>
  <c r="A555" i="94"/>
  <c r="S563" i="94"/>
  <c r="IT772" i="94"/>
  <c r="JW775" i="94"/>
  <c r="JD777" i="94"/>
  <c r="EK778" i="94"/>
  <c r="KD779" i="94"/>
  <c r="GK780" i="94"/>
  <c r="EL780" i="94"/>
  <c r="GL783" i="94"/>
  <c r="BS783" i="94"/>
  <c r="ER783" i="94"/>
  <c r="DD784" i="94"/>
  <c r="BK792" i="94"/>
  <c r="EA797" i="94"/>
  <c r="MQ798" i="94"/>
  <c r="JP798" i="94"/>
  <c r="KI801" i="94"/>
  <c r="KH801" i="94"/>
  <c r="IA801" i="94"/>
  <c r="FS801" i="94"/>
  <c r="CH801" i="94"/>
  <c r="JJ801" i="94"/>
  <c r="HF801" i="94"/>
  <c r="FC801" i="94"/>
  <c r="FG801" i="94"/>
  <c r="KE801" i="94"/>
  <c r="H945" i="94"/>
  <c r="P945" i="94"/>
  <c r="IW788" i="93"/>
  <c r="IG788" i="93"/>
  <c r="BU788" i="93"/>
  <c r="EX788" i="93"/>
  <c r="BK788" i="93"/>
  <c r="IU788" i="93"/>
  <c r="DL788" i="93"/>
  <c r="IB792" i="93"/>
  <c r="FO793" i="93"/>
  <c r="JQ793" i="93"/>
  <c r="FN793" i="93"/>
  <c r="A1" i="66"/>
  <c r="O40" i="66"/>
  <c r="M6" i="75" s="1"/>
  <c r="A1" i="68"/>
  <c r="S1" i="68" s="1"/>
  <c r="C1" i="86"/>
  <c r="P201" i="94"/>
  <c r="M483" i="94"/>
  <c r="U535" i="94"/>
  <c r="LJ772" i="94"/>
  <c r="MS773" i="94"/>
  <c r="LJ777" i="94"/>
  <c r="LA779" i="94"/>
  <c r="LC779" i="94"/>
  <c r="CL780" i="94"/>
  <c r="Y780" i="94"/>
  <c r="GO781" i="94"/>
  <c r="FB781" i="94"/>
  <c r="LM781" i="94"/>
  <c r="GG783" i="94"/>
  <c r="KN786" i="94"/>
  <c r="LS787" i="94"/>
  <c r="DR789" i="94"/>
  <c r="AJ789" i="94"/>
  <c r="LQ791" i="94"/>
  <c r="MR792" i="94"/>
  <c r="DT792" i="94"/>
  <c r="AR792" i="94"/>
  <c r="BP792" i="94"/>
  <c r="HG792" i="94"/>
  <c r="MR797" i="94"/>
  <c r="KE797" i="94"/>
  <c r="DG797" i="94"/>
  <c r="EQ797" i="94"/>
  <c r="JJ797" i="94"/>
  <c r="ED799" i="94"/>
  <c r="EE799" i="94"/>
  <c r="HC801" i="94"/>
  <c r="MD801" i="94"/>
  <c r="DK802" i="94"/>
  <c r="JW802" i="94"/>
  <c r="AI805" i="94"/>
  <c r="JU807" i="94"/>
  <c r="M963" i="94"/>
  <c r="GR769" i="93"/>
  <c r="FW769" i="93"/>
  <c r="BP783" i="93"/>
  <c r="EH788" i="93"/>
  <c r="FC792" i="93"/>
  <c r="FO799" i="93"/>
  <c r="MM778" i="94"/>
  <c r="JV778" i="94"/>
  <c r="DA778" i="94"/>
  <c r="IW778" i="94"/>
  <c r="IZ798" i="94"/>
  <c r="M950" i="94"/>
  <c r="L1215" i="94"/>
  <c r="L1201" i="94"/>
  <c r="A451" i="93"/>
  <c r="U452" i="93"/>
  <c r="GG772" i="93"/>
  <c r="GF772" i="93"/>
  <c r="FP772" i="93"/>
  <c r="IB772" i="93"/>
  <c r="Z787" i="93"/>
  <c r="EY787" i="93"/>
  <c r="DW787" i="93"/>
  <c r="IC796" i="93"/>
  <c r="GS796" i="93"/>
  <c r="EO796" i="93"/>
  <c r="HM796" i="93"/>
  <c r="V522" i="94"/>
  <c r="LJ778" i="94"/>
  <c r="IU780" i="94"/>
  <c r="FK780" i="94"/>
  <c r="BA780" i="94"/>
  <c r="DM780" i="94"/>
  <c r="LG780" i="94"/>
  <c r="DW792" i="94"/>
  <c r="LC793" i="94"/>
  <c r="KZ793" i="94"/>
  <c r="DU808" i="94"/>
  <c r="FZ808" i="94"/>
  <c r="CC808" i="94"/>
  <c r="FA808" i="94"/>
  <c r="FU808" i="94"/>
  <c r="GE798" i="94"/>
  <c r="MH800" i="94"/>
  <c r="GU801" i="94"/>
  <c r="J968" i="94"/>
  <c r="F981" i="94"/>
  <c r="L1465" i="94"/>
  <c r="CF767" i="93"/>
  <c r="FX767" i="93"/>
  <c r="IQ770" i="93"/>
  <c r="ID772" i="93"/>
  <c r="JB776" i="93"/>
  <c r="AU781" i="93"/>
  <c r="AY787" i="93"/>
  <c r="BX787" i="93"/>
  <c r="IF788" i="93"/>
  <c r="DB788" i="93"/>
  <c r="AD790" i="93"/>
  <c r="IX790" i="93"/>
  <c r="EC792" i="93"/>
  <c r="BU792" i="93"/>
  <c r="GW792" i="93"/>
  <c r="CF793" i="93"/>
  <c r="BV793" i="93"/>
  <c r="IJ798" i="93"/>
  <c r="JD800" i="93"/>
  <c r="CS801" i="93"/>
  <c r="BA802" i="93"/>
  <c r="J916" i="93"/>
  <c r="Z780" i="94"/>
  <c r="HB781" i="94"/>
  <c r="GE781" i="94"/>
  <c r="LI783" i="94"/>
  <c r="EF783" i="94"/>
  <c r="LD784" i="94"/>
  <c r="DN784" i="94"/>
  <c r="FS786" i="94"/>
  <c r="LJ787" i="94"/>
  <c r="LO792" i="94"/>
  <c r="GH793" i="94"/>
  <c r="KU794" i="94"/>
  <c r="EM799" i="94"/>
  <c r="LN801" i="94"/>
  <c r="GE801" i="94"/>
  <c r="EB805" i="94"/>
  <c r="N1548" i="94"/>
  <c r="P1670" i="94"/>
  <c r="P182" i="93"/>
  <c r="M566" i="93"/>
  <c r="JO767" i="93"/>
  <c r="BA767" i="93"/>
  <c r="AS767" i="93"/>
  <c r="EI767" i="93"/>
  <c r="CZ768" i="93"/>
  <c r="JI769" i="93"/>
  <c r="JC771" i="93"/>
  <c r="GS771" i="93"/>
  <c r="JB775" i="93"/>
  <c r="GR776" i="93"/>
  <c r="FM777" i="93"/>
  <c r="EC778" i="93"/>
  <c r="IE782" i="93"/>
  <c r="ID783" i="93"/>
  <c r="AF784" i="93"/>
  <c r="BW784" i="93"/>
  <c r="JD789" i="93"/>
  <c r="DK790" i="93"/>
  <c r="ER791" i="93"/>
  <c r="IJ792" i="93"/>
  <c r="FQ792" i="93"/>
  <c r="Y797" i="93"/>
  <c r="HA798" i="93"/>
  <c r="IQ800" i="93"/>
  <c r="GK802" i="93"/>
  <c r="BB803" i="93"/>
  <c r="N898" i="93"/>
  <c r="H907" i="93"/>
  <c r="P907" i="93"/>
  <c r="K912" i="93"/>
  <c r="L1691" i="93"/>
  <c r="M562" i="93"/>
  <c r="BG767" i="93"/>
  <c r="IP771" i="93"/>
  <c r="GX772" i="93"/>
  <c r="FM781" i="93"/>
  <c r="GB782" i="93"/>
  <c r="JH783" i="93"/>
  <c r="HJ785" i="93"/>
  <c r="FK786" i="93"/>
  <c r="JH787" i="93"/>
  <c r="HR788" i="93"/>
  <c r="GH790" i="93"/>
  <c r="HO792" i="93"/>
  <c r="GH792" i="93"/>
  <c r="JK792" i="93"/>
  <c r="HY793" i="93"/>
  <c r="FT799" i="93"/>
  <c r="BT801" i="93"/>
  <c r="IC801" i="93"/>
  <c r="HM804" i="93"/>
  <c r="O838" i="93"/>
  <c r="M889" i="93"/>
  <c r="K898" i="93"/>
  <c r="I11" i="86"/>
  <c r="M575" i="94"/>
  <c r="HY775" i="94"/>
  <c r="KE775" i="94"/>
  <c r="GB785" i="94"/>
  <c r="LC785" i="94"/>
  <c r="AP787" i="94"/>
  <c r="DD787" i="94"/>
  <c r="FF787" i="94"/>
  <c r="HH787" i="94"/>
  <c r="MC787" i="94"/>
  <c r="BJ790" i="94"/>
  <c r="FM791" i="94"/>
  <c r="BO800" i="94"/>
  <c r="FO800" i="94"/>
  <c r="JC800" i="94"/>
  <c r="LO800" i="94"/>
  <c r="M132" i="78"/>
  <c r="M149" i="78" s="1"/>
  <c r="M151" i="78" s="1"/>
  <c r="M153" i="78" s="1"/>
  <c r="L370" i="94"/>
  <c r="ME772" i="94"/>
  <c r="ME774" i="94"/>
  <c r="MN775" i="94"/>
  <c r="HZ775" i="94"/>
  <c r="LB775" i="94"/>
  <c r="BT783" i="94"/>
  <c r="GE785" i="94"/>
  <c r="LZ785" i="94"/>
  <c r="AQ787" i="94"/>
  <c r="DM787" i="94"/>
  <c r="FP787" i="94"/>
  <c r="HT787" i="94"/>
  <c r="CA788" i="94"/>
  <c r="FH788" i="94"/>
  <c r="LF790" i="94"/>
  <c r="BS790" i="94"/>
  <c r="GH790" i="94"/>
  <c r="HG791" i="94"/>
  <c r="GF791" i="94"/>
  <c r="IM792" i="94"/>
  <c r="IE793" i="94"/>
  <c r="JR793" i="94"/>
  <c r="GD796" i="94"/>
  <c r="LC796" i="94"/>
  <c r="FZ799" i="94"/>
  <c r="AU799" i="94"/>
  <c r="FJ799" i="94"/>
  <c r="LS800" i="94"/>
  <c r="BS800" i="94"/>
  <c r="GE800" i="94"/>
  <c r="JK800" i="94"/>
  <c r="MI800" i="94"/>
  <c r="L1757" i="94"/>
  <c r="Q1757" i="94"/>
  <c r="W48" i="75"/>
  <c r="J56" i="75" s="1"/>
  <c r="AE48" i="75"/>
  <c r="M57" i="75" s="1"/>
  <c r="AM48" i="75"/>
  <c r="K59" i="75" s="1"/>
  <c r="AU48" i="75"/>
  <c r="N60" i="75" s="1"/>
  <c r="BC48" i="75"/>
  <c r="L62" i="75" s="1"/>
  <c r="BK48" i="75"/>
  <c r="J87" i="75" s="1"/>
  <c r="BS48" i="75"/>
  <c r="M86" i="75" s="1"/>
  <c r="CA48" i="75"/>
  <c r="K84" i="75" s="1"/>
  <c r="CI48" i="75"/>
  <c r="N83" i="75" s="1"/>
  <c r="CQ48" i="75"/>
  <c r="L81" i="75" s="1"/>
  <c r="CY48" i="75"/>
  <c r="J97" i="75" s="1"/>
  <c r="DG48" i="75"/>
  <c r="M96" i="75" s="1"/>
  <c r="DO48" i="75"/>
  <c r="K94" i="75" s="1"/>
  <c r="DW48" i="75"/>
  <c r="N93" i="75" s="1"/>
  <c r="EE48" i="75"/>
  <c r="L66" i="75" s="1"/>
  <c r="EM48" i="75"/>
  <c r="J146" i="75" s="1"/>
  <c r="EU48" i="75"/>
  <c r="M147" i="75" s="1"/>
  <c r="FC48" i="75"/>
  <c r="K149" i="75" s="1"/>
  <c r="FK48" i="75"/>
  <c r="N150" i="75" s="1"/>
  <c r="FS48" i="75"/>
  <c r="L153" i="75" s="1"/>
  <c r="GA48" i="75"/>
  <c r="J155" i="75" s="1"/>
  <c r="GI48" i="75"/>
  <c r="M101" i="75" s="1"/>
  <c r="GQ48" i="75"/>
  <c r="GY48" i="75"/>
  <c r="N104" i="75" s="1"/>
  <c r="HG48" i="75"/>
  <c r="HO48" i="75"/>
  <c r="J108" i="75" s="1"/>
  <c r="HW48" i="75"/>
  <c r="IE48" i="75"/>
  <c r="K124" i="75" s="1"/>
  <c r="IM48" i="75"/>
  <c r="N125" i="75" s="1"/>
  <c r="IU48" i="75"/>
  <c r="L131" i="75" s="1"/>
  <c r="JC48" i="75"/>
  <c r="J129" i="75" s="1"/>
  <c r="JK48" i="75"/>
  <c r="M126" i="75" s="1"/>
  <c r="JS48" i="75"/>
  <c r="K116" i="75" s="1"/>
  <c r="KA48" i="75"/>
  <c r="N117" i="75" s="1"/>
  <c r="KI48" i="75"/>
  <c r="L119" i="75" s="1"/>
  <c r="KQ48" i="75"/>
  <c r="J121" i="75" s="1"/>
  <c r="J140" i="75" s="1"/>
  <c r="KY48" i="75"/>
  <c r="M122" i="75" s="1"/>
  <c r="LG48" i="75"/>
  <c r="LO48" i="75"/>
  <c r="LW48" i="75"/>
  <c r="ME48" i="75"/>
  <c r="MM48" i="75"/>
  <c r="D31" i="86"/>
  <c r="P55" i="73"/>
  <c r="P336" i="72"/>
  <c r="P329" i="72" s="1"/>
  <c r="P1870" i="93" s="1"/>
  <c r="C8" i="90"/>
  <c r="C139" i="90" s="1"/>
  <c r="L749" i="94"/>
  <c r="M749" i="94"/>
  <c r="KZ775" i="94"/>
  <c r="IA775" i="94"/>
  <c r="LC775" i="94"/>
  <c r="AF783" i="94"/>
  <c r="CK783" i="94"/>
  <c r="ES783" i="94"/>
  <c r="GZ783" i="94"/>
  <c r="LT783" i="94"/>
  <c r="MO785" i="94"/>
  <c r="KC785" i="94"/>
  <c r="HB785" i="94"/>
  <c r="MN787" i="94"/>
  <c r="KV787" i="94"/>
  <c r="AW787" i="94"/>
  <c r="DX787" i="94"/>
  <c r="FY787" i="94"/>
  <c r="HZ787" i="94"/>
  <c r="DP788" i="94"/>
  <c r="CU789" i="94"/>
  <c r="CC790" i="94"/>
  <c r="GQ790" i="94"/>
  <c r="HH791" i="94"/>
  <c r="IP792" i="94"/>
  <c r="IM793" i="94"/>
  <c r="JW793" i="94"/>
  <c r="CU795" i="94"/>
  <c r="MJ796" i="94"/>
  <c r="AY799" i="94"/>
  <c r="FS799" i="94"/>
  <c r="BV800" i="94"/>
  <c r="GI800" i="94"/>
  <c r="JW800" i="94"/>
  <c r="MP800" i="94"/>
  <c r="KA802" i="94"/>
  <c r="AJ805" i="94"/>
  <c r="LL805" i="94"/>
  <c r="FH805" i="94"/>
  <c r="FG805" i="94"/>
  <c r="EF805" i="94"/>
  <c r="G972" i="94"/>
  <c r="F553" i="93"/>
  <c r="F551" i="93"/>
  <c r="V478" i="94"/>
  <c r="V575" i="94"/>
  <c r="V591" i="94"/>
  <c r="IP775" i="94"/>
  <c r="MH777" i="94"/>
  <c r="MI777" i="94"/>
  <c r="AP778" i="94"/>
  <c r="FM778" i="94"/>
  <c r="LU778" i="94"/>
  <c r="EG779" i="94"/>
  <c r="AM780" i="94"/>
  <c r="EW780" i="94"/>
  <c r="LU780" i="94"/>
  <c r="GC781" i="94"/>
  <c r="LU783" i="94"/>
  <c r="AH783" i="94"/>
  <c r="CL783" i="94"/>
  <c r="EW783" i="94"/>
  <c r="HB783" i="94"/>
  <c r="LX783" i="94"/>
  <c r="AR784" i="94"/>
  <c r="ET784" i="94"/>
  <c r="IQ785" i="94"/>
  <c r="DT786" i="94"/>
  <c r="BA787" i="94"/>
  <c r="DY787" i="94"/>
  <c r="GD787" i="94"/>
  <c r="IB787" i="94"/>
  <c r="DE789" i="94"/>
  <c r="CO790" i="94"/>
  <c r="HA790" i="94"/>
  <c r="KA791" i="94"/>
  <c r="BX792" i="94"/>
  <c r="EU792" i="94"/>
  <c r="JG792" i="94"/>
  <c r="IN793" i="94"/>
  <c r="KA793" i="94"/>
  <c r="EY797" i="94"/>
  <c r="BG797" i="94"/>
  <c r="EV797" i="94"/>
  <c r="MI797" i="94"/>
  <c r="DS798" i="94"/>
  <c r="IJ798" i="94"/>
  <c r="HN799" i="94"/>
  <c r="CA799" i="94"/>
  <c r="FW799" i="94"/>
  <c r="DK800" i="94"/>
  <c r="GL800" i="94"/>
  <c r="KD800" i="94"/>
  <c r="MQ800" i="94"/>
  <c r="AA801" i="94"/>
  <c r="ED801" i="94"/>
  <c r="GA801" i="94"/>
  <c r="HW801" i="94"/>
  <c r="KU802" i="94"/>
  <c r="LH805" i="94"/>
  <c r="CK808" i="94"/>
  <c r="LF808" i="94"/>
  <c r="A111" i="75"/>
  <c r="E11" i="86"/>
  <c r="C32" i="86"/>
  <c r="B1" i="87"/>
  <c r="V472" i="94"/>
  <c r="S483" i="94"/>
  <c r="G536" i="94"/>
  <c r="IQ775" i="94"/>
  <c r="LI778" i="94"/>
  <c r="AQ778" i="94"/>
  <c r="FV778" i="94"/>
  <c r="GC779" i="94"/>
  <c r="AX780" i="94"/>
  <c r="EX780" i="94"/>
  <c r="LV780" i="94"/>
  <c r="FZ781" i="94"/>
  <c r="AD781" i="94"/>
  <c r="AM783" i="94"/>
  <c r="DC783" i="94"/>
  <c r="FK783" i="94"/>
  <c r="HH783" i="94"/>
  <c r="AW784" i="94"/>
  <c r="IW785" i="94"/>
  <c r="BW787" i="94"/>
  <c r="EO787" i="94"/>
  <c r="GO787" i="94"/>
  <c r="LH787" i="94"/>
  <c r="DU790" i="94"/>
  <c r="HM790" i="94"/>
  <c r="ME791" i="94"/>
  <c r="CF792" i="94"/>
  <c r="IQ793" i="94"/>
  <c r="KI793" i="94"/>
  <c r="BK797" i="94"/>
  <c r="GJ797" i="94"/>
  <c r="CM799" i="94"/>
  <c r="GY799" i="94"/>
  <c r="DO800" i="94"/>
  <c r="HC800" i="94"/>
  <c r="KE800" i="94"/>
  <c r="AL801" i="94"/>
  <c r="EE801" i="94"/>
  <c r="LF801" i="94"/>
  <c r="LN804" i="94"/>
  <c r="BG804" i="94"/>
  <c r="GB804" i="94"/>
  <c r="EG804" i="94"/>
  <c r="DB804" i="94"/>
  <c r="AK808" i="94"/>
  <c r="DD808" i="94"/>
  <c r="O873" i="94"/>
  <c r="A873" i="94" s="1"/>
  <c r="I941" i="94"/>
  <c r="G950" i="94"/>
  <c r="O950" i="94"/>
  <c r="P980" i="94"/>
  <c r="L1200" i="94"/>
  <c r="M462" i="94"/>
  <c r="S536" i="94"/>
  <c r="J591" i="94"/>
  <c r="J595" i="94" s="1"/>
  <c r="IY775" i="94"/>
  <c r="BN778" i="94"/>
  <c r="GX778" i="94"/>
  <c r="GE779" i="94"/>
  <c r="CD781" i="94"/>
  <c r="AW783" i="94"/>
  <c r="DD783" i="94"/>
  <c r="FL783" i="94"/>
  <c r="HT783" i="94"/>
  <c r="BI784" i="94"/>
  <c r="FJ784" i="94"/>
  <c r="JD785" i="94"/>
  <c r="HY786" i="94"/>
  <c r="BX787" i="94"/>
  <c r="ER787" i="94"/>
  <c r="GU787" i="94"/>
  <c r="GC789" i="94"/>
  <c r="EE790" i="94"/>
  <c r="HW790" i="94"/>
  <c r="GD792" i="94"/>
  <c r="AJ792" i="94"/>
  <c r="CI792" i="94"/>
  <c r="FH792" i="94"/>
  <c r="KY792" i="94"/>
  <c r="IU793" i="94"/>
  <c r="KJ793" i="94"/>
  <c r="BO797" i="94"/>
  <c r="GU797" i="94"/>
  <c r="JC798" i="94"/>
  <c r="CP799" i="94"/>
  <c r="HK799" i="94"/>
  <c r="DR800" i="94"/>
  <c r="IH800" i="94"/>
  <c r="KT800" i="94"/>
  <c r="MA801" i="94"/>
  <c r="AQ801" i="94"/>
  <c r="EI801" i="94"/>
  <c r="GH801" i="94"/>
  <c r="II801" i="94"/>
  <c r="LG801" i="94"/>
  <c r="FS804" i="94"/>
  <c r="EV804" i="94"/>
  <c r="AG806" i="94"/>
  <c r="JI807" i="94"/>
  <c r="EO807" i="94"/>
  <c r="KT807" i="94"/>
  <c r="AV808" i="94"/>
  <c r="MG809" i="94"/>
  <c r="BI809" i="94"/>
  <c r="A48" i="75"/>
  <c r="A5" i="75" s="1"/>
  <c r="C34" i="84"/>
  <c r="D483" i="94"/>
  <c r="A574" i="94"/>
  <c r="CT775" i="94"/>
  <c r="EF775" i="94"/>
  <c r="JV775" i="94"/>
  <c r="BY778" i="94"/>
  <c r="GY778" i="94"/>
  <c r="HY779" i="94"/>
  <c r="JI780" i="94"/>
  <c r="BM780" i="94"/>
  <c r="GW780" i="94"/>
  <c r="KM781" i="94"/>
  <c r="CP781" i="94"/>
  <c r="IA781" i="94"/>
  <c r="AX783" i="94"/>
  <c r="DZ783" i="94"/>
  <c r="FT783" i="94"/>
  <c r="HX783" i="94"/>
  <c r="LU784" i="94"/>
  <c r="BL784" i="94"/>
  <c r="FP784" i="94"/>
  <c r="DT785" i="94"/>
  <c r="KG785" i="94"/>
  <c r="FX787" i="94"/>
  <c r="X787" i="94"/>
  <c r="CM787" i="94"/>
  <c r="EV787" i="94"/>
  <c r="GZ787" i="94"/>
  <c r="LM787" i="94"/>
  <c r="IC789" i="94"/>
  <c r="EO790" i="94"/>
  <c r="MB790" i="94"/>
  <c r="AP792" i="94"/>
  <c r="DC792" i="94"/>
  <c r="FN792" i="94"/>
  <c r="LG792" i="94"/>
  <c r="JD793" i="94"/>
  <c r="KM793" i="94"/>
  <c r="CM797" i="94"/>
  <c r="HH797" i="94"/>
  <c r="DS799" i="94"/>
  <c r="LV799" i="94"/>
  <c r="AU800" i="94"/>
  <c r="EI800" i="94"/>
  <c r="IM800" i="94"/>
  <c r="LB800" i="94"/>
  <c r="AU801" i="94"/>
  <c r="ET801" i="94"/>
  <c r="MR803" i="94"/>
  <c r="KH803" i="94"/>
  <c r="AA803" i="94"/>
  <c r="HD804" i="94"/>
  <c r="FI804" i="94"/>
  <c r="FX808" i="94"/>
  <c r="DV808" i="94"/>
  <c r="CF808" i="94"/>
  <c r="AW808" i="94"/>
  <c r="FB808" i="94"/>
  <c r="DG808" i="94"/>
  <c r="BS808" i="94"/>
  <c r="AL808" i="94"/>
  <c r="ET808" i="94"/>
  <c r="CZ808" i="94"/>
  <c r="BQ808" i="94"/>
  <c r="AF808" i="94"/>
  <c r="LO808" i="94"/>
  <c r="ER808" i="94"/>
  <c r="CY808" i="94"/>
  <c r="BL808" i="94"/>
  <c r="AD808" i="94"/>
  <c r="AZ808" i="94"/>
  <c r="DX808" i="94"/>
  <c r="K972" i="94"/>
  <c r="D52" i="86"/>
  <c r="M299" i="72"/>
  <c r="A460" i="94"/>
  <c r="J528" i="94"/>
  <c r="MR772" i="94"/>
  <c r="A773" i="94"/>
  <c r="JZ774" i="94"/>
  <c r="LR775" i="94"/>
  <c r="ED775" i="94"/>
  <c r="GD775" i="94"/>
  <c r="CY778" i="94"/>
  <c r="IK778" i="94"/>
  <c r="MQ779" i="94"/>
  <c r="ID779" i="94"/>
  <c r="CX780" i="94"/>
  <c r="GX780" i="94"/>
  <c r="HN781" i="94"/>
  <c r="DQ781" i="94"/>
  <c r="IC781" i="94"/>
  <c r="BF783" i="94"/>
  <c r="EA783" i="94"/>
  <c r="GE783" i="94"/>
  <c r="JX783" i="94"/>
  <c r="CB784" i="94"/>
  <c r="EF785" i="94"/>
  <c r="LI787" i="94"/>
  <c r="EC787" i="94"/>
  <c r="AJ787" i="94"/>
  <c r="CR787" i="94"/>
  <c r="FE787" i="94"/>
  <c r="HE787" i="94"/>
  <c r="LK789" i="94"/>
  <c r="BI790" i="94"/>
  <c r="ER790" i="94"/>
  <c r="ML790" i="94"/>
  <c r="DU791" i="94"/>
  <c r="AC791" i="94"/>
  <c r="AQ792" i="94"/>
  <c r="DD792" i="94"/>
  <c r="FO792" i="94"/>
  <c r="AA793" i="94"/>
  <c r="JJ793" i="94"/>
  <c r="KX793" i="94"/>
  <c r="IA796" i="94"/>
  <c r="DF797" i="94"/>
  <c r="II797" i="94"/>
  <c r="KF798" i="94"/>
  <c r="HG800" i="94"/>
  <c r="AX800" i="94"/>
  <c r="EM800" i="94"/>
  <c r="IP800" i="94"/>
  <c r="LK800" i="94"/>
  <c r="MQ801" i="94"/>
  <c r="KY801" i="94"/>
  <c r="AY801" i="94"/>
  <c r="FB801" i="94"/>
  <c r="GY801" i="94"/>
  <c r="JG801" i="94"/>
  <c r="LW801" i="94"/>
  <c r="KY804" i="94"/>
  <c r="IW804" i="94"/>
  <c r="JB804" i="94"/>
  <c r="BB808" i="94"/>
  <c r="EC808" i="94"/>
  <c r="G566" i="93"/>
  <c r="S566" i="93"/>
  <c r="AB767" i="93"/>
  <c r="BP767" i="93"/>
  <c r="DC767" i="93"/>
  <c r="EQ767" i="93"/>
  <c r="IK767" i="93"/>
  <c r="BK769" i="93"/>
  <c r="FF771" i="93"/>
  <c r="HQ771" i="93"/>
  <c r="JJ772" i="93"/>
  <c r="DF772" i="93"/>
  <c r="GH772" i="93"/>
  <c r="DX776" i="93"/>
  <c r="DA777" i="93"/>
  <c r="BY777" i="93"/>
  <c r="HC777" i="93"/>
  <c r="IQ778" i="93"/>
  <c r="AX778" i="93"/>
  <c r="CT778" i="93"/>
  <c r="GP778" i="93"/>
  <c r="DR783" i="93"/>
  <c r="BX784" i="93"/>
  <c r="A785" i="93"/>
  <c r="IV785" i="93"/>
  <c r="FN786" i="93"/>
  <c r="AX787" i="93"/>
  <c r="JI787" i="93"/>
  <c r="AG788" i="93"/>
  <c r="CS788" i="93"/>
  <c r="EV788" i="93"/>
  <c r="AJ789" i="93"/>
  <c r="DB789" i="93"/>
  <c r="EW789" i="93"/>
  <c r="IE790" i="93"/>
  <c r="BD790" i="93"/>
  <c r="EB790" i="93"/>
  <c r="CT791" i="93"/>
  <c r="DA792" i="93"/>
  <c r="GC792" i="93"/>
  <c r="HQ792" i="93"/>
  <c r="AX793" i="93"/>
  <c r="CK793" i="93"/>
  <c r="GQ793" i="93"/>
  <c r="DU794" i="93"/>
  <c r="IW794" i="93"/>
  <c r="FK796" i="93"/>
  <c r="HY796" i="93"/>
  <c r="CZ798" i="93"/>
  <c r="AK799" i="93"/>
  <c r="CU800" i="93"/>
  <c r="IR800" i="93"/>
  <c r="FP801" i="93"/>
  <c r="CS802" i="93"/>
  <c r="EI803" i="93"/>
  <c r="JQ804" i="93"/>
  <c r="H885" i="93"/>
  <c r="P885" i="93"/>
  <c r="G889" i="93"/>
  <c r="N894" i="93"/>
  <c r="L903" i="93"/>
  <c r="K907" i="93"/>
  <c r="J912" i="93"/>
  <c r="N1477" i="93"/>
  <c r="BQ767" i="93"/>
  <c r="DD767" i="93"/>
  <c r="IO767" i="93"/>
  <c r="DT772" i="93"/>
  <c r="DY776" i="93"/>
  <c r="CK777" i="93"/>
  <c r="HE777" i="93"/>
  <c r="BI778" i="93"/>
  <c r="CY778" i="93"/>
  <c r="EV779" i="93"/>
  <c r="DT783" i="93"/>
  <c r="AV785" i="93"/>
  <c r="AW788" i="93"/>
  <c r="CY788" i="93"/>
  <c r="FF789" i="93"/>
  <c r="BQ790" i="93"/>
  <c r="ER790" i="93"/>
  <c r="DC791" i="93"/>
  <c r="ET792" i="93"/>
  <c r="AY793" i="93"/>
  <c r="CS793" i="93"/>
  <c r="GZ793" i="93"/>
  <c r="EJ794" i="93"/>
  <c r="JB794" i="93"/>
  <c r="FQ796" i="93"/>
  <c r="CM797" i="93"/>
  <c r="AB798" i="93"/>
  <c r="DI798" i="93"/>
  <c r="IY798" i="93"/>
  <c r="AA800" i="93"/>
  <c r="DF800" i="93"/>
  <c r="GB801" i="93"/>
  <c r="DY802" i="93"/>
  <c r="Z803" i="93"/>
  <c r="EP803" i="93"/>
  <c r="FE804" i="93"/>
  <c r="DG803" i="94"/>
  <c r="CF809" i="94"/>
  <c r="N945" i="94"/>
  <c r="J954" i="94"/>
  <c r="M554" i="93"/>
  <c r="A565" i="93"/>
  <c r="BY767" i="93"/>
  <c r="AO767" i="93"/>
  <c r="BR767" i="93"/>
  <c r="DI767" i="93"/>
  <c r="FA767" i="93"/>
  <c r="IS767" i="93"/>
  <c r="BQ769" i="93"/>
  <c r="GG769" i="93"/>
  <c r="X771" i="93"/>
  <c r="FS771" i="93"/>
  <c r="IC771" i="93"/>
  <c r="EZ772" i="93"/>
  <c r="HL772" i="93"/>
  <c r="HI774" i="93"/>
  <c r="JA775" i="93"/>
  <c r="Y776" i="93"/>
  <c r="FZ776" i="93"/>
  <c r="CQ777" i="93"/>
  <c r="HZ777" i="93"/>
  <c r="BJ778" i="93"/>
  <c r="CZ778" i="93"/>
  <c r="IE778" i="93"/>
  <c r="HH779" i="93"/>
  <c r="JG781" i="93"/>
  <c r="GK781" i="93"/>
  <c r="BQ782" i="93"/>
  <c r="FH783" i="93"/>
  <c r="IN784" i="93"/>
  <c r="CU785" i="93"/>
  <c r="FI785" i="93"/>
  <c r="CW787" i="93"/>
  <c r="AX788" i="93"/>
  <c r="CZ788" i="93"/>
  <c r="EZ788" i="93"/>
  <c r="FS789" i="93"/>
  <c r="BW790" i="93"/>
  <c r="EX790" i="93"/>
  <c r="DZ791" i="93"/>
  <c r="EU792" i="93"/>
  <c r="GJ792" i="93"/>
  <c r="IE792" i="93"/>
  <c r="BH793" i="93"/>
  <c r="CY793" i="93"/>
  <c r="HW793" i="93"/>
  <c r="FF794" i="93"/>
  <c r="FU796" i="93"/>
  <c r="DA797" i="93"/>
  <c r="AN798" i="93"/>
  <c r="EA798" i="93"/>
  <c r="AV799" i="93"/>
  <c r="CZ799" i="93"/>
  <c r="AN800" i="93"/>
  <c r="DR800" i="93"/>
  <c r="JM801" i="93"/>
  <c r="HA801" i="93"/>
  <c r="FA802" i="93"/>
  <c r="AL803" i="93"/>
  <c r="IQ803" i="93"/>
  <c r="FQ804" i="93"/>
  <c r="I889" i="93"/>
  <c r="G898" i="93"/>
  <c r="O898" i="93"/>
  <c r="H941" i="94"/>
  <c r="P941" i="94"/>
  <c r="L941" i="94"/>
  <c r="N950" i="94"/>
  <c r="K954" i="94"/>
  <c r="O954" i="94"/>
  <c r="H963" i="94"/>
  <c r="M1947" i="94"/>
  <c r="S547" i="93"/>
  <c r="AR767" i="93"/>
  <c r="CE767" i="93"/>
  <c r="DM767" i="93"/>
  <c r="FE767" i="93"/>
  <c r="IY767" i="93"/>
  <c r="JQ770" i="93"/>
  <c r="CT771" i="93"/>
  <c r="CC771" i="93"/>
  <c r="GG771" i="93"/>
  <c r="FB772" i="93"/>
  <c r="HN772" i="93"/>
  <c r="CT776" i="93"/>
  <c r="Z776" i="93"/>
  <c r="GP776" i="93"/>
  <c r="ES777" i="93"/>
  <c r="IA777" i="93"/>
  <c r="BN778" i="93"/>
  <c r="DO778" i="93"/>
  <c r="X780" i="93"/>
  <c r="EO781" i="93"/>
  <c r="IH781" i="93"/>
  <c r="BU782" i="93"/>
  <c r="FW783" i="93"/>
  <c r="IK785" i="93"/>
  <c r="IU786" i="93"/>
  <c r="DG787" i="93"/>
  <c r="BC788" i="93"/>
  <c r="DI788" i="93"/>
  <c r="JJ789" i="93"/>
  <c r="GP789" i="93"/>
  <c r="JO790" i="93"/>
  <c r="BX790" i="93"/>
  <c r="FA790" i="93"/>
  <c r="GI791" i="93"/>
  <c r="FB792" i="93"/>
  <c r="GV792" i="93"/>
  <c r="JI792" i="93"/>
  <c r="BJ793" i="93"/>
  <c r="DB793" i="93"/>
  <c r="IJ793" i="93"/>
  <c r="AK794" i="93"/>
  <c r="FQ794" i="93"/>
  <c r="GM796" i="93"/>
  <c r="DB798" i="93"/>
  <c r="BE798" i="93"/>
  <c r="EI798" i="93"/>
  <c r="IO800" i="93"/>
  <c r="DC800" i="93"/>
  <c r="AS800" i="93"/>
  <c r="EC800" i="93"/>
  <c r="HP801" i="93"/>
  <c r="IS804" i="93"/>
  <c r="GG804" i="93"/>
  <c r="K885" i="93"/>
  <c r="J889" i="93"/>
  <c r="I894" i="93"/>
  <c r="L1763" i="93"/>
  <c r="DN767" i="93"/>
  <c r="JA771" i="93"/>
  <c r="DE771" i="93"/>
  <c r="JE771" i="93"/>
  <c r="AH772" i="93"/>
  <c r="AC778" i="93"/>
  <c r="BS778" i="93"/>
  <c r="DZ778" i="93"/>
  <c r="AJ784" i="93"/>
  <c r="GY785" i="93"/>
  <c r="FZ785" i="93"/>
  <c r="AB793" i="93"/>
  <c r="DP793" i="93"/>
  <c r="BE794" i="93"/>
  <c r="BU794" i="93"/>
  <c r="FR794" i="93"/>
  <c r="BU798" i="93"/>
  <c r="EY798" i="93"/>
  <c r="BG800" i="93"/>
  <c r="EQ800" i="93"/>
  <c r="Y802" i="93"/>
  <c r="IA803" i="93"/>
  <c r="BG803" i="93"/>
  <c r="GW804" i="93"/>
  <c r="I907" i="93"/>
  <c r="Q1766" i="93"/>
  <c r="LW804" i="94"/>
  <c r="CX804" i="94"/>
  <c r="KV804" i="94"/>
  <c r="HW808" i="94"/>
  <c r="J941" i="94"/>
  <c r="L959" i="94"/>
  <c r="J963" i="94"/>
  <c r="H968" i="94"/>
  <c r="F1001" i="94"/>
  <c r="P1977" i="94"/>
  <c r="J469" i="93"/>
  <c r="S474" i="93"/>
  <c r="P513" i="93"/>
  <c r="A526" i="93"/>
  <c r="U540" i="93"/>
  <c r="HQ767" i="93"/>
  <c r="AW767" i="93"/>
  <c r="CH767" i="93"/>
  <c r="ED767" i="93"/>
  <c r="GN767" i="93"/>
  <c r="IL768" i="93"/>
  <c r="A770" i="93"/>
  <c r="JD771" i="93"/>
  <c r="EF771" i="93"/>
  <c r="GR771" i="93"/>
  <c r="JF771" i="93"/>
  <c r="BZ772" i="93"/>
  <c r="FQ772" i="93"/>
  <c r="IC772" i="93"/>
  <c r="ED775" i="93"/>
  <c r="CM776" i="93"/>
  <c r="IL776" i="93"/>
  <c r="FN777" i="93"/>
  <c r="IT777" i="93"/>
  <c r="AK778" i="93"/>
  <c r="CD778" i="93"/>
  <c r="FA782" i="93"/>
  <c r="AX784" i="93"/>
  <c r="EI785" i="93"/>
  <c r="GU785" i="93"/>
  <c r="EX787" i="93"/>
  <c r="BN788" i="93"/>
  <c r="EF788" i="93"/>
  <c r="IP788" i="93"/>
  <c r="HZ789" i="93"/>
  <c r="CQ790" i="93"/>
  <c r="HG790" i="93"/>
  <c r="IW791" i="93"/>
  <c r="AN792" i="93"/>
  <c r="FM792" i="93"/>
  <c r="HD792" i="93"/>
  <c r="JQ792" i="93"/>
  <c r="AC793" i="93"/>
  <c r="BY793" i="93"/>
  <c r="FA793" i="93"/>
  <c r="BV794" i="93"/>
  <c r="GX794" i="93"/>
  <c r="JE795" i="93"/>
  <c r="GW796" i="93"/>
  <c r="IZ798" i="93"/>
  <c r="BX798" i="93"/>
  <c r="FR798" i="93"/>
  <c r="HU799" i="93"/>
  <c r="BJ800" i="93"/>
  <c r="FB800" i="93"/>
  <c r="JP801" i="93"/>
  <c r="CD803" i="93"/>
  <c r="HE804" i="93"/>
  <c r="M885" i="93"/>
  <c r="L889" i="93"/>
  <c r="I903" i="93"/>
  <c r="H916" i="93"/>
  <c r="J1569" i="93"/>
  <c r="P1565" i="93" s="1"/>
  <c r="CO772" i="93"/>
  <c r="AL778" i="93"/>
  <c r="CE778" i="93"/>
  <c r="AY784" i="93"/>
  <c r="AP793" i="93"/>
  <c r="CP794" i="93"/>
  <c r="HU794" i="93"/>
  <c r="GQ800" i="93"/>
  <c r="BJ802" i="93"/>
  <c r="HU804" i="93"/>
  <c r="F1569" i="93"/>
  <c r="P1564" i="93" s="1"/>
  <c r="T1767" i="93"/>
  <c r="Q1858" i="93"/>
  <c r="A805" i="94"/>
  <c r="FJ806" i="94"/>
  <c r="FE806" i="94"/>
  <c r="J972" i="94"/>
  <c r="P453" i="93"/>
  <c r="A561" i="93"/>
  <c r="P566" i="93"/>
  <c r="P582" i="93"/>
  <c r="P586" i="93" s="1"/>
  <c r="L730" i="93"/>
  <c r="BO767" i="93"/>
  <c r="CO767" i="93"/>
  <c r="EO767" i="93"/>
  <c r="HV767" i="93"/>
  <c r="HE771" i="93"/>
  <c r="FE771" i="93"/>
  <c r="HB771" i="93"/>
  <c r="CP772" i="93"/>
  <c r="GS773" i="93"/>
  <c r="DV776" i="93"/>
  <c r="AE777" i="93"/>
  <c r="IT778" i="93"/>
  <c r="AS778" i="93"/>
  <c r="CI778" i="93"/>
  <c r="EY778" i="93"/>
  <c r="BL781" i="93"/>
  <c r="BR783" i="93"/>
  <c r="HK785" i="93"/>
  <c r="IE787" i="93"/>
  <c r="W788" i="93"/>
  <c r="CJ788" i="93"/>
  <c r="EJ788" i="93"/>
  <c r="DA789" i="93"/>
  <c r="AL790" i="93"/>
  <c r="EA790" i="93"/>
  <c r="BV791" i="93"/>
  <c r="CZ792" i="93"/>
  <c r="CH792" i="93"/>
  <c r="FS792" i="93"/>
  <c r="AR793" i="93"/>
  <c r="CG793" i="93"/>
  <c r="EL794" i="93"/>
  <c r="CY794" i="93"/>
  <c r="HY794" i="93"/>
  <c r="EQ796" i="93"/>
  <c r="HT796" i="93"/>
  <c r="CP798" i="93"/>
  <c r="HN798" i="93"/>
  <c r="CO800" i="93"/>
  <c r="ID800" i="93"/>
  <c r="IK802" i="93"/>
  <c r="BQ802" i="93"/>
  <c r="DN803" i="93"/>
  <c r="P889" i="93"/>
  <c r="L907" i="93"/>
  <c r="M1723" i="93"/>
  <c r="P1723" i="93" s="1"/>
  <c r="K1732" i="93"/>
  <c r="F925" i="93"/>
  <c r="E170" i="90"/>
  <c r="S522" i="94"/>
  <c r="F934" i="93"/>
  <c r="G563" i="94"/>
  <c r="F117" i="78"/>
  <c r="S554" i="93"/>
  <c r="D16" i="83"/>
  <c r="F15" i="85"/>
  <c r="C29" i="84"/>
  <c r="K33" i="84" s="1"/>
  <c r="J613" i="94"/>
  <c r="L393" i="93"/>
  <c r="L408" i="94"/>
  <c r="F56" i="86"/>
  <c r="J483" i="94"/>
  <c r="G474" i="93"/>
  <c r="F35" i="78"/>
  <c r="E36" i="78"/>
  <c r="F36" i="78"/>
  <c r="E37" i="78"/>
  <c r="P132" i="78"/>
  <c r="P149" i="78" s="1"/>
  <c r="P151" i="78" s="1"/>
  <c r="P153" i="78" s="1"/>
  <c r="H8" i="84"/>
  <c r="F14" i="85" s="1"/>
  <c r="A3" i="83" s="1"/>
  <c r="A1" i="77"/>
  <c r="A3" i="71"/>
  <c r="C63" i="74"/>
  <c r="G34" i="86" s="1"/>
  <c r="P420" i="94"/>
  <c r="H31" i="74"/>
  <c r="H985" i="93" s="1"/>
  <c r="F63" i="74"/>
  <c r="F1015" i="93" s="1"/>
  <c r="G31" i="74"/>
  <c r="H14" i="86" s="1"/>
  <c r="V132" i="78"/>
  <c r="X48" i="75"/>
  <c r="K56" i="75" s="1"/>
  <c r="AF48" i="75"/>
  <c r="N57" i="75" s="1"/>
  <c r="AN48" i="75"/>
  <c r="L59" i="75" s="1"/>
  <c r="O59" i="75" s="1"/>
  <c r="H88" i="94" s="1"/>
  <c r="AV48" i="75"/>
  <c r="J61" i="75" s="1"/>
  <c r="BD48" i="75"/>
  <c r="M62" i="75" s="1"/>
  <c r="BL48" i="75"/>
  <c r="K87" i="75" s="1"/>
  <c r="BT48" i="75"/>
  <c r="N86" i="75" s="1"/>
  <c r="CB48" i="75"/>
  <c r="L84" i="75" s="1"/>
  <c r="CJ48" i="75"/>
  <c r="J82" i="75" s="1"/>
  <c r="CR48" i="75"/>
  <c r="M81" i="75" s="1"/>
  <c r="CZ48" i="75"/>
  <c r="K97" i="75" s="1"/>
  <c r="DH48" i="75"/>
  <c r="N96" i="75" s="1"/>
  <c r="O96" i="75" s="1"/>
  <c r="DP48" i="75"/>
  <c r="L94" i="75" s="1"/>
  <c r="DX48" i="75"/>
  <c r="J92" i="75" s="1"/>
  <c r="EF48" i="75"/>
  <c r="M66" i="75" s="1"/>
  <c r="GJ48" i="75"/>
  <c r="N101" i="75" s="1"/>
  <c r="GR48" i="75"/>
  <c r="GZ48" i="75"/>
  <c r="J105" i="75" s="1"/>
  <c r="HH48" i="75"/>
  <c r="HP48" i="75"/>
  <c r="K108" i="75" s="1"/>
  <c r="HX48" i="75"/>
  <c r="IF48" i="75"/>
  <c r="L124" i="75" s="1"/>
  <c r="IN48" i="75"/>
  <c r="J130" i="75" s="1"/>
  <c r="IV48" i="75"/>
  <c r="M131" i="75" s="1"/>
  <c r="JD48" i="75"/>
  <c r="K129" i="75" s="1"/>
  <c r="JL48" i="75"/>
  <c r="N126" i="75" s="1"/>
  <c r="JT48" i="75"/>
  <c r="L116" i="75" s="1"/>
  <c r="KB48" i="75"/>
  <c r="J118" i="75" s="1"/>
  <c r="KJ48" i="75"/>
  <c r="M119" i="75" s="1"/>
  <c r="KR48" i="75"/>
  <c r="K121" i="75" s="1"/>
  <c r="K140" i="75" s="1"/>
  <c r="K1150" i="93" s="1"/>
  <c r="KZ48" i="75"/>
  <c r="N122" i="75" s="1"/>
  <c r="LH48" i="75"/>
  <c r="LP48" i="75"/>
  <c r="LX48" i="75"/>
  <c r="MF48" i="75"/>
  <c r="MN48" i="75"/>
  <c r="K11" i="75"/>
  <c r="L11" i="75" s="1"/>
  <c r="AB48" i="75"/>
  <c r="J57" i="75" s="1"/>
  <c r="AJ48" i="75"/>
  <c r="M58" i="75" s="1"/>
  <c r="AR48" i="75"/>
  <c r="K60" i="75" s="1"/>
  <c r="AZ48" i="75"/>
  <c r="N61" i="75" s="1"/>
  <c r="BH48" i="75"/>
  <c r="L64" i="75" s="1"/>
  <c r="BP48" i="75"/>
  <c r="J86" i="75" s="1"/>
  <c r="BX48" i="75"/>
  <c r="M85" i="75" s="1"/>
  <c r="CF48" i="75"/>
  <c r="K83" i="75" s="1"/>
  <c r="CN48" i="75"/>
  <c r="N82" i="75" s="1"/>
  <c r="CV48" i="75"/>
  <c r="L98" i="75" s="1"/>
  <c r="DD48" i="75"/>
  <c r="J96" i="75" s="1"/>
  <c r="DL48" i="75"/>
  <c r="M95" i="75" s="1"/>
  <c r="DT48" i="75"/>
  <c r="K93" i="75" s="1"/>
  <c r="EB48" i="75"/>
  <c r="N92" i="75" s="1"/>
  <c r="EJ48" i="75"/>
  <c r="L145" i="75" s="1"/>
  <c r="ER48" i="75"/>
  <c r="J147" i="75" s="1"/>
  <c r="EZ48" i="75"/>
  <c r="M148" i="75" s="1"/>
  <c r="FH48" i="75"/>
  <c r="K150" i="75" s="1"/>
  <c r="FP48" i="75"/>
  <c r="N151" i="75" s="1"/>
  <c r="FX48" i="75"/>
  <c r="GF48" i="75"/>
  <c r="J101" i="75" s="1"/>
  <c r="GN48" i="75"/>
  <c r="M102" i="75" s="1"/>
  <c r="GV48" i="75"/>
  <c r="K104" i="75" s="1"/>
  <c r="HD48" i="75"/>
  <c r="N105" i="75" s="1"/>
  <c r="HL48" i="75"/>
  <c r="L107" i="75" s="1"/>
  <c r="HT48" i="75"/>
  <c r="IB48" i="75"/>
  <c r="IJ48" i="75"/>
  <c r="K125" i="75" s="1"/>
  <c r="IR48" i="75"/>
  <c r="N130" i="75" s="1"/>
  <c r="IZ48" i="75"/>
  <c r="L128" i="75" s="1"/>
  <c r="JH48" i="75"/>
  <c r="J126" i="75" s="1"/>
  <c r="JP48" i="75"/>
  <c r="M127" i="75" s="1"/>
  <c r="JX48" i="75"/>
  <c r="K117" i="75" s="1"/>
  <c r="KF48" i="75"/>
  <c r="N118" i="75" s="1"/>
  <c r="N141" i="75" s="1"/>
  <c r="KN48" i="75"/>
  <c r="L120" i="75" s="1"/>
  <c r="L139" i="75" s="1"/>
  <c r="F1151" i="93" s="1"/>
  <c r="KV48" i="75"/>
  <c r="J122" i="75" s="1"/>
  <c r="LD48" i="75"/>
  <c r="M123" i="75" s="1"/>
  <c r="LL48" i="75"/>
  <c r="LT48" i="75"/>
  <c r="MB48" i="75"/>
  <c r="MJ48" i="75"/>
  <c r="MR48" i="75"/>
  <c r="N40" i="66"/>
  <c r="E122" i="74"/>
  <c r="B60" i="74"/>
  <c r="G28" i="74"/>
  <c r="G982" i="93" s="1"/>
  <c r="G990" i="93" s="1"/>
  <c r="P418" i="94"/>
  <c r="F28" i="74"/>
  <c r="F982" i="93" s="1"/>
  <c r="F990" i="93" s="1"/>
  <c r="D92" i="74"/>
  <c r="D1042" i="93" s="1"/>
  <c r="D1049" i="93" s="1"/>
  <c r="Z48" i="75"/>
  <c r="M56" i="75" s="1"/>
  <c r="AH48" i="75"/>
  <c r="K58" i="75" s="1"/>
  <c r="AP48" i="75"/>
  <c r="N59" i="75" s="1"/>
  <c r="AX48" i="75"/>
  <c r="L61" i="75" s="1"/>
  <c r="BF48" i="75"/>
  <c r="J64" i="75" s="1"/>
  <c r="BN48" i="75"/>
  <c r="M87" i="75" s="1"/>
  <c r="BV48" i="75"/>
  <c r="K85" i="75" s="1"/>
  <c r="CD48" i="75"/>
  <c r="N84" i="75" s="1"/>
  <c r="CL48" i="75"/>
  <c r="L82" i="75" s="1"/>
  <c r="CT48" i="75"/>
  <c r="J98" i="75" s="1"/>
  <c r="DB48" i="75"/>
  <c r="M97" i="75" s="1"/>
  <c r="DJ48" i="75"/>
  <c r="K95" i="75" s="1"/>
  <c r="DR48" i="75"/>
  <c r="N94" i="75" s="1"/>
  <c r="DZ48" i="75"/>
  <c r="L92" i="75" s="1"/>
  <c r="EH48" i="75"/>
  <c r="J145" i="75" s="1"/>
  <c r="EP48" i="75"/>
  <c r="M146" i="75" s="1"/>
  <c r="EX48" i="75"/>
  <c r="K148" i="75" s="1"/>
  <c r="FF48" i="75"/>
  <c r="N149" i="75" s="1"/>
  <c r="FN48" i="75"/>
  <c r="L151" i="75" s="1"/>
  <c r="FV48" i="75"/>
  <c r="GD48" i="75"/>
  <c r="M155" i="75" s="1"/>
  <c r="GL48" i="75"/>
  <c r="K102" i="75" s="1"/>
  <c r="GT48" i="75"/>
  <c r="HB48" i="75"/>
  <c r="L105" i="75" s="1"/>
  <c r="HJ48" i="75"/>
  <c r="J107" i="75" s="1"/>
  <c r="J109" i="75" s="1"/>
  <c r="HR48" i="75"/>
  <c r="M108" i="75" s="1"/>
  <c r="HZ48" i="75"/>
  <c r="IH48" i="75"/>
  <c r="N124" i="75" s="1"/>
  <c r="IP48" i="75"/>
  <c r="L130" i="75" s="1"/>
  <c r="IX48" i="75"/>
  <c r="J128" i="75" s="1"/>
  <c r="JF48" i="75"/>
  <c r="M129" i="75" s="1"/>
  <c r="JN48" i="75"/>
  <c r="K127" i="75" s="1"/>
  <c r="JV48" i="75"/>
  <c r="N116" i="75" s="1"/>
  <c r="KD48" i="75"/>
  <c r="L118" i="75" s="1"/>
  <c r="KL48" i="75"/>
  <c r="J120" i="75" s="1"/>
  <c r="J139" i="75" s="1"/>
  <c r="KT48" i="75"/>
  <c r="M121" i="75" s="1"/>
  <c r="M140" i="75" s="1"/>
  <c r="K1152" i="93" s="1"/>
  <c r="LB48" i="75"/>
  <c r="K123" i="75" s="1"/>
  <c r="LJ48" i="75"/>
  <c r="LR48" i="75"/>
  <c r="LZ48" i="75"/>
  <c r="MH48" i="75"/>
  <c r="MP48" i="75"/>
  <c r="B91" i="74"/>
  <c r="E121" i="74"/>
  <c r="E1069" i="93" s="1"/>
  <c r="E1076" i="93" s="1"/>
  <c r="B59" i="74"/>
  <c r="B1011" i="93" s="1"/>
  <c r="B1019" i="93" s="1"/>
  <c r="P417" i="94"/>
  <c r="G27" i="74"/>
  <c r="G35" i="74" s="1"/>
  <c r="G1050" i="94" s="1"/>
  <c r="C27" i="74"/>
  <c r="C981" i="93" s="1"/>
  <c r="C989" i="93" s="1"/>
  <c r="F121" i="74"/>
  <c r="F1069" i="93" s="1"/>
  <c r="F1076" i="93" s="1"/>
  <c r="K91" i="74"/>
  <c r="K1041" i="93" s="1"/>
  <c r="K1048" i="93" s="1"/>
  <c r="S132" i="78"/>
  <c r="L409" i="94"/>
  <c r="J132" i="78"/>
  <c r="J149" i="78" s="1"/>
  <c r="J151" i="78" s="1"/>
  <c r="J153" i="78" s="1"/>
  <c r="L32" i="68"/>
  <c r="L33" i="68" s="1"/>
  <c r="J90" i="74"/>
  <c r="J1040" i="93" s="1"/>
  <c r="J1047" i="93" s="1"/>
  <c r="K90" i="74"/>
  <c r="K1040" i="93" s="1"/>
  <c r="K1047" i="93" s="1"/>
  <c r="P416" i="94"/>
  <c r="D26" i="74"/>
  <c r="D980" i="93" s="1"/>
  <c r="D988" i="93" s="1"/>
  <c r="C26" i="74"/>
  <c r="C34" i="74" s="1"/>
  <c r="C1049" i="94" s="1"/>
  <c r="D38" i="78"/>
  <c r="AC48" i="75"/>
  <c r="K57" i="75" s="1"/>
  <c r="AK48" i="75"/>
  <c r="N58" i="75" s="1"/>
  <c r="AS48" i="75"/>
  <c r="L60" i="75" s="1"/>
  <c r="BA48" i="75"/>
  <c r="J62" i="75" s="1"/>
  <c r="BI48" i="75"/>
  <c r="M64" i="75" s="1"/>
  <c r="BQ48" i="75"/>
  <c r="K86" i="75" s="1"/>
  <c r="BY48" i="75"/>
  <c r="N85" i="75" s="1"/>
  <c r="CG48" i="75"/>
  <c r="L83" i="75" s="1"/>
  <c r="CO48" i="75"/>
  <c r="J81" i="75" s="1"/>
  <c r="CW48" i="75"/>
  <c r="M98" i="75" s="1"/>
  <c r="DE48" i="75"/>
  <c r="K96" i="75" s="1"/>
  <c r="DM48" i="75"/>
  <c r="N95" i="75" s="1"/>
  <c r="DU48" i="75"/>
  <c r="L93" i="75" s="1"/>
  <c r="EC48" i="75"/>
  <c r="J66" i="75" s="1"/>
  <c r="EK48" i="75"/>
  <c r="M145" i="75" s="1"/>
  <c r="ES48" i="75"/>
  <c r="K147" i="75" s="1"/>
  <c r="FA48" i="75"/>
  <c r="N148" i="75" s="1"/>
  <c r="FI48" i="75"/>
  <c r="L150" i="75" s="1"/>
  <c r="FQ48" i="75"/>
  <c r="J153" i="75" s="1"/>
  <c r="FY48" i="75"/>
  <c r="GG48" i="75"/>
  <c r="K101" i="75" s="1"/>
  <c r="GO48" i="75"/>
  <c r="N102" i="75" s="1"/>
  <c r="GW48" i="75"/>
  <c r="L104" i="75" s="1"/>
  <c r="HE48" i="75"/>
  <c r="HM48" i="75"/>
  <c r="M107" i="75" s="1"/>
  <c r="HU48" i="75"/>
  <c r="IC48" i="75"/>
  <c r="IK48" i="75"/>
  <c r="L125" i="75" s="1"/>
  <c r="IS48" i="75"/>
  <c r="J131" i="75" s="1"/>
  <c r="JA48" i="75"/>
  <c r="M128" i="75" s="1"/>
  <c r="JI48" i="75"/>
  <c r="K126" i="75" s="1"/>
  <c r="K137" i="75" s="1"/>
  <c r="JQ48" i="75"/>
  <c r="N127" i="75" s="1"/>
  <c r="JY48" i="75"/>
  <c r="L117" i="75" s="1"/>
  <c r="KG48" i="75"/>
  <c r="J119" i="75" s="1"/>
  <c r="KO48" i="75"/>
  <c r="M120" i="75" s="1"/>
  <c r="M139" i="75" s="1"/>
  <c r="F58" i="73" s="1"/>
  <c r="KW48" i="75"/>
  <c r="K122" i="75" s="1"/>
  <c r="LE48" i="75"/>
  <c r="N123" i="75" s="1"/>
  <c r="LM48" i="75"/>
  <c r="LU48" i="75"/>
  <c r="MC48" i="75"/>
  <c r="MK48" i="75"/>
  <c r="MS48" i="75"/>
  <c r="C58" i="84"/>
  <c r="G58" i="84" s="1"/>
  <c r="P450" i="72"/>
  <c r="F11" i="86"/>
  <c r="G16" i="86"/>
  <c r="G36" i="86"/>
  <c r="G56" i="86"/>
  <c r="V571" i="94"/>
  <c r="MN773" i="94"/>
  <c r="AP773" i="94"/>
  <c r="EA773" i="94"/>
  <c r="GB773" i="94"/>
  <c r="HZ773" i="94"/>
  <c r="JF773" i="94"/>
  <c r="KL773" i="94"/>
  <c r="LZ773" i="94"/>
  <c r="LA776" i="94"/>
  <c r="BM776" i="94"/>
  <c r="EZ776" i="94"/>
  <c r="IM776" i="94"/>
  <c r="LK777" i="94"/>
  <c r="X777" i="94"/>
  <c r="AK777" i="94"/>
  <c r="BA777" i="94"/>
  <c r="BQ777" i="94"/>
  <c r="CC777" i="94"/>
  <c r="CS777" i="94"/>
  <c r="DF777" i="94"/>
  <c r="DV777" i="94"/>
  <c r="EL777" i="94"/>
  <c r="EX777" i="94"/>
  <c r="FN777" i="94"/>
  <c r="GA777" i="94"/>
  <c r="GZ777" i="94"/>
  <c r="HU777" i="94"/>
  <c r="LN777" i="94"/>
  <c r="JU780" i="94"/>
  <c r="JN781" i="94"/>
  <c r="KX781" i="94"/>
  <c r="JB782" i="94"/>
  <c r="HV784" i="94"/>
  <c r="LX784" i="94"/>
  <c r="DS793" i="94"/>
  <c r="CY793" i="94"/>
  <c r="CH793" i="94"/>
  <c r="LG798" i="94"/>
  <c r="GU798" i="94"/>
  <c r="FO798" i="94"/>
  <c r="EI798" i="94"/>
  <c r="AQ798" i="94"/>
  <c r="FH798" i="94"/>
  <c r="AJ798" i="94"/>
  <c r="EY798" i="94"/>
  <c r="LS798" i="94"/>
  <c r="EU798" i="94"/>
  <c r="BG798" i="94"/>
  <c r="AA798" i="94"/>
  <c r="GA798" i="94"/>
  <c r="H11" i="86"/>
  <c r="L232" i="72"/>
  <c r="L1784" i="93" s="1"/>
  <c r="H56" i="86"/>
  <c r="P77" i="94"/>
  <c r="G483" i="94"/>
  <c r="P571" i="94"/>
  <c r="AQ773" i="94"/>
  <c r="EE773" i="94"/>
  <c r="GC773" i="94"/>
  <c r="IA773" i="94"/>
  <c r="JG773" i="94"/>
  <c r="KM773" i="94"/>
  <c r="MH773" i="94"/>
  <c r="AP775" i="94"/>
  <c r="EG775" i="94"/>
  <c r="GE775" i="94"/>
  <c r="BV776" i="94"/>
  <c r="FI776" i="94"/>
  <c r="IW776" i="94"/>
  <c r="LE777" i="94"/>
  <c r="Y777" i="94"/>
  <c r="AO777" i="94"/>
  <c r="BB777" i="94"/>
  <c r="BR777" i="94"/>
  <c r="CD777" i="94"/>
  <c r="CT777" i="94"/>
  <c r="DJ777" i="94"/>
  <c r="DW777" i="94"/>
  <c r="EM777" i="94"/>
  <c r="EY777" i="94"/>
  <c r="FO777" i="94"/>
  <c r="GE777" i="94"/>
  <c r="HA777" i="94"/>
  <c r="IA777" i="94"/>
  <c r="JE777" i="94"/>
  <c r="KP777" i="94"/>
  <c r="LO777" i="94"/>
  <c r="MQ777" i="94"/>
  <c r="MI779" i="94"/>
  <c r="IL779" i="94"/>
  <c r="JM779" i="94"/>
  <c r="KL779" i="94"/>
  <c r="MK779" i="94"/>
  <c r="IL781" i="94"/>
  <c r="JO781" i="94"/>
  <c r="LA781" i="94"/>
  <c r="JP782" i="94"/>
  <c r="MO784" i="94"/>
  <c r="HW784" i="94"/>
  <c r="ML786" i="94"/>
  <c r="MG786" i="94"/>
  <c r="LD786" i="94"/>
  <c r="JR786" i="94"/>
  <c r="IF786" i="94"/>
  <c r="HE786" i="94"/>
  <c r="FZ786" i="94"/>
  <c r="FD786" i="94"/>
  <c r="EJ786" i="94"/>
  <c r="DN786" i="94"/>
  <c r="CR786" i="94"/>
  <c r="BX786" i="94"/>
  <c r="BB786" i="94"/>
  <c r="AF786" i="94"/>
  <c r="MC786" i="94"/>
  <c r="KQ786" i="94"/>
  <c r="JL786" i="94"/>
  <c r="IB786" i="94"/>
  <c r="GP786" i="94"/>
  <c r="FT786" i="94"/>
  <c r="EZ786" i="94"/>
  <c r="ED786" i="94"/>
  <c r="DH786" i="94"/>
  <c r="CN786" i="94"/>
  <c r="BR786" i="94"/>
  <c r="AV786" i="94"/>
  <c r="AB786" i="94"/>
  <c r="LN786" i="94"/>
  <c r="KK786" i="94"/>
  <c r="JA786" i="94"/>
  <c r="HV786" i="94"/>
  <c r="GJ786" i="94"/>
  <c r="FP786" i="94"/>
  <c r="ET786" i="94"/>
  <c r="DX786" i="94"/>
  <c r="DD786" i="94"/>
  <c r="CH786" i="94"/>
  <c r="BL786" i="94"/>
  <c r="AR786" i="94"/>
  <c r="LG786" i="94"/>
  <c r="IV786" i="94"/>
  <c r="GZ786" i="94"/>
  <c r="FJ786" i="94"/>
  <c r="EC786" i="94"/>
  <c r="CW786" i="94"/>
  <c r="BK786" i="94"/>
  <c r="AE786" i="94"/>
  <c r="KR786" i="94"/>
  <c r="IU786" i="94"/>
  <c r="GO786" i="94"/>
  <c r="FI786" i="94"/>
  <c r="DW786" i="94"/>
  <c r="CQ786" i="94"/>
  <c r="BH786" i="94"/>
  <c r="Y786" i="94"/>
  <c r="LA786" i="94"/>
  <c r="AO786" i="94"/>
  <c r="CG786" i="94"/>
  <c r="EG786" i="94"/>
  <c r="FY786" i="94"/>
  <c r="IE786" i="94"/>
  <c r="LH786" i="94"/>
  <c r="LX788" i="94"/>
  <c r="LW788" i="94"/>
  <c r="GY788" i="94"/>
  <c r="FJ793" i="94"/>
  <c r="AU793" i="94"/>
  <c r="FK793" i="94"/>
  <c r="AN793" i="94"/>
  <c r="LF793" i="94"/>
  <c r="HF793" i="94"/>
  <c r="GY793" i="94"/>
  <c r="GB793" i="94"/>
  <c r="EE793" i="94"/>
  <c r="AD793" i="94"/>
  <c r="LO793" i="94"/>
  <c r="AZ798" i="94"/>
  <c r="P483" i="94"/>
  <c r="A507" i="94"/>
  <c r="G528" i="94"/>
  <c r="U555" i="94"/>
  <c r="J563" i="94"/>
  <c r="G571" i="94"/>
  <c r="J575" i="94"/>
  <c r="ML773" i="94"/>
  <c r="KR773" i="94"/>
  <c r="BO773" i="94"/>
  <c r="EF773" i="94"/>
  <c r="GD773" i="94"/>
  <c r="IH773" i="94"/>
  <c r="JN773" i="94"/>
  <c r="KT773" i="94"/>
  <c r="MI773" i="94"/>
  <c r="MS775" i="94"/>
  <c r="MM775" i="94"/>
  <c r="AX775" i="94"/>
  <c r="EP775" i="94"/>
  <c r="GL775" i="94"/>
  <c r="IX775" i="94"/>
  <c r="KD775" i="94"/>
  <c r="LZ775" i="94"/>
  <c r="MS776" i="94"/>
  <c r="CE776" i="94"/>
  <c r="FR776" i="94"/>
  <c r="JF776" i="94"/>
  <c r="LW777" i="94"/>
  <c r="Z777" i="94"/>
  <c r="AP777" i="94"/>
  <c r="BC777" i="94"/>
  <c r="BS777" i="94"/>
  <c r="CI777" i="94"/>
  <c r="CU777" i="94"/>
  <c r="DK777" i="94"/>
  <c r="DX777" i="94"/>
  <c r="EN777" i="94"/>
  <c r="FD777" i="94"/>
  <c r="FQ777" i="94"/>
  <c r="GH777" i="94"/>
  <c r="HB777" i="94"/>
  <c r="IC777" i="94"/>
  <c r="JM777" i="94"/>
  <c r="KX777" i="94"/>
  <c r="LP777" i="94"/>
  <c r="MS777" i="94"/>
  <c r="W778" i="94"/>
  <c r="AS778" i="94"/>
  <c r="BZ778" i="94"/>
  <c r="DJ778" i="94"/>
  <c r="EM778" i="94"/>
  <c r="FY778" i="94"/>
  <c r="HI778" i="94"/>
  <c r="JJ778" i="94"/>
  <c r="LV778" i="94"/>
  <c r="GD779" i="94"/>
  <c r="IO779" i="94"/>
  <c r="JN779" i="94"/>
  <c r="KM779" i="94"/>
  <c r="ML779" i="94"/>
  <c r="BK780" i="94"/>
  <c r="DJ780" i="94"/>
  <c r="FJ780" i="94"/>
  <c r="HI780" i="94"/>
  <c r="LI780" i="94"/>
  <c r="DC781" i="94"/>
  <c r="GD781" i="94"/>
  <c r="IO781" i="94"/>
  <c r="JY781" i="94"/>
  <c r="LB781" i="94"/>
  <c r="KE782" i="94"/>
  <c r="AI783" i="94"/>
  <c r="BE783" i="94"/>
  <c r="BW783" i="94"/>
  <c r="CO783" i="94"/>
  <c r="DJ783" i="94"/>
  <c r="EB783" i="94"/>
  <c r="EU783" i="94"/>
  <c r="FP783" i="94"/>
  <c r="GI783" i="94"/>
  <c r="HC783" i="94"/>
  <c r="JH783" i="94"/>
  <c r="BB784" i="94"/>
  <c r="CX784" i="94"/>
  <c r="FD784" i="94"/>
  <c r="IB784" i="94"/>
  <c r="MR785" i="94"/>
  <c r="MF785" i="94"/>
  <c r="KN785" i="94"/>
  <c r="JT785" i="94"/>
  <c r="IX785" i="94"/>
  <c r="IB785" i="94"/>
  <c r="EP785" i="94"/>
  <c r="LD785" i="94"/>
  <c r="KJ785" i="94"/>
  <c r="JN785" i="94"/>
  <c r="IR785" i="94"/>
  <c r="HX785" i="94"/>
  <c r="EC785" i="94"/>
  <c r="MP785" i="94"/>
  <c r="KZ785" i="94"/>
  <c r="KD785" i="94"/>
  <c r="JH785" i="94"/>
  <c r="IN785" i="94"/>
  <c r="GF785" i="94"/>
  <c r="CZ785" i="94"/>
  <c r="KT785" i="94"/>
  <c r="JM785" i="94"/>
  <c r="IG785" i="94"/>
  <c r="AN785" i="94"/>
  <c r="MS785" i="94"/>
  <c r="KS785" i="94"/>
  <c r="JG785" i="94"/>
  <c r="IA785" i="94"/>
  <c r="FL785" i="94"/>
  <c r="JA785" i="94"/>
  <c r="KW785" i="94"/>
  <c r="AU786" i="94"/>
  <c r="CK786" i="94"/>
  <c r="EM786" i="94"/>
  <c r="GC786" i="94"/>
  <c r="IR786" i="94"/>
  <c r="LM786" i="94"/>
  <c r="AR787" i="94"/>
  <c r="CB787" i="94"/>
  <c r="DR787" i="94"/>
  <c r="EY787" i="94"/>
  <c r="GJ787" i="94"/>
  <c r="HU787" i="94"/>
  <c r="LL787" i="94"/>
  <c r="FI788" i="94"/>
  <c r="AI789" i="94"/>
  <c r="DQ789" i="94"/>
  <c r="MB792" i="94"/>
  <c r="BB793" i="94"/>
  <c r="LW793" i="94"/>
  <c r="BT795" i="94"/>
  <c r="KD796" i="94"/>
  <c r="EM797" i="94"/>
  <c r="MB798" i="94"/>
  <c r="BC798" i="94"/>
  <c r="HD798" i="94"/>
  <c r="G522" i="94"/>
  <c r="J522" i="94"/>
  <c r="M522" i="94"/>
  <c r="P522" i="94"/>
  <c r="G556" i="94"/>
  <c r="Q773" i="94"/>
  <c r="BV773" i="94"/>
  <c r="EG773" i="94"/>
  <c r="GE773" i="94"/>
  <c r="II773" i="94"/>
  <c r="JO773" i="94"/>
  <c r="KU773" i="94"/>
  <c r="MP773" i="94"/>
  <c r="BF775" i="94"/>
  <c r="EX775" i="94"/>
  <c r="MH775" i="94"/>
  <c r="CN776" i="94"/>
  <c r="GT776" i="94"/>
  <c r="JO776" i="94"/>
  <c r="MO777" i="94"/>
  <c r="MP777" i="94"/>
  <c r="AA777" i="94"/>
  <c r="AQ777" i="94"/>
  <c r="BG777" i="94"/>
  <c r="BT777" i="94"/>
  <c r="CJ777" i="94"/>
  <c r="CW777" i="94"/>
  <c r="DM777" i="94"/>
  <c r="EC777" i="94"/>
  <c r="EO777" i="94"/>
  <c r="FE777" i="94"/>
  <c r="FR777" i="94"/>
  <c r="GI777" i="94"/>
  <c r="HI777" i="94"/>
  <c r="ID777" i="94"/>
  <c r="JN777" i="94"/>
  <c r="KY777" i="94"/>
  <c r="LQ777" i="94"/>
  <c r="LR778" i="94"/>
  <c r="Y778" i="94"/>
  <c r="BA778" i="94"/>
  <c r="CA778" i="94"/>
  <c r="DM778" i="94"/>
  <c r="EW778" i="94"/>
  <c r="FZ778" i="94"/>
  <c r="HJ778" i="94"/>
  <c r="LW778" i="94"/>
  <c r="IP779" i="94"/>
  <c r="JO779" i="94"/>
  <c r="KO779" i="94"/>
  <c r="MO779" i="94"/>
  <c r="IP781" i="94"/>
  <c r="JZ781" i="94"/>
  <c r="KU782" i="94"/>
  <c r="BX783" i="94"/>
  <c r="CQ783" i="94"/>
  <c r="DL783" i="94"/>
  <c r="JR784" i="94"/>
  <c r="MM786" i="94"/>
  <c r="BA786" i="94"/>
  <c r="CX786" i="94"/>
  <c r="EN786" i="94"/>
  <c r="GF786" i="94"/>
  <c r="JB786" i="94"/>
  <c r="LX786" i="94"/>
  <c r="LS792" i="94"/>
  <c r="HL792" i="94"/>
  <c r="GT792" i="94"/>
  <c r="LW792" i="94"/>
  <c r="GF792" i="94"/>
  <c r="HT792" i="94"/>
  <c r="HJ792" i="94"/>
  <c r="BJ793" i="94"/>
  <c r="CM798" i="94"/>
  <c r="HG798" i="94"/>
  <c r="LL798" i="94"/>
  <c r="AD48" i="75"/>
  <c r="L57" i="75" s="1"/>
  <c r="AL48" i="75"/>
  <c r="J59" i="75" s="1"/>
  <c r="AT48" i="75"/>
  <c r="M60" i="75" s="1"/>
  <c r="BB48" i="75"/>
  <c r="K62" i="75" s="1"/>
  <c r="BJ48" i="75"/>
  <c r="N64" i="75" s="1"/>
  <c r="BR48" i="75"/>
  <c r="L86" i="75" s="1"/>
  <c r="BZ48" i="75"/>
  <c r="J84" i="75" s="1"/>
  <c r="CH48" i="75"/>
  <c r="M83" i="75" s="1"/>
  <c r="CP48" i="75"/>
  <c r="K81" i="75" s="1"/>
  <c r="CX48" i="75"/>
  <c r="N98" i="75" s="1"/>
  <c r="DF48" i="75"/>
  <c r="L96" i="75" s="1"/>
  <c r="DN48" i="75"/>
  <c r="J94" i="75" s="1"/>
  <c r="DV48" i="75"/>
  <c r="M93" i="75" s="1"/>
  <c r="ED48" i="75"/>
  <c r="K66" i="75" s="1"/>
  <c r="EL48" i="75"/>
  <c r="N145" i="75" s="1"/>
  <c r="ET48" i="75"/>
  <c r="L147" i="75" s="1"/>
  <c r="FB48" i="75"/>
  <c r="J149" i="75" s="1"/>
  <c r="FJ48" i="75"/>
  <c r="M150" i="75" s="1"/>
  <c r="FR48" i="75"/>
  <c r="K153" i="75" s="1"/>
  <c r="FZ48" i="75"/>
  <c r="GH48" i="75"/>
  <c r="L101" i="75" s="1"/>
  <c r="GP48" i="75"/>
  <c r="GX48" i="75"/>
  <c r="M104" i="75" s="1"/>
  <c r="HF48" i="75"/>
  <c r="HN48" i="75"/>
  <c r="N107" i="75" s="1"/>
  <c r="HV48" i="75"/>
  <c r="ID48" i="75"/>
  <c r="J124" i="75" s="1"/>
  <c r="IL48" i="75"/>
  <c r="M125" i="75" s="1"/>
  <c r="IT48" i="75"/>
  <c r="K131" i="75" s="1"/>
  <c r="JB48" i="75"/>
  <c r="N128" i="75" s="1"/>
  <c r="JJ48" i="75"/>
  <c r="L126" i="75" s="1"/>
  <c r="JR48" i="75"/>
  <c r="J116" i="75" s="1"/>
  <c r="JZ48" i="75"/>
  <c r="M117" i="75" s="1"/>
  <c r="KH48" i="75"/>
  <c r="K119" i="75" s="1"/>
  <c r="KP48" i="75"/>
  <c r="N120" i="75" s="1"/>
  <c r="N139" i="75" s="1"/>
  <c r="F1217" i="94" s="1"/>
  <c r="KX48" i="75"/>
  <c r="L122" i="75" s="1"/>
  <c r="LF48" i="75"/>
  <c r="LN48" i="75"/>
  <c r="LV48" i="75"/>
  <c r="MD48" i="75"/>
  <c r="ML48" i="75"/>
  <c r="C16" i="86"/>
  <c r="C36" i="86"/>
  <c r="M528" i="94"/>
  <c r="S556" i="94"/>
  <c r="P575" i="94"/>
  <c r="MD772" i="94"/>
  <c r="BW773" i="94"/>
  <c r="EX773" i="94"/>
  <c r="GU773" i="94"/>
  <c r="IP773" i="94"/>
  <c r="JV773" i="94"/>
  <c r="LB773" i="94"/>
  <c r="MQ773" i="94"/>
  <c r="ML775" i="94"/>
  <c r="DB775" i="94"/>
  <c r="FF775" i="94"/>
  <c r="JF775" i="94"/>
  <c r="KL775" i="94"/>
  <c r="MI775" i="94"/>
  <c r="CW776" i="94"/>
  <c r="HC776" i="94"/>
  <c r="JX776" i="94"/>
  <c r="AF777" i="94"/>
  <c r="AS777" i="94"/>
  <c r="BI777" i="94"/>
  <c r="BU777" i="94"/>
  <c r="CK777" i="94"/>
  <c r="DA777" i="94"/>
  <c r="DN777" i="94"/>
  <c r="ED777" i="94"/>
  <c r="EP777" i="94"/>
  <c r="FF777" i="94"/>
  <c r="FV777" i="94"/>
  <c r="GJ777" i="94"/>
  <c r="HJ777" i="94"/>
  <c r="IL777" i="94"/>
  <c r="JV777" i="94"/>
  <c r="LF777" i="94"/>
  <c r="LX777" i="94"/>
  <c r="KS778" i="94"/>
  <c r="Z778" i="94"/>
  <c r="BB778" i="94"/>
  <c r="CK778" i="94"/>
  <c r="DN778" i="94"/>
  <c r="EX778" i="94"/>
  <c r="GI778" i="94"/>
  <c r="HM778" i="94"/>
  <c r="KI778" i="94"/>
  <c r="MH778" i="94"/>
  <c r="IQ779" i="94"/>
  <c r="JQ779" i="94"/>
  <c r="KP779" i="94"/>
  <c r="MP779" i="94"/>
  <c r="BY780" i="94"/>
  <c r="DW780" i="94"/>
  <c r="FV780" i="94"/>
  <c r="IY781" i="94"/>
  <c r="KC781" i="94"/>
  <c r="Y783" i="94"/>
  <c r="AO783" i="94"/>
  <c r="BG783" i="94"/>
  <c r="BY783" i="94"/>
  <c r="CU783" i="94"/>
  <c r="FC783" i="94"/>
  <c r="FU783" i="94"/>
  <c r="GM783" i="94"/>
  <c r="HL783" i="94"/>
  <c r="LZ783" i="94"/>
  <c r="KH784" i="94"/>
  <c r="JQ785" i="94"/>
  <c r="BE786" i="94"/>
  <c r="DA786" i="94"/>
  <c r="ES786" i="94"/>
  <c r="GI786" i="94"/>
  <c r="JQ786" i="94"/>
  <c r="MD786" i="94"/>
  <c r="IP789" i="94"/>
  <c r="EX789" i="94"/>
  <c r="DH789" i="94"/>
  <c r="BP789" i="94"/>
  <c r="Z789" i="94"/>
  <c r="GD789" i="94"/>
  <c r="EN789" i="94"/>
  <c r="CV789" i="94"/>
  <c r="BF789" i="94"/>
  <c r="FT789" i="94"/>
  <c r="EB789" i="94"/>
  <c r="CL789" i="94"/>
  <c r="AV789" i="94"/>
  <c r="FG789" i="94"/>
  <c r="CK789" i="94"/>
  <c r="Y789" i="94"/>
  <c r="LL789" i="94"/>
  <c r="EW789" i="94"/>
  <c r="CB789" i="94"/>
  <c r="AS789" i="94"/>
  <c r="EA789" i="94"/>
  <c r="AN791" i="94"/>
  <c r="GI792" i="94"/>
  <c r="EM793" i="94"/>
  <c r="MR795" i="94"/>
  <c r="JT795" i="94"/>
  <c r="CA795" i="94"/>
  <c r="GR795" i="94"/>
  <c r="AY795" i="94"/>
  <c r="FW795" i="94"/>
  <c r="AV795" i="94"/>
  <c r="FT795" i="94"/>
  <c r="KR795" i="94"/>
  <c r="JS795" i="94"/>
  <c r="KU795" i="94"/>
  <c r="EU795" i="94"/>
  <c r="DL798" i="94"/>
  <c r="HK798" i="94"/>
  <c r="LO798" i="94"/>
  <c r="D16" i="86"/>
  <c r="D36" i="86"/>
  <c r="I435" i="94"/>
  <c r="G478" i="94"/>
  <c r="M509" i="94"/>
  <c r="P509" i="94"/>
  <c r="S509" i="94"/>
  <c r="V509" i="94"/>
  <c r="G509" i="94"/>
  <c r="A521" i="94"/>
  <c r="G550" i="94"/>
  <c r="A548" i="94"/>
  <c r="U549" i="94"/>
  <c r="M563" i="94"/>
  <c r="I749" i="94"/>
  <c r="KX772" i="94"/>
  <c r="ML772" i="94"/>
  <c r="CU773" i="94"/>
  <c r="EY773" i="94"/>
  <c r="HB773" i="94"/>
  <c r="IQ773" i="94"/>
  <c r="JW773" i="94"/>
  <c r="LC773" i="94"/>
  <c r="LV774" i="94"/>
  <c r="Q775" i="94"/>
  <c r="DJ775" i="94"/>
  <c r="GA775" i="94"/>
  <c r="JG775" i="94"/>
  <c r="KM775" i="94"/>
  <c r="MP775" i="94"/>
  <c r="DY776" i="94"/>
  <c r="HL776" i="94"/>
  <c r="KG776" i="94"/>
  <c r="AG777" i="94"/>
  <c r="AT777" i="94"/>
  <c r="BJ777" i="94"/>
  <c r="BZ777" i="94"/>
  <c r="CL777" i="94"/>
  <c r="DB777" i="94"/>
  <c r="DO777" i="94"/>
  <c r="EE777" i="94"/>
  <c r="EU777" i="94"/>
  <c r="FG777" i="94"/>
  <c r="FW777" i="94"/>
  <c r="GQ777" i="94"/>
  <c r="HK777" i="94"/>
  <c r="IM777" i="94"/>
  <c r="JW777" i="94"/>
  <c r="LG777" i="94"/>
  <c r="LY777" i="94"/>
  <c r="AG778" i="94"/>
  <c r="BC778" i="94"/>
  <c r="CL778" i="94"/>
  <c r="DW778" i="94"/>
  <c r="FA778" i="94"/>
  <c r="GK778" i="94"/>
  <c r="HV778" i="94"/>
  <c r="KW778" i="94"/>
  <c r="MK778" i="94"/>
  <c r="AS779" i="94"/>
  <c r="HZ779" i="94"/>
  <c r="IY779" i="94"/>
  <c r="JY779" i="94"/>
  <c r="KX779" i="94"/>
  <c r="MD780" i="94"/>
  <c r="BZ780" i="94"/>
  <c r="DY780" i="94"/>
  <c r="FY780" i="94"/>
  <c r="HW780" i="94"/>
  <c r="LY781" i="94"/>
  <c r="AQ781" i="94"/>
  <c r="ED781" i="94"/>
  <c r="JA781" i="94"/>
  <c r="KL781" i="94"/>
  <c r="LW782" i="94"/>
  <c r="LP783" i="94"/>
  <c r="IP783" i="94"/>
  <c r="HJ783" i="94"/>
  <c r="GS783" i="94"/>
  <c r="GD783" i="94"/>
  <c r="FO783" i="94"/>
  <c r="FA783" i="94"/>
  <c r="EK783" i="94"/>
  <c r="DW783" i="94"/>
  <c r="DI783" i="94"/>
  <c r="CT783" i="94"/>
  <c r="CF783" i="94"/>
  <c r="BP783" i="94"/>
  <c r="BA783" i="94"/>
  <c r="AN783" i="94"/>
  <c r="MQ783" i="94"/>
  <c r="LL783" i="94"/>
  <c r="HY783" i="94"/>
  <c r="HI783" i="94"/>
  <c r="GR783" i="94"/>
  <c r="GC783" i="94"/>
  <c r="FM783" i="94"/>
  <c r="EX783" i="94"/>
  <c r="EJ783" i="94"/>
  <c r="DU783" i="94"/>
  <c r="DH783" i="94"/>
  <c r="CR783" i="94"/>
  <c r="CC783" i="94"/>
  <c r="BO783" i="94"/>
  <c r="AZ783" i="94"/>
  <c r="MP783" i="94"/>
  <c r="Z783" i="94"/>
  <c r="AQ783" i="94"/>
  <c r="BI783" i="94"/>
  <c r="CB783" i="94"/>
  <c r="CY783" i="94"/>
  <c r="DQ783" i="94"/>
  <c r="EI783" i="94"/>
  <c r="FD783" i="94"/>
  <c r="FV783" i="94"/>
  <c r="GN783" i="94"/>
  <c r="HM783" i="94"/>
  <c r="LE783" i="94"/>
  <c r="MA783" i="94"/>
  <c r="AG784" i="94"/>
  <c r="BS784" i="94"/>
  <c r="DT784" i="94"/>
  <c r="GF784" i="94"/>
  <c r="KI784" i="94"/>
  <c r="JW785" i="94"/>
  <c r="MI785" i="94"/>
  <c r="BQ786" i="94"/>
  <c r="DG786" i="94"/>
  <c r="EW786" i="94"/>
  <c r="HF786" i="94"/>
  <c r="JU786" i="94"/>
  <c r="MJ786" i="94"/>
  <c r="BL787" i="94"/>
  <c r="CS787" i="94"/>
  <c r="DZ787" i="94"/>
  <c r="IW787" i="94"/>
  <c r="BE789" i="94"/>
  <c r="EK789" i="94"/>
  <c r="KP791" i="94"/>
  <c r="MF791" i="94"/>
  <c r="JL791" i="94"/>
  <c r="GU791" i="94"/>
  <c r="EF791" i="94"/>
  <c r="LS791" i="94"/>
  <c r="IY791" i="94"/>
  <c r="FW791" i="94"/>
  <c r="BH791" i="94"/>
  <c r="LC791" i="94"/>
  <c r="HV791" i="94"/>
  <c r="FL791" i="94"/>
  <c r="AX791" i="94"/>
  <c r="JK791" i="94"/>
  <c r="EP791" i="94"/>
  <c r="IK791" i="94"/>
  <c r="EG791" i="94"/>
  <c r="MS791" i="94"/>
  <c r="HU791" i="94"/>
  <c r="CO791" i="94"/>
  <c r="AO791" i="94"/>
  <c r="KB791" i="94"/>
  <c r="GN792" i="94"/>
  <c r="ET793" i="94"/>
  <c r="EV795" i="94"/>
  <c r="BV796" i="94"/>
  <c r="MP796" i="94"/>
  <c r="FW797" i="94"/>
  <c r="DK797" i="94"/>
  <c r="CQ797" i="94"/>
  <c r="BW797" i="94"/>
  <c r="DX797" i="94"/>
  <c r="CJ797" i="94"/>
  <c r="DW797" i="94"/>
  <c r="CE797" i="94"/>
  <c r="DS797" i="94"/>
  <c r="CA797" i="94"/>
  <c r="X797" i="94"/>
  <c r="CU797" i="94"/>
  <c r="DO798" i="94"/>
  <c r="E61" i="84"/>
  <c r="E16" i="86"/>
  <c r="E36" i="86"/>
  <c r="C56" i="86"/>
  <c r="G462" i="94"/>
  <c r="G468" i="94"/>
  <c r="V468" i="94"/>
  <c r="M478" i="94"/>
  <c r="S478" i="94"/>
  <c r="F479" i="94"/>
  <c r="V536" i="94"/>
  <c r="P563" i="94"/>
  <c r="U574" i="94"/>
  <c r="P591" i="94"/>
  <c r="P595" i="94" s="1"/>
  <c r="J749" i="94"/>
  <c r="K749" i="94"/>
  <c r="FW773" i="94"/>
  <c r="DB773" i="94"/>
  <c r="FF773" i="94"/>
  <c r="HC773" i="94"/>
  <c r="IX773" i="94"/>
  <c r="KD773" i="94"/>
  <c r="LR773" i="94"/>
  <c r="KQ774" i="94"/>
  <c r="DR775" i="94"/>
  <c r="GB775" i="94"/>
  <c r="IH775" i="94"/>
  <c r="JN775" i="94"/>
  <c r="KT775" i="94"/>
  <c r="MQ775" i="94"/>
  <c r="AD776" i="94"/>
  <c r="EH776" i="94"/>
  <c r="HU776" i="94"/>
  <c r="KP776" i="94"/>
  <c r="AH777" i="94"/>
  <c r="AX777" i="94"/>
  <c r="BK777" i="94"/>
  <c r="CA777" i="94"/>
  <c r="CM777" i="94"/>
  <c r="DC777" i="94"/>
  <c r="DS777" i="94"/>
  <c r="EF777" i="94"/>
  <c r="EV777" i="94"/>
  <c r="FI777" i="94"/>
  <c r="FY777" i="94"/>
  <c r="GR777" i="94"/>
  <c r="HR777" i="94"/>
  <c r="IU777" i="94"/>
  <c r="KE777" i="94"/>
  <c r="LH777" i="94"/>
  <c r="LZ777" i="94"/>
  <c r="MS778" i="94"/>
  <c r="KX778" i="94"/>
  <c r="AH778" i="94"/>
  <c r="BK778" i="94"/>
  <c r="CO778" i="94"/>
  <c r="DY778" i="94"/>
  <c r="FJ778" i="94"/>
  <c r="GL778" i="94"/>
  <c r="HW778" i="94"/>
  <c r="LG778" i="94"/>
  <c r="FQ779" i="94"/>
  <c r="EC779" i="94"/>
  <c r="IA779" i="94"/>
  <c r="JA779" i="94"/>
  <c r="JZ779" i="94"/>
  <c r="AL780" i="94"/>
  <c r="CK780" i="94"/>
  <c r="EK780" i="94"/>
  <c r="GI780" i="94"/>
  <c r="BE781" i="94"/>
  <c r="EP781" i="94"/>
  <c r="HY781" i="94"/>
  <c r="JB781" i="94"/>
  <c r="LE782" i="94"/>
  <c r="A783" i="94"/>
  <c r="AC783" i="94"/>
  <c r="AR783" i="94"/>
  <c r="BK783" i="94"/>
  <c r="CG783" i="94"/>
  <c r="CZ783" i="94"/>
  <c r="DR783" i="94"/>
  <c r="EN783" i="94"/>
  <c r="FF783" i="94"/>
  <c r="FX783" i="94"/>
  <c r="GV783" i="94"/>
  <c r="HR783" i="94"/>
  <c r="LJ783" i="94"/>
  <c r="AL784" i="94"/>
  <c r="BX784" i="94"/>
  <c r="DU784" i="94"/>
  <c r="GJ784" i="94"/>
  <c r="IH785" i="94"/>
  <c r="JX785" i="94"/>
  <c r="MJ785" i="94"/>
  <c r="BU786" i="94"/>
  <c r="DM786" i="94"/>
  <c r="FC786" i="94"/>
  <c r="HI786" i="94"/>
  <c r="JX786" i="94"/>
  <c r="Z787" i="94"/>
  <c r="BN787" i="94"/>
  <c r="CV787" i="94"/>
  <c r="FU787" i="94"/>
  <c r="HD787" i="94"/>
  <c r="JG787" i="94"/>
  <c r="AK788" i="94"/>
  <c r="JV789" i="94"/>
  <c r="BO789" i="94"/>
  <c r="FH789" i="94"/>
  <c r="AY791" i="94"/>
  <c r="KO791" i="94"/>
  <c r="GV792" i="94"/>
  <c r="EY793" i="94"/>
  <c r="LN797" i="94"/>
  <c r="LK797" i="94"/>
  <c r="LH797" i="94"/>
  <c r="LG797" i="94"/>
  <c r="FC797" i="94"/>
  <c r="EI797" i="94"/>
  <c r="AY797" i="94"/>
  <c r="AE797" i="94"/>
  <c r="LF797" i="94"/>
  <c r="FR797" i="94"/>
  <c r="AT797" i="94"/>
  <c r="FO797" i="94"/>
  <c r="AQ797" i="94"/>
  <c r="FG797" i="94"/>
  <c r="AI797" i="94"/>
  <c r="ED797" i="94"/>
  <c r="GE797" i="94"/>
  <c r="AA797" i="94"/>
  <c r="DC797" i="94"/>
  <c r="FS797" i="94"/>
  <c r="MA797" i="94"/>
  <c r="AE802" i="94"/>
  <c r="DB802" i="94"/>
  <c r="Y48" i="75"/>
  <c r="L56" i="75" s="1"/>
  <c r="AG48" i="75"/>
  <c r="J58" i="75" s="1"/>
  <c r="AO48" i="75"/>
  <c r="M59" i="75" s="1"/>
  <c r="AW48" i="75"/>
  <c r="K61" i="75" s="1"/>
  <c r="BE48" i="75"/>
  <c r="N62" i="75" s="1"/>
  <c r="BM48" i="75"/>
  <c r="L87" i="75" s="1"/>
  <c r="BU48" i="75"/>
  <c r="J85" i="75" s="1"/>
  <c r="CC48" i="75"/>
  <c r="M84" i="75" s="1"/>
  <c r="CK48" i="75"/>
  <c r="K82" i="75" s="1"/>
  <c r="CS48" i="75"/>
  <c r="N81" i="75" s="1"/>
  <c r="DA48" i="75"/>
  <c r="L97" i="75" s="1"/>
  <c r="DI48" i="75"/>
  <c r="J95" i="75" s="1"/>
  <c r="DQ48" i="75"/>
  <c r="M94" i="75" s="1"/>
  <c r="DY48" i="75"/>
  <c r="K92" i="75" s="1"/>
  <c r="EG48" i="75"/>
  <c r="N66" i="75" s="1"/>
  <c r="EO48" i="75"/>
  <c r="L146" i="75" s="1"/>
  <c r="EW48" i="75"/>
  <c r="J148" i="75" s="1"/>
  <c r="FE48" i="75"/>
  <c r="M149" i="75" s="1"/>
  <c r="FM48" i="75"/>
  <c r="K151" i="75" s="1"/>
  <c r="FU48" i="75"/>
  <c r="N153" i="75" s="1"/>
  <c r="GC48" i="75"/>
  <c r="L155" i="75" s="1"/>
  <c r="GK48" i="75"/>
  <c r="J102" i="75" s="1"/>
  <c r="GS48" i="75"/>
  <c r="HA48" i="75"/>
  <c r="K105" i="75" s="1"/>
  <c r="HI48" i="75"/>
  <c r="HQ48" i="75"/>
  <c r="L108" i="75" s="1"/>
  <c r="HY48" i="75"/>
  <c r="IG48" i="75"/>
  <c r="M124" i="75" s="1"/>
  <c r="IO48" i="75"/>
  <c r="K130" i="75" s="1"/>
  <c r="IW48" i="75"/>
  <c r="N131" i="75" s="1"/>
  <c r="JE48" i="75"/>
  <c r="L129" i="75" s="1"/>
  <c r="JM48" i="75"/>
  <c r="J127" i="75" s="1"/>
  <c r="JU48" i="75"/>
  <c r="M116" i="75" s="1"/>
  <c r="KC48" i="75"/>
  <c r="K118" i="75" s="1"/>
  <c r="KK48" i="75"/>
  <c r="N119" i="75" s="1"/>
  <c r="KS48" i="75"/>
  <c r="L121" i="75" s="1"/>
  <c r="L140" i="75" s="1"/>
  <c r="K1151" i="93" s="1"/>
  <c r="LA48" i="75"/>
  <c r="J123" i="75" s="1"/>
  <c r="LI48" i="75"/>
  <c r="LQ48" i="75"/>
  <c r="LY48" i="75"/>
  <c r="MG48" i="75"/>
  <c r="MO48" i="75"/>
  <c r="F12" i="85"/>
  <c r="F16" i="86"/>
  <c r="F36" i="86"/>
  <c r="D56" i="86"/>
  <c r="J462" i="94"/>
  <c r="S472" i="94"/>
  <c r="G472" i="94"/>
  <c r="S571" i="94"/>
  <c r="LK773" i="94"/>
  <c r="ED773" i="94"/>
  <c r="AI773" i="94"/>
  <c r="DC773" i="94"/>
  <c r="GA773" i="94"/>
  <c r="HY773" i="94"/>
  <c r="IY773" i="94"/>
  <c r="KE773" i="94"/>
  <c r="LS773" i="94"/>
  <c r="ML774" i="94"/>
  <c r="EE775" i="94"/>
  <c r="GC775" i="94"/>
  <c r="II775" i="94"/>
  <c r="JO775" i="94"/>
  <c r="KU775" i="94"/>
  <c r="LI776" i="94"/>
  <c r="BC776" i="94"/>
  <c r="EQ776" i="94"/>
  <c r="ID776" i="94"/>
  <c r="DZ777" i="94"/>
  <c r="W777" i="94"/>
  <c r="AI777" i="94"/>
  <c r="AY777" i="94"/>
  <c r="BL777" i="94"/>
  <c r="CB777" i="94"/>
  <c r="CR777" i="94"/>
  <c r="DE777" i="94"/>
  <c r="DU777" i="94"/>
  <c r="EG777" i="94"/>
  <c r="EW777" i="94"/>
  <c r="FM777" i="94"/>
  <c r="FZ777" i="94"/>
  <c r="GS777" i="94"/>
  <c r="HS777" i="94"/>
  <c r="IV777" i="94"/>
  <c r="KG777" i="94"/>
  <c r="LM777" i="94"/>
  <c r="AI778" i="94"/>
  <c r="BM778" i="94"/>
  <c r="CX778" i="94"/>
  <c r="DZ778" i="94"/>
  <c r="FK778" i="94"/>
  <c r="GW778" i="94"/>
  <c r="HY778" i="94"/>
  <c r="MR779" i="94"/>
  <c r="ED779" i="94"/>
  <c r="IC779" i="94"/>
  <c r="JB779" i="94"/>
  <c r="KC779" i="94"/>
  <c r="LB779" i="94"/>
  <c r="BQ781" i="94"/>
  <c r="JM781" i="94"/>
  <c r="AE783" i="94"/>
  <c r="AV783" i="94"/>
  <c r="BN783" i="94"/>
  <c r="CI783" i="94"/>
  <c r="DA783" i="94"/>
  <c r="DS783" i="94"/>
  <c r="EO783" i="94"/>
  <c r="FG783" i="94"/>
  <c r="FY783" i="94"/>
  <c r="GW783" i="94"/>
  <c r="HS783" i="94"/>
  <c r="LK783" i="94"/>
  <c r="LO784" i="94"/>
  <c r="JM784" i="94"/>
  <c r="HF784" i="94"/>
  <c r="FU784" i="94"/>
  <c r="EO784" i="94"/>
  <c r="DO784" i="94"/>
  <c r="CO784" i="94"/>
  <c r="LE784" i="94"/>
  <c r="IV784" i="94"/>
  <c r="GZ784" i="94"/>
  <c r="FK784" i="94"/>
  <c r="EK784" i="94"/>
  <c r="DI784" i="94"/>
  <c r="CC784" i="94"/>
  <c r="KN784" i="94"/>
  <c r="IR784" i="94"/>
  <c r="GG784" i="94"/>
  <c r="FE784" i="94"/>
  <c r="EE784" i="94"/>
  <c r="CY784" i="94"/>
  <c r="MD784" i="94"/>
  <c r="JL784" i="94"/>
  <c r="GA784" i="94"/>
  <c r="EJ784" i="94"/>
  <c r="CR784" i="94"/>
  <c r="BH784" i="94"/>
  <c r="AF784" i="94"/>
  <c r="LY784" i="94"/>
  <c r="IS784" i="94"/>
  <c r="FZ784" i="94"/>
  <c r="DX784" i="94"/>
  <c r="CH784" i="94"/>
  <c r="BC784" i="94"/>
  <c r="AC784" i="94"/>
  <c r="AM784" i="94"/>
  <c r="BY784" i="94"/>
  <c r="EN784" i="94"/>
  <c r="HA784" i="94"/>
  <c r="LH784" i="94"/>
  <c r="IK785" i="94"/>
  <c r="AK786" i="94"/>
  <c r="CA786" i="94"/>
  <c r="DQ786" i="94"/>
  <c r="FM786" i="94"/>
  <c r="HL786" i="94"/>
  <c r="KH786" i="94"/>
  <c r="BQ787" i="94"/>
  <c r="DB787" i="94"/>
  <c r="BY789" i="94"/>
  <c r="FQ789" i="94"/>
  <c r="FA791" i="94"/>
  <c r="HD792" i="94"/>
  <c r="MM792" i="94"/>
  <c r="FS793" i="94"/>
  <c r="MI796" i="94"/>
  <c r="LR796" i="94"/>
  <c r="JN796" i="94"/>
  <c r="GE796" i="94"/>
  <c r="LB796" i="94"/>
  <c r="IY796" i="94"/>
  <c r="FP796" i="94"/>
  <c r="KN796" i="94"/>
  <c r="IQ796" i="94"/>
  <c r="FO796" i="94"/>
  <c r="KM796" i="94"/>
  <c r="IP796" i="94"/>
  <c r="EQ796" i="94"/>
  <c r="JX796" i="94"/>
  <c r="BO796" i="94"/>
  <c r="JO796" i="94"/>
  <c r="AR796" i="94"/>
  <c r="JF796" i="94"/>
  <c r="HR796" i="94"/>
  <c r="DC798" i="94"/>
  <c r="BW798" i="94"/>
  <c r="EB798" i="94"/>
  <c r="CV798" i="94"/>
  <c r="BP798" i="94"/>
  <c r="FX798" i="94"/>
  <c r="CI798" i="94"/>
  <c r="CF798" i="94"/>
  <c r="W798" i="94"/>
  <c r="ER798" i="94"/>
  <c r="LY799" i="94"/>
  <c r="GQ799" i="94"/>
  <c r="HV799" i="94"/>
  <c r="LW799" i="94"/>
  <c r="AL806" i="94"/>
  <c r="JS806" i="94"/>
  <c r="GK806" i="94"/>
  <c r="FA806" i="94"/>
  <c r="DU806" i="94"/>
  <c r="CO806" i="94"/>
  <c r="BI806" i="94"/>
  <c r="AC806" i="94"/>
  <c r="IR806" i="94"/>
  <c r="GG806" i="94"/>
  <c r="EZ806" i="94"/>
  <c r="DT806" i="94"/>
  <c r="CN806" i="94"/>
  <c r="BH806" i="94"/>
  <c r="W806" i="94"/>
  <c r="MK806" i="94"/>
  <c r="IM806" i="94"/>
  <c r="GA806" i="94"/>
  <c r="EU806" i="94"/>
  <c r="DO806" i="94"/>
  <c r="CI806" i="94"/>
  <c r="AW806" i="94"/>
  <c r="LX806" i="94"/>
  <c r="IC806" i="94"/>
  <c r="FU806" i="94"/>
  <c r="EO806" i="94"/>
  <c r="DI806" i="94"/>
  <c r="CB806" i="94"/>
  <c r="AV806" i="94"/>
  <c r="LU806" i="94"/>
  <c r="HM806" i="94"/>
  <c r="FT806" i="94"/>
  <c r="EN806" i="94"/>
  <c r="DE806" i="94"/>
  <c r="BY806" i="94"/>
  <c r="AS806" i="94"/>
  <c r="LO806" i="94"/>
  <c r="HL806" i="94"/>
  <c r="FQ806" i="94"/>
  <c r="EE806" i="94"/>
  <c r="CY806" i="94"/>
  <c r="BS806" i="94"/>
  <c r="AM806" i="94"/>
  <c r="BM806" i="94"/>
  <c r="GZ806" i="94"/>
  <c r="L1213" i="94"/>
  <c r="L1199" i="94"/>
  <c r="MN802" i="94"/>
  <c r="MP802" i="94"/>
  <c r="KT802" i="94"/>
  <c r="JV802" i="94"/>
  <c r="IU802" i="94"/>
  <c r="HW802" i="94"/>
  <c r="BV802" i="94"/>
  <c r="MM802" i="94"/>
  <c r="KQ802" i="94"/>
  <c r="JO802" i="94"/>
  <c r="IQ802" i="94"/>
  <c r="HR802" i="94"/>
  <c r="MI802" i="94"/>
  <c r="KL802" i="94"/>
  <c r="JN802" i="94"/>
  <c r="IP802" i="94"/>
  <c r="GE802" i="94"/>
  <c r="MH802" i="94"/>
  <c r="KI802" i="94"/>
  <c r="JK802" i="94"/>
  <c r="IM802" i="94"/>
  <c r="GD802" i="94"/>
  <c r="LC802" i="94"/>
  <c r="KE802" i="94"/>
  <c r="JG802" i="94"/>
  <c r="II802" i="94"/>
  <c r="GA802" i="94"/>
  <c r="LB802" i="94"/>
  <c r="KD802" i="94"/>
  <c r="JF802" i="94"/>
  <c r="IH802" i="94"/>
  <c r="EE802" i="94"/>
  <c r="ME802" i="94"/>
  <c r="HZ802" i="94"/>
  <c r="MQ802" i="94"/>
  <c r="KX805" i="94"/>
  <c r="HS805" i="94"/>
  <c r="GH805" i="94"/>
  <c r="FD805" i="94"/>
  <c r="DX805" i="94"/>
  <c r="CM805" i="94"/>
  <c r="BJ805" i="94"/>
  <c r="AF805" i="94"/>
  <c r="MR805" i="94"/>
  <c r="JW805" i="94"/>
  <c r="HP805" i="94"/>
  <c r="GE805" i="94"/>
  <c r="EY805" i="94"/>
  <c r="DV805" i="94"/>
  <c r="CL805" i="94"/>
  <c r="BG805" i="94"/>
  <c r="AA805" i="94"/>
  <c r="LY805" i="94"/>
  <c r="IZ805" i="94"/>
  <c r="HF805" i="94"/>
  <c r="FZ805" i="94"/>
  <c r="EX805" i="94"/>
  <c r="DM805" i="94"/>
  <c r="CH805" i="94"/>
  <c r="BB805" i="94"/>
  <c r="LU805" i="94"/>
  <c r="IQ805" i="94"/>
  <c r="HB805" i="94"/>
  <c r="FY805" i="94"/>
  <c r="ET805" i="94"/>
  <c r="DJ805" i="94"/>
  <c r="CD805" i="94"/>
  <c r="BA805" i="94"/>
  <c r="LQ805" i="94"/>
  <c r="IC805" i="94"/>
  <c r="HA805" i="94"/>
  <c r="FV805" i="94"/>
  <c r="EK805" i="94"/>
  <c r="DE805" i="94"/>
  <c r="CC805" i="94"/>
  <c r="AR805" i="94"/>
  <c r="LP805" i="94"/>
  <c r="IB805" i="94"/>
  <c r="GW805" i="94"/>
  <c r="FQ805" i="94"/>
  <c r="EG805" i="94"/>
  <c r="DD805" i="94"/>
  <c r="BY805" i="94"/>
  <c r="AO805" i="94"/>
  <c r="BL805" i="94"/>
  <c r="GR805" i="94"/>
  <c r="MJ806" i="94"/>
  <c r="BR806" i="94"/>
  <c r="HA806" i="94"/>
  <c r="LY787" i="94"/>
  <c r="JF787" i="94"/>
  <c r="HR787" i="94"/>
  <c r="HA787" i="94"/>
  <c r="GK787" i="94"/>
  <c r="FT787" i="94"/>
  <c r="FD787" i="94"/>
  <c r="EJ787" i="94"/>
  <c r="DS787" i="94"/>
  <c r="DC787" i="94"/>
  <c r="CL787" i="94"/>
  <c r="BV787" i="94"/>
  <c r="BD787" i="94"/>
  <c r="AK787" i="94"/>
  <c r="LT787" i="94"/>
  <c r="KW787" i="94"/>
  <c r="IV787" i="94"/>
  <c r="HP787" i="94"/>
  <c r="GV787" i="94"/>
  <c r="GE787" i="94"/>
  <c r="FO787" i="94"/>
  <c r="EX787" i="94"/>
  <c r="EH787" i="94"/>
  <c r="DP787" i="94"/>
  <c r="CW787" i="94"/>
  <c r="CG787" i="94"/>
  <c r="BP787" i="94"/>
  <c r="AZ787" i="94"/>
  <c r="AH787" i="94"/>
  <c r="MO787" i="94"/>
  <c r="LR787" i="94"/>
  <c r="KM787" i="94"/>
  <c r="IA787" i="94"/>
  <c r="HJ787" i="94"/>
  <c r="GT787" i="94"/>
  <c r="GB787" i="94"/>
  <c r="FI787" i="94"/>
  <c r="ES787" i="94"/>
  <c r="EB787" i="94"/>
  <c r="DL787" i="94"/>
  <c r="CT787" i="94"/>
  <c r="CC787" i="94"/>
  <c r="BM787" i="94"/>
  <c r="AV787" i="94"/>
  <c r="AF787" i="94"/>
  <c r="AA787" i="94"/>
  <c r="BF787" i="94"/>
  <c r="CF787" i="94"/>
  <c r="DH787" i="94"/>
  <c r="EI787" i="94"/>
  <c r="FH787" i="94"/>
  <c r="GL787" i="94"/>
  <c r="HK787" i="94"/>
  <c r="JP787" i="94"/>
  <c r="LX787" i="94"/>
  <c r="AC790" i="94"/>
  <c r="CY790" i="94"/>
  <c r="FK790" i="94"/>
  <c r="HX790" i="94"/>
  <c r="AZ792" i="94"/>
  <c r="CL792" i="94"/>
  <c r="FP792" i="94"/>
  <c r="LL792" i="94"/>
  <c r="DS800" i="94"/>
  <c r="DG800" i="94"/>
  <c r="CI800" i="94"/>
  <c r="BK800" i="94"/>
  <c r="FV800" i="94"/>
  <c r="DZ800" i="94"/>
  <c r="DB800" i="94"/>
  <c r="CA800" i="94"/>
  <c r="W800" i="94"/>
  <c r="CM800" i="94"/>
  <c r="EQ800" i="94"/>
  <c r="BW801" i="94"/>
  <c r="DN801" i="94"/>
  <c r="IE802" i="94"/>
  <c r="GP803" i="94"/>
  <c r="FJ803" i="94"/>
  <c r="EY803" i="94"/>
  <c r="BR803" i="94"/>
  <c r="BP805" i="94"/>
  <c r="GS805" i="94"/>
  <c r="CS806" i="94"/>
  <c r="LI806" i="94"/>
  <c r="LE808" i="94"/>
  <c r="KV808" i="94"/>
  <c r="LJ784" i="94"/>
  <c r="CD785" i="94"/>
  <c r="AG787" i="94"/>
  <c r="BG787" i="94"/>
  <c r="CJ787" i="94"/>
  <c r="DI787" i="94"/>
  <c r="EN787" i="94"/>
  <c r="FN787" i="94"/>
  <c r="GN787" i="94"/>
  <c r="HQ787" i="94"/>
  <c r="KL787" i="94"/>
  <c r="MB787" i="94"/>
  <c r="AM790" i="94"/>
  <c r="CZ790" i="94"/>
  <c r="FU790" i="94"/>
  <c r="A792" i="94"/>
  <c r="CQ792" i="94"/>
  <c r="BW792" i="94"/>
  <c r="FX792" i="94"/>
  <c r="DL792" i="94"/>
  <c r="CN792" i="94"/>
  <c r="BV792" i="94"/>
  <c r="W792" i="94"/>
  <c r="BF792" i="94"/>
  <c r="CV792" i="94"/>
  <c r="EJ792" i="94"/>
  <c r="DR796" i="94"/>
  <c r="LJ800" i="94"/>
  <c r="LG800" i="94"/>
  <c r="MA800" i="94"/>
  <c r="HS800" i="94"/>
  <c r="GU800" i="94"/>
  <c r="FC800" i="94"/>
  <c r="AI800" i="94"/>
  <c r="EX800" i="94"/>
  <c r="BC800" i="94"/>
  <c r="AE800" i="94"/>
  <c r="GA800" i="94"/>
  <c r="EE800" i="94"/>
  <c r="Z800" i="94"/>
  <c r="CQ800" i="94"/>
  <c r="FG800" i="94"/>
  <c r="HJ800" i="94"/>
  <c r="IY802" i="94"/>
  <c r="CV805" i="94"/>
  <c r="HT805" i="94"/>
  <c r="CX806" i="94"/>
  <c r="LN806" i="94"/>
  <c r="MN790" i="94"/>
  <c r="MK790" i="94"/>
  <c r="HN790" i="94"/>
  <c r="FX790" i="94"/>
  <c r="EF790" i="94"/>
  <c r="CP790" i="94"/>
  <c r="AZ790" i="94"/>
  <c r="LY790" i="94"/>
  <c r="HD790" i="94"/>
  <c r="FL790" i="94"/>
  <c r="DV790" i="94"/>
  <c r="CF790" i="94"/>
  <c r="AN790" i="94"/>
  <c r="LO790" i="94"/>
  <c r="GR790" i="94"/>
  <c r="FB790" i="94"/>
  <c r="DL790" i="94"/>
  <c r="BT790" i="94"/>
  <c r="AD790" i="94"/>
  <c r="AW790" i="94"/>
  <c r="DI790" i="94"/>
  <c r="GG790" i="94"/>
  <c r="LP790" i="94"/>
  <c r="BC792" i="94"/>
  <c r="AE792" i="94"/>
  <c r="EZ792" i="94"/>
  <c r="EH792" i="94"/>
  <c r="Z792" i="94"/>
  <c r="BH792" i="94"/>
  <c r="DB792" i="94"/>
  <c r="ER792" i="94"/>
  <c r="GT796" i="94"/>
  <c r="JW799" i="94"/>
  <c r="AQ800" i="94"/>
  <c r="CT800" i="94"/>
  <c r="FN800" i="94"/>
  <c r="JC802" i="94"/>
  <c r="LN803" i="94"/>
  <c r="DA805" i="94"/>
  <c r="HY805" i="94"/>
  <c r="DY806" i="94"/>
  <c r="A787" i="94"/>
  <c r="AJ788" i="94"/>
  <c r="GX788" i="94"/>
  <c r="MI792" i="94"/>
  <c r="AA792" i="94"/>
  <c r="AU792" i="94"/>
  <c r="BS792" i="94"/>
  <c r="CM792" i="94"/>
  <c r="DG792" i="94"/>
  <c r="EE792" i="94"/>
  <c r="EY792" i="94"/>
  <c r="FS792" i="94"/>
  <c r="GQ792" i="94"/>
  <c r="HK792" i="94"/>
  <c r="JH792" i="94"/>
  <c r="LR792" i="94"/>
  <c r="AM793" i="94"/>
  <c r="CZ793" i="94"/>
  <c r="FB793" i="94"/>
  <c r="HW793" i="94"/>
  <c r="IT793" i="94"/>
  <c r="JS793" i="94"/>
  <c r="KQ793" i="94"/>
  <c r="MD793" i="94"/>
  <c r="AM794" i="94"/>
  <c r="KP797" i="94"/>
  <c r="AD797" i="94"/>
  <c r="AV797" i="94"/>
  <c r="BT797" i="94"/>
  <c r="CP797" i="94"/>
  <c r="DH797" i="94"/>
  <c r="EF797" i="94"/>
  <c r="FB797" i="94"/>
  <c r="FT797" i="94"/>
  <c r="HK797" i="94"/>
  <c r="MI798" i="94"/>
  <c r="AB798" i="94"/>
  <c r="BH798" i="94"/>
  <c r="CN798" i="94"/>
  <c r="DT798" i="94"/>
  <c r="EZ798" i="94"/>
  <c r="GF798" i="94"/>
  <c r="HL798" i="94"/>
  <c r="JS798" i="94"/>
  <c r="LT798" i="94"/>
  <c r="BC799" i="94"/>
  <c r="CU799" i="94"/>
  <c r="EL799" i="94"/>
  <c r="GA799" i="94"/>
  <c r="HS799" i="94"/>
  <c r="ME800" i="94"/>
  <c r="AA800" i="94"/>
  <c r="AY800" i="94"/>
  <c r="BW800" i="94"/>
  <c r="CU800" i="94"/>
  <c r="DW800" i="94"/>
  <c r="EU800" i="94"/>
  <c r="FS800" i="94"/>
  <c r="GM800" i="94"/>
  <c r="HK800" i="94"/>
  <c r="IY800" i="94"/>
  <c r="KQ800" i="94"/>
  <c r="LR800" i="94"/>
  <c r="AD801" i="94"/>
  <c r="BB801" i="94"/>
  <c r="CU801" i="94"/>
  <c r="EL801" i="94"/>
  <c r="FJ801" i="94"/>
  <c r="GI801" i="94"/>
  <c r="HK801" i="94"/>
  <c r="IL801" i="94"/>
  <c r="JK801" i="94"/>
  <c r="KM801" i="94"/>
  <c r="LO801" i="94"/>
  <c r="JW803" i="94"/>
  <c r="CA803" i="94"/>
  <c r="LW803" i="94"/>
  <c r="CN804" i="94"/>
  <c r="AI804" i="94"/>
  <c r="DX804" i="94"/>
  <c r="GA804" i="94"/>
  <c r="MI805" i="94"/>
  <c r="KB805" i="94"/>
  <c r="JM806" i="94"/>
  <c r="HB807" i="94"/>
  <c r="LB807" i="94"/>
  <c r="P959" i="94"/>
  <c r="J554" i="93"/>
  <c r="HH793" i="94"/>
  <c r="HX793" i="94"/>
  <c r="HP797" i="94"/>
  <c r="HS797" i="94"/>
  <c r="GN798" i="94"/>
  <c r="HT798" i="94"/>
  <c r="BG799" i="94"/>
  <c r="CX799" i="94"/>
  <c r="GE799" i="94"/>
  <c r="GQ800" i="94"/>
  <c r="HO800" i="94"/>
  <c r="KP801" i="94"/>
  <c r="AE801" i="94"/>
  <c r="BC801" i="94"/>
  <c r="CY801" i="94"/>
  <c r="EM801" i="94"/>
  <c r="FK801" i="94"/>
  <c r="GP801" i="94"/>
  <c r="HN801" i="94"/>
  <c r="IM801" i="94"/>
  <c r="JO801" i="94"/>
  <c r="KU801" i="94"/>
  <c r="LS801" i="94"/>
  <c r="AM804" i="94"/>
  <c r="DY804" i="94"/>
  <c r="LR804" i="94"/>
  <c r="HD807" i="94"/>
  <c r="MC807" i="94"/>
  <c r="LJ786" i="94"/>
  <c r="BZ788" i="94"/>
  <c r="LV788" i="94"/>
  <c r="DO792" i="94"/>
  <c r="EI792" i="94"/>
  <c r="FC792" i="94"/>
  <c r="GA792" i="94"/>
  <c r="GU792" i="94"/>
  <c r="HO792" i="94"/>
  <c r="KF792" i="94"/>
  <c r="LT792" i="94"/>
  <c r="MF793" i="94"/>
  <c r="DV793" i="94"/>
  <c r="FL793" i="94"/>
  <c r="IA793" i="94"/>
  <c r="JC793" i="94"/>
  <c r="JZ793" i="94"/>
  <c r="KY793" i="94"/>
  <c r="LP795" i="94"/>
  <c r="MN797" i="94"/>
  <c r="AF797" i="94"/>
  <c r="BD797" i="94"/>
  <c r="BZ797" i="94"/>
  <c r="CR797" i="94"/>
  <c r="DP797" i="94"/>
  <c r="EL797" i="94"/>
  <c r="FD797" i="94"/>
  <c r="GB797" i="94"/>
  <c r="IF797" i="94"/>
  <c r="AM798" i="94"/>
  <c r="BS798" i="94"/>
  <c r="CY798" i="94"/>
  <c r="EE798" i="94"/>
  <c r="FK798" i="94"/>
  <c r="GQ798" i="94"/>
  <c r="HW798" i="94"/>
  <c r="KI798" i="94"/>
  <c r="ME798" i="94"/>
  <c r="DV799" i="94"/>
  <c r="AA799" i="94"/>
  <c r="BR799" i="94"/>
  <c r="DG799" i="94"/>
  <c r="EY799" i="94"/>
  <c r="GP799" i="94"/>
  <c r="AH800" i="94"/>
  <c r="BF800" i="94"/>
  <c r="CE800" i="94"/>
  <c r="DC800" i="94"/>
  <c r="EA800" i="94"/>
  <c r="EY800" i="94"/>
  <c r="FW800" i="94"/>
  <c r="GT800" i="94"/>
  <c r="HR800" i="94"/>
  <c r="JG800" i="94"/>
  <c r="KY800" i="94"/>
  <c r="LW800" i="94"/>
  <c r="LY801" i="94"/>
  <c r="AI801" i="94"/>
  <c r="BG801" i="94"/>
  <c r="DC801" i="94"/>
  <c r="EQ801" i="94"/>
  <c r="FO801" i="94"/>
  <c r="GQ801" i="94"/>
  <c r="HO801" i="94"/>
  <c r="IQ801" i="94"/>
  <c r="JR801" i="94"/>
  <c r="KX801" i="94"/>
  <c r="LV801" i="94"/>
  <c r="DS803" i="94"/>
  <c r="BF804" i="94"/>
  <c r="ED804" i="94"/>
  <c r="GG804" i="94"/>
  <c r="IB807" i="94"/>
  <c r="MJ807" i="94"/>
  <c r="I945" i="94"/>
  <c r="MD799" i="94"/>
  <c r="AD799" i="94"/>
  <c r="BS799" i="94"/>
  <c r="DK799" i="94"/>
  <c r="FB799" i="94"/>
  <c r="LN799" i="94"/>
  <c r="A800" i="94"/>
  <c r="IT801" i="94"/>
  <c r="JZ801" i="94"/>
  <c r="HB804" i="94"/>
  <c r="CF807" i="94"/>
  <c r="AZ807" i="94"/>
  <c r="JD807" i="94"/>
  <c r="LW786" i="94"/>
  <c r="AM792" i="94"/>
  <c r="BG792" i="94"/>
  <c r="CA792" i="94"/>
  <c r="CY792" i="94"/>
  <c r="DS792" i="94"/>
  <c r="EM792" i="94"/>
  <c r="FK792" i="94"/>
  <c r="GE792" i="94"/>
  <c r="GY792" i="94"/>
  <c r="HW792" i="94"/>
  <c r="LB792" i="94"/>
  <c r="BG793" i="94"/>
  <c r="EF793" i="94"/>
  <c r="GE793" i="94"/>
  <c r="IL793" i="94"/>
  <c r="JG793" i="94"/>
  <c r="KH793" i="94"/>
  <c r="AN797" i="94"/>
  <c r="BJ797" i="94"/>
  <c r="CB797" i="94"/>
  <c r="CZ797" i="94"/>
  <c r="DV797" i="94"/>
  <c r="EN797" i="94"/>
  <c r="FL797" i="94"/>
  <c r="GH797" i="94"/>
  <c r="JG797" i="94"/>
  <c r="LP797" i="94"/>
  <c r="AR798" i="94"/>
  <c r="BX798" i="94"/>
  <c r="DD798" i="94"/>
  <c r="EJ798" i="94"/>
  <c r="FP798" i="94"/>
  <c r="GV798" i="94"/>
  <c r="IM798" i="94"/>
  <c r="KY798" i="94"/>
  <c r="MR799" i="94"/>
  <c r="AI799" i="94"/>
  <c r="BZ799" i="94"/>
  <c r="DO799" i="94"/>
  <c r="FG799" i="94"/>
  <c r="GX799" i="94"/>
  <c r="LO799" i="94"/>
  <c r="AP800" i="94"/>
  <c r="BN800" i="94"/>
  <c r="CL800" i="94"/>
  <c r="DJ800" i="94"/>
  <c r="EH800" i="94"/>
  <c r="FF800" i="94"/>
  <c r="GD800" i="94"/>
  <c r="GY800" i="94"/>
  <c r="IE800" i="94"/>
  <c r="JV800" i="94"/>
  <c r="AM801" i="94"/>
  <c r="BK801" i="94"/>
  <c r="DW801" i="94"/>
  <c r="EY801" i="94"/>
  <c r="FZ801" i="94"/>
  <c r="GX801" i="94"/>
  <c r="HV801" i="94"/>
  <c r="IU801" i="94"/>
  <c r="KA801" i="94"/>
  <c r="LC801" i="94"/>
  <c r="CA804" i="94"/>
  <c r="EH804" i="94"/>
  <c r="LZ807" i="94"/>
  <c r="BN807" i="94"/>
  <c r="KI808" i="94"/>
  <c r="GB805" i="94"/>
  <c r="MP807" i="94"/>
  <c r="KR807" i="94"/>
  <c r="IW807" i="94"/>
  <c r="GD807" i="94"/>
  <c r="KM807" i="94"/>
  <c r="IR807" i="94"/>
  <c r="FY807" i="94"/>
  <c r="MR807" i="94"/>
  <c r="KD807" i="94"/>
  <c r="IN807" i="94"/>
  <c r="ES807" i="94"/>
  <c r="MQ807" i="94"/>
  <c r="KC807" i="94"/>
  <c r="IC807" i="94"/>
  <c r="CV807" i="94"/>
  <c r="JL807" i="94"/>
  <c r="L1816" i="94"/>
  <c r="M1816" i="94" s="1"/>
  <c r="T1816" i="94" s="1"/>
  <c r="P1819" i="94"/>
  <c r="P1801" i="94" s="1"/>
  <c r="S459" i="93"/>
  <c r="J500" i="93"/>
  <c r="J730" i="93"/>
  <c r="J746" i="93"/>
  <c r="I746" i="93"/>
  <c r="L746" i="93"/>
  <c r="FB767" i="93"/>
  <c r="FU767" i="93"/>
  <c r="GM767" i="93"/>
  <c r="HC767" i="93"/>
  <c r="HT767" i="93"/>
  <c r="JP767" i="93"/>
  <c r="Y768" i="93"/>
  <c r="AL768" i="93"/>
  <c r="AX768" i="93"/>
  <c r="BL768" i="93"/>
  <c r="BW768" i="93"/>
  <c r="CK768" i="93"/>
  <c r="CX768" i="93"/>
  <c r="EI768" i="93"/>
  <c r="AL769" i="93"/>
  <c r="BV770" i="93"/>
  <c r="W771" i="93"/>
  <c r="AV771" i="93"/>
  <c r="BV771" i="93"/>
  <c r="DB771" i="93"/>
  <c r="EC771" i="93"/>
  <c r="II773" i="93"/>
  <c r="CY773" i="93"/>
  <c r="AB773" i="93"/>
  <c r="BW773" i="93"/>
  <c r="EW773" i="93"/>
  <c r="JQ774" i="93"/>
  <c r="JD774" i="93"/>
  <c r="GR774" i="93"/>
  <c r="DP774" i="93"/>
  <c r="HX774" i="93"/>
  <c r="FL774" i="93"/>
  <c r="BD774" i="93"/>
  <c r="CK774" i="93"/>
  <c r="HH774" i="93"/>
  <c r="AR776" i="93"/>
  <c r="BL776" i="93"/>
  <c r="DH781" i="93"/>
  <c r="IE768" i="93"/>
  <c r="IH768" i="93"/>
  <c r="Z768" i="93"/>
  <c r="AN768" i="93"/>
  <c r="AY768" i="93"/>
  <c r="BM768" i="93"/>
  <c r="BZ768" i="93"/>
  <c r="CL768" i="93"/>
  <c r="EQ768" i="93"/>
  <c r="IX768" i="93"/>
  <c r="CE770" i="93"/>
  <c r="BD771" i="93"/>
  <c r="HK773" i="93"/>
  <c r="GC773" i="93"/>
  <c r="DR773" i="93"/>
  <c r="CK773" i="93"/>
  <c r="BE773" i="93"/>
  <c r="Y773" i="93"/>
  <c r="IO773" i="93"/>
  <c r="GT773" i="93"/>
  <c r="EZ773" i="93"/>
  <c r="DA773" i="93"/>
  <c r="BU773" i="93"/>
  <c r="AO773" i="93"/>
  <c r="AP773" i="93"/>
  <c r="BX773" i="93"/>
  <c r="EX773" i="93"/>
  <c r="GU773" i="93"/>
  <c r="DQ774" i="93"/>
  <c r="AS776" i="93"/>
  <c r="BP776" i="93"/>
  <c r="FH767" i="93"/>
  <c r="FY767" i="93"/>
  <c r="GO767" i="93"/>
  <c r="HF767" i="93"/>
  <c r="HY767" i="93"/>
  <c r="JJ768" i="93"/>
  <c r="HV768" i="93"/>
  <c r="JL768" i="93"/>
  <c r="AA768" i="93"/>
  <c r="AO768" i="93"/>
  <c r="BB768" i="93"/>
  <c r="BN768" i="93"/>
  <c r="CB768" i="93"/>
  <c r="CM768" i="93"/>
  <c r="DA768" i="93"/>
  <c r="FV768" i="93"/>
  <c r="IT769" i="93"/>
  <c r="JD770" i="93"/>
  <c r="IP770" i="93"/>
  <c r="DE770" i="93"/>
  <c r="FT770" i="93"/>
  <c r="AR770" i="93"/>
  <c r="DH770" i="93"/>
  <c r="ID771" i="93"/>
  <c r="IG771" i="93"/>
  <c r="AE771" i="93"/>
  <c r="BE771" i="93"/>
  <c r="CG771" i="93"/>
  <c r="DG771" i="93"/>
  <c r="EG771" i="93"/>
  <c r="IE771" i="93"/>
  <c r="AQ773" i="93"/>
  <c r="CL773" i="93"/>
  <c r="EY773" i="93"/>
  <c r="HI773" i="93"/>
  <c r="AT776" i="93"/>
  <c r="BR776" i="93"/>
  <c r="AX777" i="93"/>
  <c r="BS777" i="93"/>
  <c r="EQ784" i="93"/>
  <c r="EK784" i="93"/>
  <c r="DZ784" i="93"/>
  <c r="DS784" i="93"/>
  <c r="JG784" i="93"/>
  <c r="L1700" i="94"/>
  <c r="Q2039" i="94"/>
  <c r="G463" i="93"/>
  <c r="F504" i="93"/>
  <c r="P562" i="93"/>
  <c r="J566" i="93"/>
  <c r="J604" i="93"/>
  <c r="M730" i="93"/>
  <c r="M746" i="93"/>
  <c r="FJ767" i="93"/>
  <c r="FZ767" i="93"/>
  <c r="GP767" i="93"/>
  <c r="HK767" i="93"/>
  <c r="IA767" i="93"/>
  <c r="JA767" i="93"/>
  <c r="AD768" i="93"/>
  <c r="AP768" i="93"/>
  <c r="BD768" i="93"/>
  <c r="BO768" i="93"/>
  <c r="CC768" i="93"/>
  <c r="CP768" i="93"/>
  <c r="DB768" i="93"/>
  <c r="GR768" i="93"/>
  <c r="IF769" i="93"/>
  <c r="HH769" i="93"/>
  <c r="FI769" i="93"/>
  <c r="AQ769" i="93"/>
  <c r="JG769" i="93"/>
  <c r="GI769" i="93"/>
  <c r="CU769" i="93"/>
  <c r="CJ769" i="93"/>
  <c r="GU769" i="93"/>
  <c r="EQ770" i="93"/>
  <c r="AG771" i="93"/>
  <c r="BF771" i="93"/>
  <c r="CI771" i="93"/>
  <c r="DI771" i="93"/>
  <c r="EH771" i="93"/>
  <c r="IF771" i="93"/>
  <c r="AR773" i="93"/>
  <c r="CM773" i="93"/>
  <c r="FM773" i="93"/>
  <c r="HJ773" i="93"/>
  <c r="EW774" i="93"/>
  <c r="IN774" i="93"/>
  <c r="IS776" i="93"/>
  <c r="IB776" i="93"/>
  <c r="GT776" i="93"/>
  <c r="FX776" i="93"/>
  <c r="EP776" i="93"/>
  <c r="DU776" i="93"/>
  <c r="CW776" i="93"/>
  <c r="CK776" i="93"/>
  <c r="BU776" i="93"/>
  <c r="BG776" i="93"/>
  <c r="IN776" i="93"/>
  <c r="IA776" i="93"/>
  <c r="GS776" i="93"/>
  <c r="FO776" i="93"/>
  <c r="EO776" i="93"/>
  <c r="DM776" i="93"/>
  <c r="CV776" i="93"/>
  <c r="CH776" i="93"/>
  <c r="BT776" i="93"/>
  <c r="IV776" i="93"/>
  <c r="HR776" i="93"/>
  <c r="GG776" i="93"/>
  <c r="EW776" i="93"/>
  <c r="DL776" i="93"/>
  <c r="CR776" i="93"/>
  <c r="BY776" i="93"/>
  <c r="BD776" i="93"/>
  <c r="AQ776" i="93"/>
  <c r="AA776" i="93"/>
  <c r="IT776" i="93"/>
  <c r="HL776" i="93"/>
  <c r="GB776" i="93"/>
  <c r="EQ776" i="93"/>
  <c r="IK776" i="93"/>
  <c r="HJ776" i="93"/>
  <c r="FY776" i="93"/>
  <c r="IJ776" i="93"/>
  <c r="HI776" i="93"/>
  <c r="FI776" i="93"/>
  <c r="ED776" i="93"/>
  <c r="DC776" i="93"/>
  <c r="CE776" i="93"/>
  <c r="BM776" i="93"/>
  <c r="AX776" i="93"/>
  <c r="AI776" i="93"/>
  <c r="AF776" i="93"/>
  <c r="AZ776" i="93"/>
  <c r="BV776" i="93"/>
  <c r="CU776" i="93"/>
  <c r="EF776" i="93"/>
  <c r="GZ776" i="93"/>
  <c r="ET777" i="93"/>
  <c r="DK777" i="93"/>
  <c r="BZ777" i="93"/>
  <c r="IS777" i="93"/>
  <c r="EQ777" i="93"/>
  <c r="AO777" i="93"/>
  <c r="AF777" i="93"/>
  <c r="CR777" i="93"/>
  <c r="EK778" i="93"/>
  <c r="IP778" i="93"/>
  <c r="GQ780" i="93"/>
  <c r="GO780" i="93"/>
  <c r="JF781" i="93"/>
  <c r="HY781" i="93"/>
  <c r="FN781" i="93"/>
  <c r="HJ781" i="93"/>
  <c r="HB781" i="93"/>
  <c r="FE781" i="93"/>
  <c r="GN781" i="93"/>
  <c r="GL781" i="93"/>
  <c r="JJ784" i="93"/>
  <c r="JI784" i="93"/>
  <c r="HT784" i="93"/>
  <c r="GL784" i="93"/>
  <c r="FD784" i="93"/>
  <c r="HQ784" i="93"/>
  <c r="GF784" i="93"/>
  <c r="HM784" i="93"/>
  <c r="GD784" i="93"/>
  <c r="HF784" i="93"/>
  <c r="FU784" i="93"/>
  <c r="HC784" i="93"/>
  <c r="FQ784" i="93"/>
  <c r="DE784" i="93"/>
  <c r="AM808" i="94"/>
  <c r="BE808" i="94"/>
  <c r="BT808" i="94"/>
  <c r="CO808" i="94"/>
  <c r="DI808" i="94"/>
  <c r="EE808" i="94"/>
  <c r="FD808" i="94"/>
  <c r="IS808" i="94"/>
  <c r="DD809" i="94"/>
  <c r="G945" i="94"/>
  <c r="O945" i="94"/>
  <c r="F990" i="94"/>
  <c r="Q1701" i="94"/>
  <c r="M469" i="93"/>
  <c r="P519" i="93"/>
  <c r="M519" i="93"/>
  <c r="S527" i="93"/>
  <c r="G541" i="93"/>
  <c r="F552" i="93"/>
  <c r="U561" i="93"/>
  <c r="AC767" i="93"/>
  <c r="BW767" i="93"/>
  <c r="CP767" i="93"/>
  <c r="DS767" i="93"/>
  <c r="ER767" i="93"/>
  <c r="FM767" i="93"/>
  <c r="GC767" i="93"/>
  <c r="GU767" i="93"/>
  <c r="HL767" i="93"/>
  <c r="IB767" i="93"/>
  <c r="JG767" i="93"/>
  <c r="AF768" i="93"/>
  <c r="AQ768" i="93"/>
  <c r="BE768" i="93"/>
  <c r="BR768" i="93"/>
  <c r="CD768" i="93"/>
  <c r="CR768" i="93"/>
  <c r="DC768" i="93"/>
  <c r="ID768" i="93"/>
  <c r="DV769" i="93"/>
  <c r="HG769" i="93"/>
  <c r="ER770" i="93"/>
  <c r="AH771" i="93"/>
  <c r="BK771" i="93"/>
  <c r="CJ771" i="93"/>
  <c r="DP771" i="93"/>
  <c r="EP771" i="93"/>
  <c r="FT771" i="93"/>
  <c r="IN771" i="93"/>
  <c r="AU772" i="93"/>
  <c r="DU772" i="93"/>
  <c r="IR772" i="93"/>
  <c r="BF773" i="93"/>
  <c r="CN773" i="93"/>
  <c r="FN773" i="93"/>
  <c r="HY773" i="93"/>
  <c r="FM774" i="93"/>
  <c r="IO774" i="93"/>
  <c r="BR775" i="93"/>
  <c r="AH776" i="93"/>
  <c r="BA776" i="93"/>
  <c r="CB776" i="93"/>
  <c r="DA776" i="93"/>
  <c r="EN776" i="93"/>
  <c r="HK776" i="93"/>
  <c r="AW777" i="93"/>
  <c r="DB777" i="93"/>
  <c r="EU778" i="93"/>
  <c r="AR779" i="93"/>
  <c r="DR784" i="93"/>
  <c r="FI787" i="93"/>
  <c r="HK787" i="93"/>
  <c r="HJ787" i="93"/>
  <c r="GW787" i="93"/>
  <c r="Y808" i="94"/>
  <c r="AN808" i="94"/>
  <c r="BH808" i="94"/>
  <c r="BX808" i="94"/>
  <c r="CP808" i="94"/>
  <c r="DL808" i="94"/>
  <c r="EF808" i="94"/>
  <c r="FK808" i="94"/>
  <c r="JD808" i="94"/>
  <c r="IW809" i="94"/>
  <c r="K950" i="94"/>
  <c r="I959" i="94"/>
  <c r="K988" i="94"/>
  <c r="Q1929" i="94"/>
  <c r="A452" i="93"/>
  <c r="J463" i="93"/>
  <c r="G562" i="93"/>
  <c r="AD767" i="93"/>
  <c r="BB767" i="93"/>
  <c r="CS767" i="93"/>
  <c r="DU767" i="93"/>
  <c r="FO767" i="93"/>
  <c r="GE767" i="93"/>
  <c r="GW767" i="93"/>
  <c r="HM767" i="93"/>
  <c r="IC767" i="93"/>
  <c r="JJ767" i="93"/>
  <c r="AG768" i="93"/>
  <c r="AT768" i="93"/>
  <c r="BF768" i="93"/>
  <c r="BT768" i="93"/>
  <c r="CE768" i="93"/>
  <c r="CS768" i="93"/>
  <c r="DJ768" i="93"/>
  <c r="IF768" i="93"/>
  <c r="DW769" i="93"/>
  <c r="HU769" i="93"/>
  <c r="GD770" i="93"/>
  <c r="JM771" i="93"/>
  <c r="AK771" i="93"/>
  <c r="BQ771" i="93"/>
  <c r="CR771" i="93"/>
  <c r="DQ771" i="93"/>
  <c r="ES771" i="93"/>
  <c r="GC771" i="93"/>
  <c r="HG771" i="93"/>
  <c r="IO771" i="93"/>
  <c r="BH772" i="93"/>
  <c r="EK772" i="93"/>
  <c r="IS772" i="93"/>
  <c r="BG773" i="93"/>
  <c r="DB773" i="93"/>
  <c r="FO773" i="93"/>
  <c r="HZ773" i="93"/>
  <c r="Y774" i="93"/>
  <c r="GB774" i="93"/>
  <c r="JE774" i="93"/>
  <c r="EC775" i="93"/>
  <c r="JO776" i="93"/>
  <c r="AJ776" i="93"/>
  <c r="BB776" i="93"/>
  <c r="CC776" i="93"/>
  <c r="DD776" i="93"/>
  <c r="FF776" i="93"/>
  <c r="IC776" i="93"/>
  <c r="BA777" i="93"/>
  <c r="DV777" i="93"/>
  <c r="EP778" i="93"/>
  <c r="DR778" i="93"/>
  <c r="IX778" i="93"/>
  <c r="EF778" i="93"/>
  <c r="DK778" i="93"/>
  <c r="IS778" i="93"/>
  <c r="ED778" i="93"/>
  <c r="DH778" i="93"/>
  <c r="JA778" i="93"/>
  <c r="AS779" i="93"/>
  <c r="IX781" i="93"/>
  <c r="FJ784" i="93"/>
  <c r="FT808" i="94"/>
  <c r="AB808" i="94"/>
  <c r="AR808" i="94"/>
  <c r="BI808" i="94"/>
  <c r="CA808" i="94"/>
  <c r="CR808" i="94"/>
  <c r="DN808" i="94"/>
  <c r="EJ808" i="94"/>
  <c r="FL808" i="94"/>
  <c r="JM808" i="94"/>
  <c r="IX809" i="94"/>
  <c r="L950" i="94"/>
  <c r="H954" i="94"/>
  <c r="P954" i="94"/>
  <c r="J959" i="94"/>
  <c r="N959" i="94"/>
  <c r="H1736" i="94"/>
  <c r="J2052" i="94"/>
  <c r="AG767" i="93"/>
  <c r="BE767" i="93"/>
  <c r="BZ767" i="93"/>
  <c r="DA767" i="93"/>
  <c r="EA767" i="93"/>
  <c r="EZ767" i="93"/>
  <c r="FP767" i="93"/>
  <c r="GG767" i="93"/>
  <c r="GX767" i="93"/>
  <c r="HN767" i="93"/>
  <c r="AH768" i="93"/>
  <c r="AV768" i="93"/>
  <c r="BG768" i="93"/>
  <c r="BU768" i="93"/>
  <c r="CH768" i="93"/>
  <c r="CT768" i="93"/>
  <c r="DR768" i="93"/>
  <c r="IG768" i="93"/>
  <c r="FG769" i="93"/>
  <c r="HV769" i="93"/>
  <c r="HD770" i="93"/>
  <c r="AS771" i="93"/>
  <c r="BS771" i="93"/>
  <c r="CS771" i="93"/>
  <c r="DU771" i="93"/>
  <c r="EU771" i="93"/>
  <c r="GD771" i="93"/>
  <c r="HP771" i="93"/>
  <c r="JI772" i="93"/>
  <c r="HM772" i="93"/>
  <c r="FR772" i="93"/>
  <c r="EJ772" i="93"/>
  <c r="BY772" i="93"/>
  <c r="GV772" i="93"/>
  <c r="FA772" i="93"/>
  <c r="DD772" i="93"/>
  <c r="AJ772" i="93"/>
  <c r="BX772" i="93"/>
  <c r="EL772" i="93"/>
  <c r="GW772" i="93"/>
  <c r="JH772" i="93"/>
  <c r="Z773" i="93"/>
  <c r="BH773" i="93"/>
  <c r="DC773" i="93"/>
  <c r="GD773" i="93"/>
  <c r="IA773" i="93"/>
  <c r="BE774" i="93"/>
  <c r="GC774" i="93"/>
  <c r="AK776" i="93"/>
  <c r="BI776" i="93"/>
  <c r="CD776" i="93"/>
  <c r="DE776" i="93"/>
  <c r="FG776" i="93"/>
  <c r="ID776" i="93"/>
  <c r="BF777" i="93"/>
  <c r="DX777" i="93"/>
  <c r="HX778" i="93"/>
  <c r="FW778" i="93"/>
  <c r="HN778" i="93"/>
  <c r="FT778" i="93"/>
  <c r="HK778" i="93"/>
  <c r="IS779" i="93"/>
  <c r="FN784" i="93"/>
  <c r="JY808" i="94"/>
  <c r="AC808" i="94"/>
  <c r="AU808" i="94"/>
  <c r="BJ808" i="94"/>
  <c r="CB808" i="94"/>
  <c r="CW808" i="94"/>
  <c r="DQ808" i="94"/>
  <c r="EO808" i="94"/>
  <c r="FP808" i="94"/>
  <c r="LA809" i="94"/>
  <c r="G941" i="94"/>
  <c r="O941" i="94"/>
  <c r="J945" i="94"/>
  <c r="I954" i="94"/>
  <c r="K959" i="94"/>
  <c r="G963" i="94"/>
  <c r="O963" i="94"/>
  <c r="K1969" i="94"/>
  <c r="A450" i="93"/>
  <c r="J474" i="93"/>
  <c r="M500" i="93"/>
  <c r="G513" i="93"/>
  <c r="U512" i="93"/>
  <c r="G519" i="93"/>
  <c r="S519" i="93"/>
  <c r="U526" i="93"/>
  <c r="S541" i="93"/>
  <c r="U539" i="93"/>
  <c r="U546" i="93"/>
  <c r="J562" i="93"/>
  <c r="A767" i="93"/>
  <c r="EC767" i="93"/>
  <c r="FQ767" i="93"/>
  <c r="GK767" i="93"/>
  <c r="HA767" i="93"/>
  <c r="X768" i="93"/>
  <c r="AI768" i="93"/>
  <c r="AW768" i="93"/>
  <c r="BJ768" i="93"/>
  <c r="BV768" i="93"/>
  <c r="CJ768" i="93"/>
  <c r="CU768" i="93"/>
  <c r="DX768" i="93"/>
  <c r="II768" i="93"/>
  <c r="FJ769" i="93"/>
  <c r="JD769" i="93"/>
  <c r="AS770" i="93"/>
  <c r="HE770" i="93"/>
  <c r="AU771" i="93"/>
  <c r="DW771" i="93"/>
  <c r="IU771" i="93"/>
  <c r="CU773" i="93"/>
  <c r="AA773" i="93"/>
  <c r="BV773" i="93"/>
  <c r="DQ773" i="93"/>
  <c r="GE773" i="93"/>
  <c r="IJ774" i="93"/>
  <c r="EV774" i="93"/>
  <c r="BT774" i="93"/>
  <c r="GS774" i="93"/>
  <c r="HU775" i="93"/>
  <c r="BQ775" i="93"/>
  <c r="GO775" i="93"/>
  <c r="GP775" i="93"/>
  <c r="AO776" i="93"/>
  <c r="BJ776" i="93"/>
  <c r="CL776" i="93"/>
  <c r="DF776" i="93"/>
  <c r="FH776" i="93"/>
  <c r="IH776" i="93"/>
  <c r="BQ777" i="93"/>
  <c r="DY777" i="93"/>
  <c r="FV778" i="93"/>
  <c r="JN779" i="93"/>
  <c r="IY779" i="93"/>
  <c r="FQ779" i="93"/>
  <c r="CJ779" i="93"/>
  <c r="IX779" i="93"/>
  <c r="FP779" i="93"/>
  <c r="CI779" i="93"/>
  <c r="IC779" i="93"/>
  <c r="EA779" i="93"/>
  <c r="X779" i="93"/>
  <c r="IB779" i="93"/>
  <c r="DZ779" i="93"/>
  <c r="W779" i="93"/>
  <c r="HG779" i="93"/>
  <c r="DD779" i="93"/>
  <c r="GM779" i="93"/>
  <c r="BO779" i="93"/>
  <c r="GL779" i="93"/>
  <c r="BN779" i="93"/>
  <c r="HJ779" i="93"/>
  <c r="EU779" i="93"/>
  <c r="GO784" i="93"/>
  <c r="JF795" i="93"/>
  <c r="Y782" i="93"/>
  <c r="CC782" i="93"/>
  <c r="FC782" i="93"/>
  <c r="IF782" i="93"/>
  <c r="AJ783" i="93"/>
  <c r="BZ783" i="93"/>
  <c r="DU783" i="93"/>
  <c r="GC783" i="93"/>
  <c r="IH783" i="93"/>
  <c r="BQ792" i="93"/>
  <c r="BM792" i="93"/>
  <c r="AZ792" i="93"/>
  <c r="AF771" i="93"/>
  <c r="AW771" i="93"/>
  <c r="BT771" i="93"/>
  <c r="CQ771" i="93"/>
  <c r="DH771" i="93"/>
  <c r="EE771" i="93"/>
  <c r="EV771" i="93"/>
  <c r="FU771" i="93"/>
  <c r="GT771" i="93"/>
  <c r="HU771" i="93"/>
  <c r="IS771" i="93"/>
  <c r="JQ771" i="93"/>
  <c r="AT772" i="93"/>
  <c r="JF773" i="93"/>
  <c r="IW777" i="93"/>
  <c r="HY777" i="93"/>
  <c r="FV777" i="93"/>
  <c r="EP777" i="93"/>
  <c r="DJ777" i="93"/>
  <c r="CJ777" i="93"/>
  <c r="BO777" i="93"/>
  <c r="AN777" i="93"/>
  <c r="IV777" i="93"/>
  <c r="HM777" i="93"/>
  <c r="FO777" i="93"/>
  <c r="EG777" i="93"/>
  <c r="DC777" i="93"/>
  <c r="CI777" i="93"/>
  <c r="BG777" i="93"/>
  <c r="AH777" i="93"/>
  <c r="HX777" i="93"/>
  <c r="AG777" i="93"/>
  <c r="BR777" i="93"/>
  <c r="CZ777" i="93"/>
  <c r="EF777" i="93"/>
  <c r="GJ777" i="93"/>
  <c r="II777" i="93"/>
  <c r="AU778" i="93"/>
  <c r="BQ778" i="93"/>
  <c r="CL778" i="93"/>
  <c r="DJ778" i="93"/>
  <c r="EE778" i="93"/>
  <c r="FA778" i="93"/>
  <c r="HM778" i="93"/>
  <c r="FD781" i="93"/>
  <c r="HA781" i="93"/>
  <c r="AO782" i="93"/>
  <c r="CJ782" i="93"/>
  <c r="FZ782" i="93"/>
  <c r="JH782" i="93"/>
  <c r="AL783" i="93"/>
  <c r="CD783" i="93"/>
  <c r="DY783" i="93"/>
  <c r="GL783" i="93"/>
  <c r="IQ783" i="93"/>
  <c r="BV784" i="93"/>
  <c r="IH786" i="93"/>
  <c r="Z786" i="93"/>
  <c r="AM786" i="93"/>
  <c r="HE786" i="93"/>
  <c r="AJ791" i="93"/>
  <c r="EB791" i="93"/>
  <c r="AA778" i="93"/>
  <c r="AV778" i="93"/>
  <c r="BR778" i="93"/>
  <c r="CP778" i="93"/>
  <c r="IG782" i="93"/>
  <c r="AR782" i="93"/>
  <c r="CR782" i="93"/>
  <c r="AO783" i="93"/>
  <c r="CO783" i="93"/>
  <c r="ET783" i="93"/>
  <c r="GX783" i="93"/>
  <c r="HH786" i="93"/>
  <c r="HJ788" i="93"/>
  <c r="GF788" i="93"/>
  <c r="HM789" i="93"/>
  <c r="FZ789" i="93"/>
  <c r="HC789" i="93"/>
  <c r="FW789" i="93"/>
  <c r="GY789" i="93"/>
  <c r="FM789" i="93"/>
  <c r="IC789" i="93"/>
  <c r="GQ789" i="93"/>
  <c r="FJ789" i="93"/>
  <c r="GI789" i="93"/>
  <c r="BC791" i="93"/>
  <c r="IX793" i="93"/>
  <c r="IW793" i="93"/>
  <c r="IS793" i="93"/>
  <c r="EI793" i="93"/>
  <c r="FT795" i="93"/>
  <c r="IU782" i="93"/>
  <c r="IK782" i="93"/>
  <c r="GF782" i="93"/>
  <c r="DW782" i="93"/>
  <c r="BS782" i="93"/>
  <c r="AM782" i="93"/>
  <c r="GC782" i="93"/>
  <c r="CX782" i="93"/>
  <c r="BR782" i="93"/>
  <c r="AE782" i="93"/>
  <c r="HV782" i="93"/>
  <c r="AT782" i="93"/>
  <c r="CV782" i="93"/>
  <c r="HA782" i="93"/>
  <c r="IS783" i="93"/>
  <c r="JL783" i="93"/>
  <c r="IB783" i="93"/>
  <c r="FZ783" i="93"/>
  <c r="EI783" i="93"/>
  <c r="CU783" i="93"/>
  <c r="BO783" i="93"/>
  <c r="Y783" i="93"/>
  <c r="JK783" i="93"/>
  <c r="HM783" i="93"/>
  <c r="FY783" i="93"/>
  <c r="EG783" i="93"/>
  <c r="CT783" i="93"/>
  <c r="BN783" i="93"/>
  <c r="AQ783" i="93"/>
  <c r="CS783" i="93"/>
  <c r="EW783" i="93"/>
  <c r="HB783" i="93"/>
  <c r="JJ783" i="93"/>
  <c r="IX791" i="93"/>
  <c r="HP791" i="93"/>
  <c r="FN791" i="93"/>
  <c r="EI791" i="93"/>
  <c r="DO791" i="93"/>
  <c r="CS791" i="93"/>
  <c r="BU791" i="93"/>
  <c r="AY791" i="93"/>
  <c r="AE791" i="93"/>
  <c r="IV791" i="93"/>
  <c r="HJ791" i="93"/>
  <c r="FD791" i="93"/>
  <c r="EG791" i="93"/>
  <c r="DK791" i="93"/>
  <c r="CJ791" i="93"/>
  <c r="BN791" i="93"/>
  <c r="AR791" i="93"/>
  <c r="JL791" i="93"/>
  <c r="IJ791" i="93"/>
  <c r="GJ791" i="93"/>
  <c r="EU791" i="93"/>
  <c r="DW791" i="93"/>
  <c r="DA791" i="93"/>
  <c r="CE791" i="93"/>
  <c r="BD791" i="93"/>
  <c r="AH791" i="93"/>
  <c r="IP791" i="93"/>
  <c r="FM791" i="93"/>
  <c r="DR791" i="93"/>
  <c r="CI791" i="93"/>
  <c r="AZ791" i="93"/>
  <c r="II791" i="93"/>
  <c r="FC791" i="93"/>
  <c r="DP791" i="93"/>
  <c r="CF791" i="93"/>
  <c r="AV791" i="93"/>
  <c r="IF791" i="93"/>
  <c r="EV791" i="93"/>
  <c r="DL791" i="93"/>
  <c r="CB791" i="93"/>
  <c r="AO791" i="93"/>
  <c r="JH791" i="93"/>
  <c r="HC791" i="93"/>
  <c r="EJ791" i="93"/>
  <c r="DB791" i="93"/>
  <c r="BP791" i="93"/>
  <c r="AG791" i="93"/>
  <c r="IZ791" i="93"/>
  <c r="GK791" i="93"/>
  <c r="EH791" i="93"/>
  <c r="CV791" i="93"/>
  <c r="BM791" i="93"/>
  <c r="AF791" i="93"/>
  <c r="BL791" i="93"/>
  <c r="GD791" i="93"/>
  <c r="FU795" i="93"/>
  <c r="AD778" i="93"/>
  <c r="AY778" i="93"/>
  <c r="CA778" i="93"/>
  <c r="IF778" i="93"/>
  <c r="IZ781" i="93"/>
  <c r="II781" i="93"/>
  <c r="BT781" i="93"/>
  <c r="BB782" i="93"/>
  <c r="CW782" i="93"/>
  <c r="HE782" i="93"/>
  <c r="AY783" i="93"/>
  <c r="DD783" i="93"/>
  <c r="EX783" i="93"/>
  <c r="HC783" i="93"/>
  <c r="IW784" i="93"/>
  <c r="AV784" i="93"/>
  <c r="CG784" i="93"/>
  <c r="IC790" i="93"/>
  <c r="FN790" i="93"/>
  <c r="HW790" i="93"/>
  <c r="GY790" i="93"/>
  <c r="GL790" i="93"/>
  <c r="AP771" i="93"/>
  <c r="BI771" i="93"/>
  <c r="CD771" i="93"/>
  <c r="CW771" i="93"/>
  <c r="DR771" i="93"/>
  <c r="EO771" i="93"/>
  <c r="FI771" i="93"/>
  <c r="GI771" i="93"/>
  <c r="HH771" i="93"/>
  <c r="AY777" i="93"/>
  <c r="CH777" i="93"/>
  <c r="DU777" i="93"/>
  <c r="FA777" i="93"/>
  <c r="HF777" i="93"/>
  <c r="JL778" i="93"/>
  <c r="IM778" i="93"/>
  <c r="HJ778" i="93"/>
  <c r="FS778" i="93"/>
  <c r="EN778" i="93"/>
  <c r="DV778" i="93"/>
  <c r="DG778" i="93"/>
  <c r="CO778" i="93"/>
  <c r="BY778" i="93"/>
  <c r="BG778" i="93"/>
  <c r="AN778" i="93"/>
  <c r="Z778" i="93"/>
  <c r="JB778" i="93"/>
  <c r="II778" i="93"/>
  <c r="GR778" i="93"/>
  <c r="FB778" i="93"/>
  <c r="EM778" i="93"/>
  <c r="DU778" i="93"/>
  <c r="DE778" i="93"/>
  <c r="CM778" i="93"/>
  <c r="BT778" i="93"/>
  <c r="BF778" i="93"/>
  <c r="AM778" i="93"/>
  <c r="W778" i="93"/>
  <c r="AH778" i="93"/>
  <c r="BC778" i="93"/>
  <c r="CB778" i="93"/>
  <c r="CX778" i="93"/>
  <c r="DS778" i="93"/>
  <c r="EQ778" i="93"/>
  <c r="GO778" i="93"/>
  <c r="JO778" i="93"/>
  <c r="BK779" i="93"/>
  <c r="HL781" i="93"/>
  <c r="GC781" i="93"/>
  <c r="EG781" i="93"/>
  <c r="AM781" i="93"/>
  <c r="JJ781" i="93"/>
  <c r="HK781" i="93"/>
  <c r="GB781" i="93"/>
  <c r="DP781" i="93"/>
  <c r="W781" i="93"/>
  <c r="CJ781" i="93"/>
  <c r="FP781" i="93"/>
  <c r="HZ781" i="93"/>
  <c r="BH782" i="93"/>
  <c r="EW782" i="93"/>
  <c r="HF782" i="93"/>
  <c r="BA783" i="93"/>
  <c r="DE783" i="93"/>
  <c r="EZ783" i="93"/>
  <c r="HE783" i="93"/>
  <c r="JN784" i="93"/>
  <c r="JH784" i="93"/>
  <c r="HY784" i="93"/>
  <c r="HK784" i="93"/>
  <c r="GT784" i="93"/>
  <c r="GC784" i="93"/>
  <c r="FM784" i="93"/>
  <c r="ER784" i="93"/>
  <c r="DF784" i="93"/>
  <c r="JE784" i="93"/>
  <c r="HV784" i="93"/>
  <c r="HE784" i="93"/>
  <c r="GN784" i="93"/>
  <c r="FZ784" i="93"/>
  <c r="FI784" i="93"/>
  <c r="EP784" i="93"/>
  <c r="DA784" i="93"/>
  <c r="JO784" i="93"/>
  <c r="IL784" i="93"/>
  <c r="HN784" i="93"/>
  <c r="GX784" i="93"/>
  <c r="GJ784" i="93"/>
  <c r="FR784" i="93"/>
  <c r="FB784" i="93"/>
  <c r="DT784" i="93"/>
  <c r="CJ784" i="93"/>
  <c r="HZ784" i="93"/>
  <c r="HB784" i="93"/>
  <c r="GB784" i="93"/>
  <c r="FA784" i="93"/>
  <c r="CZ784" i="93"/>
  <c r="BP784" i="93"/>
  <c r="AB784" i="93"/>
  <c r="JP784" i="93"/>
  <c r="HX784" i="93"/>
  <c r="GW784" i="93"/>
  <c r="FV784" i="93"/>
  <c r="EY784" i="93"/>
  <c r="CO784" i="93"/>
  <c r="BM784" i="93"/>
  <c r="AA784" i="93"/>
  <c r="IQ784" i="93"/>
  <c r="HL784" i="93"/>
  <c r="AW784" i="93"/>
  <c r="CH784" i="93"/>
  <c r="FE784" i="93"/>
  <c r="GM784" i="93"/>
  <c r="II784" i="93"/>
  <c r="HR789" i="93"/>
  <c r="GE790" i="93"/>
  <c r="CL791" i="93"/>
  <c r="HO791" i="93"/>
  <c r="EU786" i="93"/>
  <c r="CS792" i="93"/>
  <c r="IT792" i="93"/>
  <c r="JJ795" i="93"/>
  <c r="JC795" i="93"/>
  <c r="GK795" i="93"/>
  <c r="EK795" i="93"/>
  <c r="JL795" i="93"/>
  <c r="HG795" i="93"/>
  <c r="FN795" i="93"/>
  <c r="AZ795" i="93"/>
  <c r="JH795" i="93"/>
  <c r="HF795" i="93"/>
  <c r="EX795" i="93"/>
  <c r="AH795" i="93"/>
  <c r="HV795" i="93"/>
  <c r="EW795" i="93"/>
  <c r="HJ795" i="93"/>
  <c r="CP795" i="93"/>
  <c r="GT795" i="93"/>
  <c r="CL795" i="93"/>
  <c r="GJ795" i="93"/>
  <c r="BF795" i="93"/>
  <c r="FZ795" i="93"/>
  <c r="HL795" i="93"/>
  <c r="DA804" i="93"/>
  <c r="CZ804" i="93"/>
  <c r="BU804" i="93"/>
  <c r="BW791" i="93"/>
  <c r="AK792" i="93"/>
  <c r="IW792" i="93"/>
  <c r="JB795" i="93"/>
  <c r="IT804" i="93"/>
  <c r="DO792" i="93"/>
  <c r="HS803" i="93"/>
  <c r="HV803" i="93"/>
  <c r="GE803" i="93"/>
  <c r="BJ785" i="93"/>
  <c r="IJ788" i="93"/>
  <c r="IE788" i="93"/>
  <c r="IH788" i="93"/>
  <c r="AH788" i="93"/>
  <c r="CA788" i="93"/>
  <c r="DR788" i="93"/>
  <c r="DC789" i="93"/>
  <c r="AM790" i="93"/>
  <c r="DG790" i="93"/>
  <c r="A791" i="93"/>
  <c r="IA791" i="93"/>
  <c r="JA792" i="93"/>
  <c r="DQ792" i="93"/>
  <c r="BI793" i="93"/>
  <c r="BQ793" i="93"/>
  <c r="AW793" i="93"/>
  <c r="BN793" i="93"/>
  <c r="JQ777" i="93"/>
  <c r="BG784" i="93"/>
  <c r="IW785" i="93"/>
  <c r="GF787" i="93"/>
  <c r="JF787" i="93"/>
  <c r="FY787" i="93"/>
  <c r="CY787" i="93"/>
  <c r="AW787" i="93"/>
  <c r="IC787" i="93"/>
  <c r="FG787" i="93"/>
  <c r="CV787" i="93"/>
  <c r="JK787" i="93"/>
  <c r="HE787" i="93"/>
  <c r="EA787" i="93"/>
  <c r="AZ787" i="93"/>
  <c r="BS787" i="93"/>
  <c r="GE787" i="93"/>
  <c r="IX788" i="93"/>
  <c r="EW788" i="93"/>
  <c r="DT788" i="93"/>
  <c r="CV788" i="93"/>
  <c r="BT788" i="93"/>
  <c r="AU788" i="93"/>
  <c r="IV788" i="93"/>
  <c r="HQ788" i="93"/>
  <c r="ER788" i="93"/>
  <c r="DO788" i="93"/>
  <c r="CK788" i="93"/>
  <c r="BM788" i="93"/>
  <c r="AJ788" i="93"/>
  <c r="GD788" i="93"/>
  <c r="EG788" i="93"/>
  <c r="DA788" i="93"/>
  <c r="CF788" i="93"/>
  <c r="AZ788" i="93"/>
  <c r="Z788" i="93"/>
  <c r="GV788" i="93"/>
  <c r="AM788" i="93"/>
  <c r="CI788" i="93"/>
  <c r="DY788" i="93"/>
  <c r="HL788" i="93"/>
  <c r="JK789" i="93"/>
  <c r="HS789" i="93"/>
  <c r="GZ789" i="93"/>
  <c r="GB789" i="93"/>
  <c r="FG789" i="93"/>
  <c r="BZ789" i="93"/>
  <c r="JF789" i="93"/>
  <c r="HQ789" i="93"/>
  <c r="GX789" i="93"/>
  <c r="FY789" i="93"/>
  <c r="FE789" i="93"/>
  <c r="II789" i="93"/>
  <c r="HJ789" i="93"/>
  <c r="GK789" i="93"/>
  <c r="FN789" i="93"/>
  <c r="EU789" i="93"/>
  <c r="EV789" i="93"/>
  <c r="GH789" i="93"/>
  <c r="HP789" i="93"/>
  <c r="JI790" i="93"/>
  <c r="IB790" i="93"/>
  <c r="GF790" i="93"/>
  <c r="ES790" i="93"/>
  <c r="DH790" i="93"/>
  <c r="BS790" i="93"/>
  <c r="AE790" i="93"/>
  <c r="IZ790" i="93"/>
  <c r="HJ790" i="93"/>
  <c r="FS790" i="93"/>
  <c r="EC790" i="93"/>
  <c r="CR790" i="93"/>
  <c r="BF790" i="93"/>
  <c r="IS790" i="93"/>
  <c r="GX790" i="93"/>
  <c r="FL790" i="93"/>
  <c r="DZ790" i="93"/>
  <c r="CI790" i="93"/>
  <c r="AY790" i="93"/>
  <c r="BA790" i="93"/>
  <c r="DJ790" i="93"/>
  <c r="FP790" i="93"/>
  <c r="ID790" i="93"/>
  <c r="IG793" i="93"/>
  <c r="CE793" i="93"/>
  <c r="AK793" i="93"/>
  <c r="CI793" i="93"/>
  <c r="AA793" i="93"/>
  <c r="CZ793" i="93"/>
  <c r="DC793" i="93"/>
  <c r="AH793" i="93"/>
  <c r="BS793" i="93"/>
  <c r="DA793" i="93"/>
  <c r="HQ794" i="93"/>
  <c r="FI794" i="93"/>
  <c r="GW794" i="93"/>
  <c r="GS794" i="93"/>
  <c r="GL794" i="93"/>
  <c r="FV794" i="93"/>
  <c r="CQ795" i="93"/>
  <c r="FX797" i="93"/>
  <c r="IE799" i="93"/>
  <c r="EM799" i="93"/>
  <c r="X799" i="93"/>
  <c r="JB799" i="93"/>
  <c r="IF799" i="93"/>
  <c r="CR799" i="93"/>
  <c r="CB799" i="93"/>
  <c r="BO799" i="93"/>
  <c r="BJ799" i="93"/>
  <c r="ID801" i="93"/>
  <c r="BQ801" i="93"/>
  <c r="BD801" i="93"/>
  <c r="AR801" i="93"/>
  <c r="ER801" i="93"/>
  <c r="ED801" i="93"/>
  <c r="X785" i="93"/>
  <c r="FK785" i="93"/>
  <c r="HM785" i="93"/>
  <c r="HD786" i="93"/>
  <c r="IY791" i="93"/>
  <c r="AF792" i="93"/>
  <c r="BT792" i="93"/>
  <c r="DM792" i="93"/>
  <c r="EW792" i="93"/>
  <c r="GA792" i="93"/>
  <c r="GY792" i="93"/>
  <c r="IC792" i="93"/>
  <c r="JP792" i="93"/>
  <c r="GK793" i="93"/>
  <c r="DJ794" i="93"/>
  <c r="IR794" i="93"/>
  <c r="IM796" i="93"/>
  <c r="AZ796" i="93"/>
  <c r="EW796" i="93"/>
  <c r="GA796" i="93"/>
  <c r="GX796" i="93"/>
  <c r="CW797" i="93"/>
  <c r="AI797" i="93"/>
  <c r="GJ799" i="93"/>
  <c r="GO799" i="93"/>
  <c r="AY800" i="93"/>
  <c r="DF801" i="93"/>
  <c r="DE801" i="93"/>
  <c r="BW802" i="93"/>
  <c r="FR802" i="93"/>
  <c r="BW803" i="93"/>
  <c r="FN803" i="93"/>
  <c r="EG804" i="93"/>
  <c r="P898" i="93"/>
  <c r="HS796" i="93"/>
  <c r="HA796" i="93"/>
  <c r="GH796" i="93"/>
  <c r="FR796" i="93"/>
  <c r="FA796" i="93"/>
  <c r="HW796" i="93"/>
  <c r="HG796" i="93"/>
  <c r="GP796" i="93"/>
  <c r="FX796" i="93"/>
  <c r="FH796" i="93"/>
  <c r="DT796" i="93"/>
  <c r="HV796" i="93"/>
  <c r="HD796" i="93"/>
  <c r="GN796" i="93"/>
  <c r="FW796" i="93"/>
  <c r="FG796" i="93"/>
  <c r="AO796" i="93"/>
  <c r="EZ796" i="93"/>
  <c r="GC796" i="93"/>
  <c r="HC796" i="93"/>
  <c r="AP797" i="93"/>
  <c r="HI799" i="93"/>
  <c r="IF802" i="93"/>
  <c r="IG802" i="93"/>
  <c r="AH802" i="93"/>
  <c r="CC802" i="93"/>
  <c r="HY802" i="93"/>
  <c r="A804" i="93"/>
  <c r="AT794" i="93"/>
  <c r="FB796" i="93"/>
  <c r="GF796" i="93"/>
  <c r="HI796" i="93"/>
  <c r="IB797" i="93"/>
  <c r="CT797" i="93"/>
  <c r="BV797" i="93"/>
  <c r="AL797" i="93"/>
  <c r="GS797" i="93"/>
  <c r="CN797" i="93"/>
  <c r="BU797" i="93"/>
  <c r="AJ797" i="93"/>
  <c r="GA797" i="93"/>
  <c r="CC797" i="93"/>
  <c r="BO797" i="93"/>
  <c r="Z797" i="93"/>
  <c r="IU797" i="93"/>
  <c r="EZ797" i="93"/>
  <c r="BZ797" i="93"/>
  <c r="BG797" i="93"/>
  <c r="IJ797" i="93"/>
  <c r="DC797" i="93"/>
  <c r="BX797" i="93"/>
  <c r="AV797" i="93"/>
  <c r="BL797" i="93"/>
  <c r="AP802" i="93"/>
  <c r="CG802" i="93"/>
  <c r="ID802" i="93"/>
  <c r="K894" i="93"/>
  <c r="CJ785" i="93"/>
  <c r="GA785" i="93"/>
  <c r="JC785" i="93"/>
  <c r="EN788" i="93"/>
  <c r="HY792" i="93"/>
  <c r="AU792" i="93"/>
  <c r="CK792" i="93"/>
  <c r="DV792" i="93"/>
  <c r="FL792" i="93"/>
  <c r="GI792" i="93"/>
  <c r="HN792" i="93"/>
  <c r="IV792" i="93"/>
  <c r="JH793" i="93"/>
  <c r="HX793" i="93"/>
  <c r="FT793" i="93"/>
  <c r="EE793" i="93"/>
  <c r="GN793" i="93"/>
  <c r="EZ793" i="93"/>
  <c r="IA793" i="93"/>
  <c r="GM793" i="93"/>
  <c r="AD793" i="93"/>
  <c r="AZ793" i="93"/>
  <c r="BW793" i="93"/>
  <c r="CT793" i="93"/>
  <c r="EW793" i="93"/>
  <c r="HI793" i="93"/>
  <c r="BI794" i="93"/>
  <c r="IL795" i="93"/>
  <c r="FJ796" i="93"/>
  <c r="GG796" i="93"/>
  <c r="HL796" i="93"/>
  <c r="BP797" i="93"/>
  <c r="IW798" i="93"/>
  <c r="IG798" i="93"/>
  <c r="AW798" i="93"/>
  <c r="X800" i="93"/>
  <c r="BR800" i="93"/>
  <c r="DT800" i="93"/>
  <c r="AS802" i="93"/>
  <c r="CO802" i="93"/>
  <c r="JA802" i="93"/>
  <c r="AH803" i="93"/>
  <c r="CX803" i="93"/>
  <c r="DX785" i="93"/>
  <c r="IC786" i="93"/>
  <c r="FL786" i="93"/>
  <c r="JD786" i="93"/>
  <c r="BC792" i="93"/>
  <c r="CW792" i="93"/>
  <c r="EJ792" i="93"/>
  <c r="FP792" i="93"/>
  <c r="GS792" i="93"/>
  <c r="HP792" i="93"/>
  <c r="FD793" i="93"/>
  <c r="A795" i="93"/>
  <c r="FM796" i="93"/>
  <c r="GQ796" i="93"/>
  <c r="HN796" i="93"/>
  <c r="CB797" i="93"/>
  <c r="BO798" i="93"/>
  <c r="DT798" i="93"/>
  <c r="IQ798" i="93"/>
  <c r="IH800" i="93"/>
  <c r="IG800" i="93"/>
  <c r="IE800" i="93"/>
  <c r="AI800" i="93"/>
  <c r="CF800" i="93"/>
  <c r="EJ800" i="93"/>
  <c r="BF802" i="93"/>
  <c r="JJ803" i="93"/>
  <c r="JB803" i="93"/>
  <c r="GL803" i="93"/>
  <c r="ET803" i="93"/>
  <c r="DZ803" i="93"/>
  <c r="DC803" i="93"/>
  <c r="CH803" i="93"/>
  <c r="BN803" i="93"/>
  <c r="AQ803" i="93"/>
  <c r="IY803" i="93"/>
  <c r="ID803" i="93"/>
  <c r="GH803" i="93"/>
  <c r="EQ803" i="93"/>
  <c r="DV803" i="93"/>
  <c r="DB803" i="93"/>
  <c r="CE803" i="93"/>
  <c r="BJ803" i="93"/>
  <c r="AP803" i="93"/>
  <c r="IT803" i="93"/>
  <c r="HZ803" i="93"/>
  <c r="FO803" i="93"/>
  <c r="EL803" i="93"/>
  <c r="DR803" i="93"/>
  <c r="CU803" i="93"/>
  <c r="BZ803" i="93"/>
  <c r="BF803" i="93"/>
  <c r="AI803" i="93"/>
  <c r="IP803" i="93"/>
  <c r="HF803" i="93"/>
  <c r="FJ803" i="93"/>
  <c r="EH803" i="93"/>
  <c r="DK803" i="93"/>
  <c r="CP803" i="93"/>
  <c r="BV803" i="93"/>
  <c r="AY803" i="93"/>
  <c r="AD803" i="93"/>
  <c r="JL803" i="93"/>
  <c r="IL803" i="93"/>
  <c r="HC803" i="93"/>
  <c r="EY803" i="93"/>
  <c r="ED803" i="93"/>
  <c r="DJ803" i="93"/>
  <c r="CM803" i="93"/>
  <c r="BR803" i="93"/>
  <c r="AX803" i="93"/>
  <c r="AA803" i="93"/>
  <c r="JH803" i="93"/>
  <c r="II803" i="93"/>
  <c r="HB803" i="93"/>
  <c r="EX803" i="93"/>
  <c r="EA803" i="93"/>
  <c r="DF803" i="93"/>
  <c r="CL803" i="93"/>
  <c r="BO803" i="93"/>
  <c r="AT803" i="93"/>
  <c r="DS803" i="93"/>
  <c r="IX803" i="93"/>
  <c r="DT794" i="93"/>
  <c r="AL794" i="93"/>
  <c r="CS794" i="93"/>
  <c r="ES794" i="93"/>
  <c r="GH794" i="93"/>
  <c r="HR794" i="93"/>
  <c r="JP794" i="93"/>
  <c r="Y798" i="93"/>
  <c r="AZ798" i="93"/>
  <c r="BV798" i="93"/>
  <c r="CR798" i="93"/>
  <c r="DL798" i="93"/>
  <c r="EP798" i="93"/>
  <c r="HB798" i="93"/>
  <c r="IR798" i="93"/>
  <c r="A799" i="93"/>
  <c r="AW799" i="93"/>
  <c r="CC799" i="93"/>
  <c r="EW799" i="93"/>
  <c r="GP799" i="93"/>
  <c r="IV799" i="93"/>
  <c r="A800" i="93"/>
  <c r="AJ800" i="93"/>
  <c r="BB800" i="93"/>
  <c r="BV800" i="93"/>
  <c r="CP800" i="93"/>
  <c r="DK800" i="93"/>
  <c r="ED800" i="93"/>
  <c r="FF800" i="93"/>
  <c r="JJ800" i="93"/>
  <c r="AG801" i="93"/>
  <c r="CC801" i="93"/>
  <c r="EF801" i="93"/>
  <c r="GF801" i="93"/>
  <c r="JA801" i="93"/>
  <c r="AK802" i="93"/>
  <c r="BB802" i="93"/>
  <c r="BR802" i="93"/>
  <c r="CK802" i="93"/>
  <c r="DF802" i="93"/>
  <c r="GO802" i="93"/>
  <c r="JQ802" i="93"/>
  <c r="X804" i="93"/>
  <c r="EW804" i="93"/>
  <c r="GH804" i="93"/>
  <c r="IC804" i="93"/>
  <c r="C970" i="93"/>
  <c r="L1918" i="93"/>
  <c r="AN794" i="93"/>
  <c r="CT794" i="93"/>
  <c r="EX794" i="93"/>
  <c r="GK794" i="93"/>
  <c r="HT794" i="93"/>
  <c r="JQ794" i="93"/>
  <c r="CX798" i="93"/>
  <c r="AA798" i="93"/>
  <c r="BB798" i="93"/>
  <c r="BW798" i="93"/>
  <c r="CS798" i="93"/>
  <c r="DS798" i="93"/>
  <c r="ET798" i="93"/>
  <c r="HC798" i="93"/>
  <c r="IT798" i="93"/>
  <c r="AY799" i="93"/>
  <c r="CP799" i="93"/>
  <c r="EY799" i="93"/>
  <c r="HF799" i="93"/>
  <c r="JA799" i="93"/>
  <c r="AK800" i="93"/>
  <c r="BF800" i="93"/>
  <c r="BX800" i="93"/>
  <c r="CT800" i="93"/>
  <c r="DN800" i="93"/>
  <c r="EH800" i="93"/>
  <c r="FO800" i="93"/>
  <c r="JK800" i="93"/>
  <c r="AI801" i="93"/>
  <c r="CG801" i="93"/>
  <c r="EO801" i="93"/>
  <c r="GR801" i="93"/>
  <c r="A802" i="93"/>
  <c r="AO802" i="93"/>
  <c r="BE802" i="93"/>
  <c r="BU802" i="93"/>
  <c r="CM802" i="93"/>
  <c r="DV802" i="93"/>
  <c r="HI802" i="93"/>
  <c r="IG803" i="93"/>
  <c r="EV803" i="93"/>
  <c r="AZ804" i="93"/>
  <c r="FD804" i="93"/>
  <c r="GO804" i="93"/>
  <c r="O839" i="93"/>
  <c r="L885" i="93"/>
  <c r="M898" i="93"/>
  <c r="J903" i="93"/>
  <c r="O1569" i="93"/>
  <c r="P1566" i="93" s="1"/>
  <c r="K1656" i="93"/>
  <c r="L1673" i="93"/>
  <c r="JF798" i="93"/>
  <c r="AG798" i="93"/>
  <c r="BJ798" i="93"/>
  <c r="CC798" i="93"/>
  <c r="DA798" i="93"/>
  <c r="DV798" i="93"/>
  <c r="FJ798" i="93"/>
  <c r="IA798" i="93"/>
  <c r="JE798" i="93"/>
  <c r="AI799" i="93"/>
  <c r="BL799" i="93"/>
  <c r="CW799" i="93"/>
  <c r="FS799" i="93"/>
  <c r="HK799" i="93"/>
  <c r="JK799" i="93"/>
  <c r="Z800" i="93"/>
  <c r="AR800" i="93"/>
  <c r="BH800" i="93"/>
  <c r="CE800" i="93"/>
  <c r="CW800" i="93"/>
  <c r="DS800" i="93"/>
  <c r="EP800" i="93"/>
  <c r="GP800" i="93"/>
  <c r="JB801" i="93"/>
  <c r="AS801" i="93"/>
  <c r="DD801" i="93"/>
  <c r="FB801" i="93"/>
  <c r="HD801" i="93"/>
  <c r="JQ801" i="93"/>
  <c r="AA802" i="93"/>
  <c r="AQ802" i="93"/>
  <c r="BG802" i="93"/>
  <c r="BZ802" i="93"/>
  <c r="CP802" i="93"/>
  <c r="EW802" i="93"/>
  <c r="IC802" i="93"/>
  <c r="JE804" i="93"/>
  <c r="JD804" i="93"/>
  <c r="BY804" i="93"/>
  <c r="FJ804" i="93"/>
  <c r="GX804" i="93"/>
  <c r="JJ804" i="93"/>
  <c r="O889" i="93"/>
  <c r="L894" i="93"/>
  <c r="N903" i="93"/>
  <c r="I912" i="93"/>
  <c r="H912" i="93"/>
  <c r="O1649" i="93"/>
  <c r="M1721" i="93"/>
  <c r="P1721" i="93" s="1"/>
  <c r="H898" i="93"/>
  <c r="M903" i="93"/>
  <c r="R1918" i="93"/>
  <c r="M1935" i="93"/>
  <c r="AO798" i="93"/>
  <c r="BR798" i="93"/>
  <c r="CE798" i="93"/>
  <c r="DC798" i="93"/>
  <c r="EG798" i="93"/>
  <c r="FW798" i="93"/>
  <c r="AL799" i="93"/>
  <c r="BS799" i="93"/>
  <c r="DI799" i="93"/>
  <c r="GC799" i="93"/>
  <c r="IA799" i="93"/>
  <c r="JB800" i="93"/>
  <c r="HH800" i="93"/>
  <c r="AC800" i="93"/>
  <c r="AT800" i="93"/>
  <c r="BP800" i="93"/>
  <c r="CG800" i="93"/>
  <c r="DD800" i="93"/>
  <c r="DV800" i="93"/>
  <c r="ER800" i="93"/>
  <c r="GR800" i="93"/>
  <c r="IT800" i="93"/>
  <c r="FQ801" i="93"/>
  <c r="AD802" i="93"/>
  <c r="AT802" i="93"/>
  <c r="BN802" i="93"/>
  <c r="CD802" i="93"/>
  <c r="CT802" i="93"/>
  <c r="FM802" i="93"/>
  <c r="FR804" i="93"/>
  <c r="J885" i="93"/>
  <c r="O1477" i="93"/>
  <c r="K1862" i="93"/>
  <c r="W794" i="93"/>
  <c r="BY794" i="93"/>
  <c r="EK794" i="93"/>
  <c r="FU794" i="93"/>
  <c r="HI794" i="93"/>
  <c r="AP798" i="93"/>
  <c r="BT798" i="93"/>
  <c r="CK798" i="93"/>
  <c r="DF798" i="93"/>
  <c r="EH798" i="93"/>
  <c r="FZ798" i="93"/>
  <c r="AQ799" i="93"/>
  <c r="CA799" i="93"/>
  <c r="EC799" i="93"/>
  <c r="AH800" i="93"/>
  <c r="AV800" i="93"/>
  <c r="BQ800" i="93"/>
  <c r="CL800" i="93"/>
  <c r="DE800" i="93"/>
  <c r="EB800" i="93"/>
  <c r="ES800" i="93"/>
  <c r="HK800" i="93"/>
  <c r="IZ800" i="93"/>
  <c r="BR801" i="93"/>
  <c r="DQ801" i="93"/>
  <c r="FR801" i="93"/>
  <c r="ES802" i="93"/>
  <c r="AG802" i="93"/>
  <c r="AX802" i="93"/>
  <c r="BO802" i="93"/>
  <c r="CE802" i="93"/>
  <c r="CW802" i="93"/>
  <c r="FQ802" i="93"/>
  <c r="IH803" i="93"/>
  <c r="EF804" i="93"/>
  <c r="FY804" i="93"/>
  <c r="HN804" i="93"/>
  <c r="I885" i="93"/>
  <c r="H889" i="93"/>
  <c r="J898" i="93"/>
  <c r="N907" i="93"/>
  <c r="K916" i="93"/>
  <c r="K932" i="93"/>
  <c r="D969" i="93"/>
  <c r="E969" i="93" s="1"/>
  <c r="R773" i="94"/>
  <c r="O6" i="75"/>
  <c r="R18" i="75" s="1"/>
  <c r="R775" i="93" s="1"/>
  <c r="R775" i="94"/>
  <c r="AA48" i="75"/>
  <c r="N56" i="75" s="1"/>
  <c r="AI48" i="75"/>
  <c r="L58" i="75" s="1"/>
  <c r="AQ48" i="75"/>
  <c r="J60" i="75" s="1"/>
  <c r="O60" i="75" s="1"/>
  <c r="H89" i="94" s="1"/>
  <c r="AY48" i="75"/>
  <c r="M61" i="75" s="1"/>
  <c r="BG48" i="75"/>
  <c r="K64" i="75" s="1"/>
  <c r="BO48" i="75"/>
  <c r="N87" i="75" s="1"/>
  <c r="BW48" i="75"/>
  <c r="L85" i="75" s="1"/>
  <c r="CE48" i="75"/>
  <c r="J83" i="75" s="1"/>
  <c r="CM48" i="75"/>
  <c r="M82" i="75" s="1"/>
  <c r="CU48" i="75"/>
  <c r="K98" i="75" s="1"/>
  <c r="DC48" i="75"/>
  <c r="N97" i="75" s="1"/>
  <c r="DK48" i="75"/>
  <c r="L95" i="75" s="1"/>
  <c r="DS48" i="75"/>
  <c r="J93" i="75" s="1"/>
  <c r="EA48" i="75"/>
  <c r="M92" i="75" s="1"/>
  <c r="EI48" i="75"/>
  <c r="K145" i="75" s="1"/>
  <c r="EQ48" i="75"/>
  <c r="N146" i="75" s="1"/>
  <c r="EY48" i="75"/>
  <c r="L148" i="75" s="1"/>
  <c r="FG48" i="75"/>
  <c r="J150" i="75" s="1"/>
  <c r="FO48" i="75"/>
  <c r="M151" i="75" s="1"/>
  <c r="FW48" i="75"/>
  <c r="GE48" i="75"/>
  <c r="N155" i="75" s="1"/>
  <c r="GM48" i="75"/>
  <c r="L102" i="75" s="1"/>
  <c r="GU48" i="75"/>
  <c r="J104" i="75" s="1"/>
  <c r="O104" i="75" s="1"/>
  <c r="HC48" i="75"/>
  <c r="M105" i="75" s="1"/>
  <c r="HK48" i="75"/>
  <c r="K107" i="75" s="1"/>
  <c r="HS48" i="75"/>
  <c r="N108" i="75" s="1"/>
  <c r="IA48" i="75"/>
  <c r="II48" i="75"/>
  <c r="J125" i="75" s="1"/>
  <c r="IQ48" i="75"/>
  <c r="M130" i="75" s="1"/>
  <c r="IY48" i="75"/>
  <c r="K128" i="75" s="1"/>
  <c r="JG48" i="75"/>
  <c r="N129" i="75" s="1"/>
  <c r="JO48" i="75"/>
  <c r="L127" i="75" s="1"/>
  <c r="JW48" i="75"/>
  <c r="J117" i="75" s="1"/>
  <c r="KE48" i="75"/>
  <c r="M118" i="75" s="1"/>
  <c r="M141" i="75" s="1"/>
  <c r="KM48" i="75"/>
  <c r="K120" i="75" s="1"/>
  <c r="K139" i="75" s="1"/>
  <c r="F56" i="73" s="1"/>
  <c r="KU48" i="75"/>
  <c r="N121" i="75" s="1"/>
  <c r="N140" i="75" s="1"/>
  <c r="K1153" i="93" s="1"/>
  <c r="LC48" i="75"/>
  <c r="L123" i="75" s="1"/>
  <c r="LK48" i="75"/>
  <c r="LS48" i="75"/>
  <c r="MA48" i="75"/>
  <c r="MI48" i="75"/>
  <c r="MQ48" i="75"/>
  <c r="JD777" i="93"/>
  <c r="MK782" i="94"/>
  <c r="JO777" i="93"/>
  <c r="GR777" i="93"/>
  <c r="K142" i="75"/>
  <c r="K1221" i="94" s="1"/>
  <c r="MI781" i="94"/>
  <c r="MO781" i="94"/>
  <c r="JF776" i="93"/>
  <c r="JL776" i="93"/>
  <c r="A781" i="94"/>
  <c r="JM776" i="93"/>
  <c r="JP776" i="93"/>
  <c r="JN776" i="93"/>
  <c r="MK781" i="94"/>
  <c r="HZ781" i="94"/>
  <c r="ML781" i="94"/>
  <c r="EN48" i="75"/>
  <c r="K146" i="75" s="1"/>
  <c r="EV48" i="75"/>
  <c r="N147" i="75" s="1"/>
  <c r="FD48" i="75"/>
  <c r="L149" i="75" s="1"/>
  <c r="FL48" i="75"/>
  <c r="J151" i="75" s="1"/>
  <c r="FT48" i="75"/>
  <c r="M153" i="75" s="1"/>
  <c r="O153" i="75" s="1"/>
  <c r="GB48" i="75"/>
  <c r="K155" i="75" s="1"/>
  <c r="C21" i="90"/>
  <c r="I777" i="93"/>
  <c r="K777" i="93" s="1"/>
  <c r="L777" i="93" s="1"/>
  <c r="I782" i="94"/>
  <c r="K782" i="94" s="1"/>
  <c r="L782" i="94" s="1"/>
  <c r="K20" i="75"/>
  <c r="L20" i="75" s="1"/>
  <c r="F1215" i="94"/>
  <c r="F57" i="73"/>
  <c r="K57" i="73"/>
  <c r="B1067" i="93"/>
  <c r="F84" i="92"/>
  <c r="D56" i="92"/>
  <c r="B1041" i="93"/>
  <c r="B1048" i="93" s="1"/>
  <c r="B98" i="74"/>
  <c r="B1113" i="94" s="1"/>
  <c r="E1070" i="93"/>
  <c r="E1077" i="93" s="1"/>
  <c r="E129" i="74"/>
  <c r="E1144" i="94" s="1"/>
  <c r="F1216" i="94"/>
  <c r="I774" i="93"/>
  <c r="K774" i="93" s="1"/>
  <c r="L774" i="93" s="1"/>
  <c r="I779" i="94"/>
  <c r="K779" i="94" s="1"/>
  <c r="L779" i="94" s="1"/>
  <c r="K17" i="75"/>
  <c r="L17" i="75" s="1"/>
  <c r="K60" i="84"/>
  <c r="I60" i="84"/>
  <c r="G60" i="84"/>
  <c r="E60" i="84"/>
  <c r="G132" i="78"/>
  <c r="R801" i="93"/>
  <c r="R806" i="94"/>
  <c r="F1043" i="94"/>
  <c r="F36" i="74"/>
  <c r="F1051" i="94" s="1"/>
  <c r="K1025" i="93"/>
  <c r="K1088" i="94"/>
  <c r="H89" i="74"/>
  <c r="K98" i="74"/>
  <c r="K1113" i="94" s="1"/>
  <c r="F1054" i="93"/>
  <c r="F1119" i="94"/>
  <c r="C119" i="74"/>
  <c r="BJ772" i="94"/>
  <c r="CP774" i="94"/>
  <c r="LF774" i="94"/>
  <c r="LN779" i="94"/>
  <c r="KI790" i="94"/>
  <c r="IS790" i="94"/>
  <c r="JZ790" i="94"/>
  <c r="IJ790" i="94"/>
  <c r="JY790" i="94"/>
  <c r="IG790" i="94"/>
  <c r="JP790" i="94"/>
  <c r="LE790" i="94"/>
  <c r="JM790" i="94"/>
  <c r="KV790" i="94"/>
  <c r="JD790" i="94"/>
  <c r="KJ790" i="94"/>
  <c r="IT790" i="94"/>
  <c r="J995" i="93"/>
  <c r="J1056" i="94"/>
  <c r="E32" i="86"/>
  <c r="F1024" i="93"/>
  <c r="F1087" i="94"/>
  <c r="D51" i="86"/>
  <c r="CQ774" i="94"/>
  <c r="MP780" i="94"/>
  <c r="MO780" i="94"/>
  <c r="MM780" i="94"/>
  <c r="A780" i="94"/>
  <c r="ML780" i="94"/>
  <c r="MK780" i="94"/>
  <c r="MH780" i="94"/>
  <c r="MS780" i="94"/>
  <c r="ME780" i="94"/>
  <c r="F116" i="78"/>
  <c r="I3" i="76"/>
  <c r="Q769" i="93"/>
  <c r="Q774" i="94"/>
  <c r="R772" i="93"/>
  <c r="R777" i="94"/>
  <c r="I19" i="75"/>
  <c r="Q777" i="93"/>
  <c r="Q782" i="94"/>
  <c r="R780" i="93"/>
  <c r="R785" i="94"/>
  <c r="I784" i="93"/>
  <c r="K784" i="93" s="1"/>
  <c r="L784" i="93" s="1"/>
  <c r="I789" i="94"/>
  <c r="Q785" i="93"/>
  <c r="Q790" i="94"/>
  <c r="R788" i="93"/>
  <c r="R793" i="94"/>
  <c r="I792" i="93"/>
  <c r="K792" i="93" s="1"/>
  <c r="L792" i="93" s="1"/>
  <c r="I797" i="94"/>
  <c r="K797" i="94" s="1"/>
  <c r="L797" i="94" s="1"/>
  <c r="Q793" i="93"/>
  <c r="Q798" i="94"/>
  <c r="R796" i="93"/>
  <c r="R801" i="94"/>
  <c r="I800" i="93"/>
  <c r="K800" i="93" s="1"/>
  <c r="L800" i="93" s="1"/>
  <c r="I805" i="94"/>
  <c r="K805" i="94" s="1"/>
  <c r="L805" i="94" s="1"/>
  <c r="Q801" i="93"/>
  <c r="Q806" i="94"/>
  <c r="R804" i="93"/>
  <c r="R809" i="94"/>
  <c r="B26" i="74"/>
  <c r="B27" i="74"/>
  <c r="E28" i="74"/>
  <c r="C30" i="74"/>
  <c r="F31" i="74"/>
  <c r="I57" i="74"/>
  <c r="I58" i="74"/>
  <c r="K59" i="74"/>
  <c r="K60" i="74"/>
  <c r="E63" i="74"/>
  <c r="D1024" i="93"/>
  <c r="D1087" i="94"/>
  <c r="B1025" i="93"/>
  <c r="B1088" i="94"/>
  <c r="G32" i="86"/>
  <c r="J1025" i="93"/>
  <c r="J1088" i="94"/>
  <c r="H1026" i="93"/>
  <c r="H1089" i="94"/>
  <c r="G89" i="74"/>
  <c r="J91" i="74"/>
  <c r="G1053" i="93"/>
  <c r="G1118" i="94"/>
  <c r="E1054" i="93"/>
  <c r="E1119" i="94"/>
  <c r="C1055" i="93"/>
  <c r="C1120" i="94"/>
  <c r="K1055" i="93"/>
  <c r="K1120" i="94"/>
  <c r="D121" i="74"/>
  <c r="K52" i="72"/>
  <c r="O1984" i="94"/>
  <c r="Q1984" i="94" s="1"/>
  <c r="Q336" i="72"/>
  <c r="D32" i="86"/>
  <c r="C133" i="90"/>
  <c r="L59" i="85" s="1"/>
  <c r="J509" i="94"/>
  <c r="W772" i="94"/>
  <c r="BC772" i="94"/>
  <c r="CI772" i="94"/>
  <c r="DO772" i="94"/>
  <c r="EU772" i="94"/>
  <c r="GA772" i="94"/>
  <c r="HG772" i="94"/>
  <c r="IM772" i="94"/>
  <c r="JS772" i="94"/>
  <c r="KY772" i="94"/>
  <c r="AH773" i="94"/>
  <c r="BN773" i="94"/>
  <c r="CT773" i="94"/>
  <c r="DZ773" i="94"/>
  <c r="EQ773" i="94"/>
  <c r="GT773" i="94"/>
  <c r="W774" i="94"/>
  <c r="BC774" i="94"/>
  <c r="CI774" i="94"/>
  <c r="DO774" i="94"/>
  <c r="EU774" i="94"/>
  <c r="GA774" i="94"/>
  <c r="HG774" i="94"/>
  <c r="IM774" i="94"/>
  <c r="JS774" i="94"/>
  <c r="KY774" i="94"/>
  <c r="AH775" i="94"/>
  <c r="EH775" i="94"/>
  <c r="MJ776" i="94"/>
  <c r="A777" i="94"/>
  <c r="DW779" i="94"/>
  <c r="DO779" i="94"/>
  <c r="DG779" i="94"/>
  <c r="CY779" i="94"/>
  <c r="CQ779" i="94"/>
  <c r="CI779" i="94"/>
  <c r="CA779" i="94"/>
  <c r="BS779" i="94"/>
  <c r="BK779" i="94"/>
  <c r="DX779" i="94"/>
  <c r="DP779" i="94"/>
  <c r="DH779" i="94"/>
  <c r="CZ779" i="94"/>
  <c r="CR779" i="94"/>
  <c r="CJ779" i="94"/>
  <c r="CB779" i="94"/>
  <c r="BT779" i="94"/>
  <c r="BL779" i="94"/>
  <c r="FZ779" i="94"/>
  <c r="EA779" i="94"/>
  <c r="DN779" i="94"/>
  <c r="DB779" i="94"/>
  <c r="CO779" i="94"/>
  <c r="CC779" i="94"/>
  <c r="BO779" i="94"/>
  <c r="FY779" i="94"/>
  <c r="DZ779" i="94"/>
  <c r="DM779" i="94"/>
  <c r="DA779" i="94"/>
  <c r="CM779" i="94"/>
  <c r="BZ779" i="94"/>
  <c r="BN779" i="94"/>
  <c r="FW779" i="94"/>
  <c r="DY779" i="94"/>
  <c r="DK779" i="94"/>
  <c r="CX779" i="94"/>
  <c r="CL779" i="94"/>
  <c r="BY779" i="94"/>
  <c r="BM779" i="94"/>
  <c r="FV779" i="94"/>
  <c r="DV779" i="94"/>
  <c r="DJ779" i="94"/>
  <c r="CW779" i="94"/>
  <c r="CK779" i="94"/>
  <c r="BW779" i="94"/>
  <c r="DU779" i="94"/>
  <c r="DI779" i="94"/>
  <c r="CU779" i="94"/>
  <c r="CH779" i="94"/>
  <c r="BV779" i="94"/>
  <c r="DS779" i="94"/>
  <c r="DF779" i="94"/>
  <c r="CT779" i="94"/>
  <c r="CG779" i="94"/>
  <c r="BU779" i="94"/>
  <c r="DQ779" i="94"/>
  <c r="DC779" i="94"/>
  <c r="CP779" i="94"/>
  <c r="CD779" i="94"/>
  <c r="BQ779" i="94"/>
  <c r="AG779" i="94"/>
  <c r="LE780" i="94"/>
  <c r="KQ780" i="94"/>
  <c r="KD780" i="94"/>
  <c r="JR780" i="94"/>
  <c r="JE780" i="94"/>
  <c r="IS780" i="94"/>
  <c r="IE780" i="94"/>
  <c r="LB780" i="94"/>
  <c r="KP780" i="94"/>
  <c r="KC780" i="94"/>
  <c r="JQ780" i="94"/>
  <c r="JC780" i="94"/>
  <c r="IP780" i="94"/>
  <c r="ID780" i="94"/>
  <c r="LA780" i="94"/>
  <c r="KO780" i="94"/>
  <c r="KA780" i="94"/>
  <c r="JN780" i="94"/>
  <c r="JB780" i="94"/>
  <c r="IO780" i="94"/>
  <c r="IC780" i="94"/>
  <c r="KY780" i="94"/>
  <c r="KL780" i="94"/>
  <c r="JZ780" i="94"/>
  <c r="JM780" i="94"/>
  <c r="JA780" i="94"/>
  <c r="IM780" i="94"/>
  <c r="HZ780" i="94"/>
  <c r="KX780" i="94"/>
  <c r="KK780" i="94"/>
  <c r="JY780" i="94"/>
  <c r="JK780" i="94"/>
  <c r="IX780" i="94"/>
  <c r="IL780" i="94"/>
  <c r="HY780" i="94"/>
  <c r="KW780" i="94"/>
  <c r="KI780" i="94"/>
  <c r="JV780" i="94"/>
  <c r="JJ780" i="94"/>
  <c r="IW780" i="94"/>
  <c r="IK780" i="94"/>
  <c r="KS780" i="94"/>
  <c r="KG780" i="94"/>
  <c r="JS780" i="94"/>
  <c r="JF780" i="94"/>
  <c r="IT780" i="94"/>
  <c r="IG780" i="94"/>
  <c r="IH780" i="94"/>
  <c r="DI782" i="94"/>
  <c r="HI782" i="94"/>
  <c r="LA799" i="94"/>
  <c r="KS799" i="94"/>
  <c r="KK799" i="94"/>
  <c r="KC799" i="94"/>
  <c r="JU799" i="94"/>
  <c r="JM799" i="94"/>
  <c r="JE799" i="94"/>
  <c r="IW799" i="94"/>
  <c r="IO799" i="94"/>
  <c r="IG799" i="94"/>
  <c r="HY799" i="94"/>
  <c r="KZ799" i="94"/>
  <c r="KR799" i="94"/>
  <c r="KJ799" i="94"/>
  <c r="KB799" i="94"/>
  <c r="JT799" i="94"/>
  <c r="JL799" i="94"/>
  <c r="JD799" i="94"/>
  <c r="IV799" i="94"/>
  <c r="IN799" i="94"/>
  <c r="IF799" i="94"/>
  <c r="LE799" i="94"/>
  <c r="KW799" i="94"/>
  <c r="KO799" i="94"/>
  <c r="KG799" i="94"/>
  <c r="JY799" i="94"/>
  <c r="JQ799" i="94"/>
  <c r="JI799" i="94"/>
  <c r="JA799" i="94"/>
  <c r="IS799" i="94"/>
  <c r="IK799" i="94"/>
  <c r="IC799" i="94"/>
  <c r="ME799" i="94"/>
  <c r="KP799" i="94"/>
  <c r="JS799" i="94"/>
  <c r="IY799" i="94"/>
  <c r="ID799" i="94"/>
  <c r="KM799" i="94"/>
  <c r="JR799" i="94"/>
  <c r="IU799" i="94"/>
  <c r="IA799" i="94"/>
  <c r="KI799" i="94"/>
  <c r="JO799" i="94"/>
  <c r="IT799" i="94"/>
  <c r="KX799" i="94"/>
  <c r="KA799" i="94"/>
  <c r="JG799" i="94"/>
  <c r="IL799" i="94"/>
  <c r="MQ799" i="94"/>
  <c r="KY799" i="94"/>
  <c r="JJ799" i="94"/>
  <c r="ML799" i="94"/>
  <c r="KU799" i="94"/>
  <c r="JC799" i="94"/>
  <c r="MI799" i="94"/>
  <c r="KQ799" i="94"/>
  <c r="JB799" i="94"/>
  <c r="KH799" i="94"/>
  <c r="IQ799" i="94"/>
  <c r="KE799" i="94"/>
  <c r="IM799" i="94"/>
  <c r="LC799" i="94"/>
  <c r="JK799" i="94"/>
  <c r="IE799" i="94"/>
  <c r="JZ799" i="94"/>
  <c r="II799" i="94"/>
  <c r="J600" i="93"/>
  <c r="J609" i="94"/>
  <c r="N400" i="93"/>
  <c r="G1104" i="94"/>
  <c r="K1072" i="94"/>
  <c r="C1072" i="94"/>
  <c r="F1134" i="94"/>
  <c r="F1104" i="94"/>
  <c r="J1072" i="94"/>
  <c r="B1072" i="94"/>
  <c r="D1134" i="94"/>
  <c r="D1104" i="94"/>
  <c r="H1072" i="94"/>
  <c r="C1134" i="94"/>
  <c r="K1104" i="94"/>
  <c r="C1104" i="94"/>
  <c r="G1072" i="94"/>
  <c r="J1104" i="94"/>
  <c r="F1072" i="94"/>
  <c r="I1104" i="94"/>
  <c r="E1072" i="94"/>
  <c r="E1104" i="94"/>
  <c r="E1134" i="94"/>
  <c r="B1104" i="94"/>
  <c r="I1072" i="94"/>
  <c r="B1134" i="94"/>
  <c r="H1104" i="94"/>
  <c r="D1072" i="94"/>
  <c r="F119" i="74"/>
  <c r="D89" i="74"/>
  <c r="G57" i="74"/>
  <c r="D25" i="74"/>
  <c r="E119" i="74"/>
  <c r="K89" i="74"/>
  <c r="C89" i="74"/>
  <c r="F57" i="74"/>
  <c r="K25" i="74"/>
  <c r="C25" i="74"/>
  <c r="P415" i="94"/>
  <c r="D119" i="74"/>
  <c r="J89" i="74"/>
  <c r="B89" i="74"/>
  <c r="E57" i="74"/>
  <c r="J25" i="74"/>
  <c r="B25" i="74"/>
  <c r="G36" i="74"/>
  <c r="G1051" i="94" s="1"/>
  <c r="B1012" i="93"/>
  <c r="B1020" i="93" s="1"/>
  <c r="D1025" i="93"/>
  <c r="D1088" i="94"/>
  <c r="O1761" i="93"/>
  <c r="O1853" i="94"/>
  <c r="BK772" i="94"/>
  <c r="HO772" i="94"/>
  <c r="AE774" i="94"/>
  <c r="HO774" i="94"/>
  <c r="BF779" i="94"/>
  <c r="MA779" i="94"/>
  <c r="LS782" i="94"/>
  <c r="HU782" i="94"/>
  <c r="HG782" i="94"/>
  <c r="GQ782" i="94"/>
  <c r="GD782" i="94"/>
  <c r="FR782" i="94"/>
  <c r="FE782" i="94"/>
  <c r="ES782" i="94"/>
  <c r="EE782" i="94"/>
  <c r="DR782" i="94"/>
  <c r="DF782" i="94"/>
  <c r="CS782" i="94"/>
  <c r="CG782" i="94"/>
  <c r="BS782" i="94"/>
  <c r="BF782" i="94"/>
  <c r="AT782" i="94"/>
  <c r="AG782" i="94"/>
  <c r="LQ782" i="94"/>
  <c r="HS782" i="94"/>
  <c r="HD782" i="94"/>
  <c r="GP782" i="94"/>
  <c r="GC782" i="94"/>
  <c r="FQ782" i="94"/>
  <c r="FC782" i="94"/>
  <c r="EP782" i="94"/>
  <c r="ED782" i="94"/>
  <c r="DQ782" i="94"/>
  <c r="DE782" i="94"/>
  <c r="CQ782" i="94"/>
  <c r="CD782" i="94"/>
  <c r="BR782" i="94"/>
  <c r="BE782" i="94"/>
  <c r="AS782" i="94"/>
  <c r="AE782" i="94"/>
  <c r="LO782" i="94"/>
  <c r="HQ782" i="94"/>
  <c r="HC782" i="94"/>
  <c r="GO782" i="94"/>
  <c r="GA782" i="94"/>
  <c r="FN782" i="94"/>
  <c r="FB782" i="94"/>
  <c r="EO782" i="94"/>
  <c r="EC782" i="94"/>
  <c r="DO782" i="94"/>
  <c r="DB782" i="94"/>
  <c r="CP782" i="94"/>
  <c r="CC782" i="94"/>
  <c r="BQ782" i="94"/>
  <c r="BC782" i="94"/>
  <c r="AP782" i="94"/>
  <c r="AD782" i="94"/>
  <c r="MB782" i="94"/>
  <c r="LN782" i="94"/>
  <c r="HP782" i="94"/>
  <c r="GZ782" i="94"/>
  <c r="GL782" i="94"/>
  <c r="FZ782" i="94"/>
  <c r="FM782" i="94"/>
  <c r="FA782" i="94"/>
  <c r="EM782" i="94"/>
  <c r="DZ782" i="94"/>
  <c r="DN782" i="94"/>
  <c r="DA782" i="94"/>
  <c r="CO782" i="94"/>
  <c r="CA782" i="94"/>
  <c r="BN782" i="94"/>
  <c r="BB782" i="94"/>
  <c r="AO782" i="94"/>
  <c r="AC782" i="94"/>
  <c r="MA782" i="94"/>
  <c r="LM782" i="94"/>
  <c r="HM782" i="94"/>
  <c r="GY782" i="94"/>
  <c r="GK782" i="94"/>
  <c r="FY782" i="94"/>
  <c r="FK782" i="94"/>
  <c r="EX782" i="94"/>
  <c r="EL782" i="94"/>
  <c r="DY782" i="94"/>
  <c r="DM782" i="94"/>
  <c r="CY782" i="94"/>
  <c r="CL782" i="94"/>
  <c r="BZ782" i="94"/>
  <c r="BM782" i="94"/>
  <c r="BA782" i="94"/>
  <c r="AM782" i="94"/>
  <c r="Z782" i="94"/>
  <c r="LX782" i="94"/>
  <c r="LI782" i="94"/>
  <c r="HL782" i="94"/>
  <c r="GX782" i="94"/>
  <c r="GI782" i="94"/>
  <c r="FV782" i="94"/>
  <c r="FJ782" i="94"/>
  <c r="EW782" i="94"/>
  <c r="EK782" i="94"/>
  <c r="DW782" i="94"/>
  <c r="DJ782" i="94"/>
  <c r="CX782" i="94"/>
  <c r="CK782" i="94"/>
  <c r="BY782" i="94"/>
  <c r="BK782" i="94"/>
  <c r="AX782" i="94"/>
  <c r="AL782" i="94"/>
  <c r="Y782" i="94"/>
  <c r="LV782" i="94"/>
  <c r="LF782" i="94"/>
  <c r="HV782" i="94"/>
  <c r="HH782" i="94"/>
  <c r="GS782" i="94"/>
  <c r="GG782" i="94"/>
  <c r="FS782" i="94"/>
  <c r="FF782" i="94"/>
  <c r="ET782" i="94"/>
  <c r="EG782" i="94"/>
  <c r="DU782" i="94"/>
  <c r="DG782" i="94"/>
  <c r="CT782" i="94"/>
  <c r="CH782" i="94"/>
  <c r="BU782" i="94"/>
  <c r="BI782" i="94"/>
  <c r="AU782" i="94"/>
  <c r="AH782" i="94"/>
  <c r="GN789" i="94"/>
  <c r="GM789" i="94"/>
  <c r="HT789" i="94"/>
  <c r="HS789" i="94"/>
  <c r="MH789" i="94"/>
  <c r="HJ789" i="94"/>
  <c r="MG789" i="94"/>
  <c r="HI789" i="94"/>
  <c r="LU789" i="94"/>
  <c r="GW789" i="94"/>
  <c r="LH794" i="94"/>
  <c r="LF794" i="94"/>
  <c r="LI794" i="94"/>
  <c r="LJ794" i="94"/>
  <c r="LG794" i="94"/>
  <c r="A794" i="94"/>
  <c r="N401" i="93"/>
  <c r="K1105" i="94"/>
  <c r="C1105" i="94"/>
  <c r="G1073" i="94"/>
  <c r="J1105" i="94"/>
  <c r="B1105" i="94"/>
  <c r="F1073" i="94"/>
  <c r="E1135" i="94"/>
  <c r="H1105" i="94"/>
  <c r="D1073" i="94"/>
  <c r="D1135" i="94"/>
  <c r="G1105" i="94"/>
  <c r="K1073" i="94"/>
  <c r="C1073" i="94"/>
  <c r="C1135" i="94"/>
  <c r="J1073" i="94"/>
  <c r="B1135" i="94"/>
  <c r="I1073" i="94"/>
  <c r="F1105" i="94"/>
  <c r="E1073" i="94"/>
  <c r="E1105" i="94"/>
  <c r="B1073" i="94"/>
  <c r="F1135" i="94"/>
  <c r="D1105" i="94"/>
  <c r="H1073" i="94"/>
  <c r="I1105" i="94"/>
  <c r="I90" i="74"/>
  <c r="D58" i="74"/>
  <c r="I26" i="74"/>
  <c r="H90" i="74"/>
  <c r="K58" i="74"/>
  <c r="C58" i="74"/>
  <c r="H26" i="74"/>
  <c r="F120" i="74"/>
  <c r="G90" i="74"/>
  <c r="J58" i="74"/>
  <c r="B58" i="74"/>
  <c r="G26" i="74"/>
  <c r="B44" i="78"/>
  <c r="A1" i="75"/>
  <c r="U1" i="75" s="1"/>
  <c r="I767" i="93"/>
  <c r="K767" i="93" s="1"/>
  <c r="L767" i="93" s="1"/>
  <c r="I772" i="94"/>
  <c r="K772" i="94" s="1"/>
  <c r="L772" i="94" s="1"/>
  <c r="K13" i="75"/>
  <c r="L13" i="75" s="1"/>
  <c r="R771" i="93"/>
  <c r="R776" i="94"/>
  <c r="I18" i="75"/>
  <c r="Q776" i="93"/>
  <c r="Q781" i="94"/>
  <c r="R779" i="93"/>
  <c r="R784" i="94"/>
  <c r="I783" i="93"/>
  <c r="K783" i="93" s="1"/>
  <c r="L783" i="93" s="1"/>
  <c r="I788" i="94"/>
  <c r="K788" i="94" s="1"/>
  <c r="L788" i="94" s="1"/>
  <c r="Q784" i="93"/>
  <c r="Q789" i="94"/>
  <c r="I791" i="93"/>
  <c r="K791" i="93" s="1"/>
  <c r="L791" i="93" s="1"/>
  <c r="I796" i="94"/>
  <c r="K796" i="94" s="1"/>
  <c r="L796" i="94" s="1"/>
  <c r="Q792" i="93"/>
  <c r="Q797" i="94"/>
  <c r="R795" i="93"/>
  <c r="R800" i="94"/>
  <c r="I799" i="93"/>
  <c r="K799" i="93" s="1"/>
  <c r="I804" i="94"/>
  <c r="K804" i="94" s="1"/>
  <c r="L804" i="94" s="1"/>
  <c r="Q800" i="93"/>
  <c r="Q805" i="94"/>
  <c r="R803" i="93"/>
  <c r="R808" i="94"/>
  <c r="E25" i="74"/>
  <c r="E26" i="74"/>
  <c r="H27" i="74"/>
  <c r="H28" i="74"/>
  <c r="E994" i="93"/>
  <c r="E1055" i="94"/>
  <c r="C995" i="93"/>
  <c r="C1056" i="94"/>
  <c r="K995" i="93"/>
  <c r="K1056" i="94"/>
  <c r="F32" i="86"/>
  <c r="I996" i="93"/>
  <c r="I1057" i="94"/>
  <c r="C59" i="74"/>
  <c r="C60" i="74"/>
  <c r="B90" i="74"/>
  <c r="E92" i="74"/>
  <c r="B120" i="74"/>
  <c r="C1082" i="93"/>
  <c r="C1149" i="94"/>
  <c r="F1083" i="93"/>
  <c r="F1150" i="94"/>
  <c r="A1" i="72"/>
  <c r="O316" i="72"/>
  <c r="O306" i="72" s="1"/>
  <c r="P320" i="72"/>
  <c r="O320" i="72"/>
  <c r="O1861" i="93" s="1"/>
  <c r="O1916" i="93"/>
  <c r="L1916" i="93" s="1"/>
  <c r="O2032" i="94"/>
  <c r="L2032" i="94" s="1"/>
  <c r="L384" i="72"/>
  <c r="G61" i="84"/>
  <c r="O12" i="86"/>
  <c r="A3" i="94"/>
  <c r="P1719" i="94"/>
  <c r="P1740" i="94"/>
  <c r="P1734" i="94"/>
  <c r="P462" i="94"/>
  <c r="J478" i="94"/>
  <c r="P478" i="94"/>
  <c r="J566" i="94"/>
  <c r="I732" i="94"/>
  <c r="AL772" i="94"/>
  <c r="BR772" i="94"/>
  <c r="CX772" i="94"/>
  <c r="ED772" i="94"/>
  <c r="FJ772" i="94"/>
  <c r="GP772" i="94"/>
  <c r="HV772" i="94"/>
  <c r="JB772" i="94"/>
  <c r="KH772" i="94"/>
  <c r="LN772" i="94"/>
  <c r="I773" i="94"/>
  <c r="K773" i="94" s="1"/>
  <c r="L773" i="94" s="1"/>
  <c r="AL774" i="94"/>
  <c r="BR774" i="94"/>
  <c r="CX774" i="94"/>
  <c r="ED774" i="94"/>
  <c r="FJ774" i="94"/>
  <c r="GP774" i="94"/>
  <c r="HV774" i="94"/>
  <c r="JB774" i="94"/>
  <c r="KH774" i="94"/>
  <c r="LN774" i="94"/>
  <c r="I775" i="94"/>
  <c r="K775" i="94" s="1"/>
  <c r="L775" i="94" s="1"/>
  <c r="BR779" i="94"/>
  <c r="EQ779" i="94"/>
  <c r="HQ779" i="94"/>
  <c r="AW782" i="94"/>
  <c r="EU782" i="94"/>
  <c r="R792" i="94"/>
  <c r="DW794" i="94"/>
  <c r="I781" i="93"/>
  <c r="K781" i="93" s="1"/>
  <c r="L781" i="93" s="1"/>
  <c r="I786" i="94"/>
  <c r="K786" i="94" s="1"/>
  <c r="L786" i="94" s="1"/>
  <c r="I1026" i="93"/>
  <c r="I1089" i="94"/>
  <c r="H1053" i="93"/>
  <c r="H1118" i="94"/>
  <c r="DV772" i="94"/>
  <c r="GH772" i="94"/>
  <c r="HN772" i="94"/>
  <c r="LF772" i="94"/>
  <c r="FB774" i="94"/>
  <c r="T1728" i="93"/>
  <c r="O763" i="93"/>
  <c r="T1822" i="94"/>
  <c r="O63" i="94"/>
  <c r="M768" i="94"/>
  <c r="Q771" i="93"/>
  <c r="Q776" i="94"/>
  <c r="H1046" i="94"/>
  <c r="I14" i="86"/>
  <c r="I89" i="74"/>
  <c r="E1083" i="93"/>
  <c r="E1150" i="94"/>
  <c r="P528" i="94"/>
  <c r="DW772" i="94"/>
  <c r="BK774" i="94"/>
  <c r="IU774" i="94"/>
  <c r="MG780" i="94"/>
  <c r="EH782" i="94"/>
  <c r="G1106" i="94"/>
  <c r="K1074" i="94"/>
  <c r="C1074" i="94"/>
  <c r="F1106" i="94"/>
  <c r="J1074" i="94"/>
  <c r="B1074" i="94"/>
  <c r="F1136" i="94"/>
  <c r="D1106" i="94"/>
  <c r="H1074" i="94"/>
  <c r="E1136" i="94"/>
  <c r="K1106" i="94"/>
  <c r="C1106" i="94"/>
  <c r="G1074" i="94"/>
  <c r="D1136" i="94"/>
  <c r="J1106" i="94"/>
  <c r="F1074" i="94"/>
  <c r="C1136" i="94"/>
  <c r="I1106" i="94"/>
  <c r="E1074" i="94"/>
  <c r="B1106" i="94"/>
  <c r="D1074" i="94"/>
  <c r="N402" i="93"/>
  <c r="H1106" i="94"/>
  <c r="I1074" i="94"/>
  <c r="E1106" i="94"/>
  <c r="B1136" i="94"/>
  <c r="B121" i="74"/>
  <c r="F91" i="74"/>
  <c r="I59" i="74"/>
  <c r="F27" i="74"/>
  <c r="E91" i="74"/>
  <c r="H59" i="74"/>
  <c r="E27" i="74"/>
  <c r="D91" i="74"/>
  <c r="G59" i="74"/>
  <c r="D27" i="74"/>
  <c r="I772" i="93"/>
  <c r="K772" i="93" s="1"/>
  <c r="L772" i="93" s="1"/>
  <c r="I777" i="94"/>
  <c r="K777" i="94" s="1"/>
  <c r="L777" i="94" s="1"/>
  <c r="Q773" i="93"/>
  <c r="Q778" i="94"/>
  <c r="I780" i="93"/>
  <c r="K780" i="93" s="1"/>
  <c r="L780" i="93" s="1"/>
  <c r="I785" i="94"/>
  <c r="K785" i="94" s="1"/>
  <c r="L785" i="94" s="1"/>
  <c r="Q781" i="93"/>
  <c r="Q786" i="94"/>
  <c r="R784" i="93"/>
  <c r="R789" i="94"/>
  <c r="I788" i="93"/>
  <c r="K788" i="93" s="1"/>
  <c r="L788" i="93" s="1"/>
  <c r="I793" i="94"/>
  <c r="K793" i="94" s="1"/>
  <c r="L793" i="94" s="1"/>
  <c r="Q789" i="93"/>
  <c r="Q794" i="94"/>
  <c r="R792" i="93"/>
  <c r="R797" i="94"/>
  <c r="I796" i="93"/>
  <c r="K796" i="93" s="1"/>
  <c r="L796" i="93" s="1"/>
  <c r="I801" i="94"/>
  <c r="K801" i="94" s="1"/>
  <c r="L801" i="94" s="1"/>
  <c r="Q797" i="93"/>
  <c r="Q802" i="94"/>
  <c r="R800" i="93"/>
  <c r="R805" i="94"/>
  <c r="I804" i="93"/>
  <c r="K804" i="93" s="1"/>
  <c r="L804" i="93" s="1"/>
  <c r="I809" i="94"/>
  <c r="K809" i="94" s="1"/>
  <c r="L809" i="94" s="1"/>
  <c r="O1974" i="93"/>
  <c r="P66" i="93"/>
  <c r="O2074" i="94"/>
  <c r="P927" i="93"/>
  <c r="B1036" i="94"/>
  <c r="F25" i="74"/>
  <c r="F26" i="74"/>
  <c r="I27" i="74"/>
  <c r="F994" i="93"/>
  <c r="F1055" i="94"/>
  <c r="D995" i="93"/>
  <c r="D1056" i="94"/>
  <c r="B996" i="93"/>
  <c r="B1057" i="94"/>
  <c r="J996" i="93"/>
  <c r="J1057" i="94"/>
  <c r="B57" i="74"/>
  <c r="E58" i="74"/>
  <c r="D59" i="74"/>
  <c r="G60" i="74"/>
  <c r="C90" i="74"/>
  <c r="C91" i="74"/>
  <c r="F92" i="74"/>
  <c r="C120" i="74"/>
  <c r="D1082" i="93"/>
  <c r="D1149" i="94"/>
  <c r="A1" i="73"/>
  <c r="Q55" i="73"/>
  <c r="O1621" i="93"/>
  <c r="G1160" i="93"/>
  <c r="G1159" i="93"/>
  <c r="G1158" i="93"/>
  <c r="G1152" i="93"/>
  <c r="G1151" i="93"/>
  <c r="G1150" i="93"/>
  <c r="G1144" i="93"/>
  <c r="G1157" i="93"/>
  <c r="G1135" i="93"/>
  <c r="G1145" i="93"/>
  <c r="G1142" i="93"/>
  <c r="G1139" i="93"/>
  <c r="G1153" i="93"/>
  <c r="G1136" i="93"/>
  <c r="G1156" i="93"/>
  <c r="G1137" i="93"/>
  <c r="G1143" i="93"/>
  <c r="G1138" i="93"/>
  <c r="G1149" i="93"/>
  <c r="G1146" i="93"/>
  <c r="G1224" i="94"/>
  <c r="G1223" i="94"/>
  <c r="G1222" i="94"/>
  <c r="G1221" i="94"/>
  <c r="G1220" i="94"/>
  <c r="G1213" i="94"/>
  <c r="G1200" i="94"/>
  <c r="G1199" i="94"/>
  <c r="O1719" i="94"/>
  <c r="G1217" i="94"/>
  <c r="G1216" i="94"/>
  <c r="G1208" i="94"/>
  <c r="G1203" i="94"/>
  <c r="G1201" i="94"/>
  <c r="G1209" i="94"/>
  <c r="G1215" i="94"/>
  <c r="G1207" i="94"/>
  <c r="G1214" i="94"/>
  <c r="G1210" i="94"/>
  <c r="G1202" i="94"/>
  <c r="G1206" i="94"/>
  <c r="O1665" i="93"/>
  <c r="O1755" i="94"/>
  <c r="O1987" i="93"/>
  <c r="L1987" i="93" s="1"/>
  <c r="O2088" i="94"/>
  <c r="L2088" i="94" s="1"/>
  <c r="I61" i="84"/>
  <c r="S462" i="94"/>
  <c r="J732" i="94"/>
  <c r="E810" i="94"/>
  <c r="F810" i="94"/>
  <c r="A772" i="94"/>
  <c r="AM772" i="94"/>
  <c r="BS772" i="94"/>
  <c r="CY772" i="94"/>
  <c r="EE772" i="94"/>
  <c r="FK772" i="94"/>
  <c r="GQ772" i="94"/>
  <c r="HW772" i="94"/>
  <c r="JC772" i="94"/>
  <c r="KI772" i="94"/>
  <c r="LO772" i="94"/>
  <c r="LH773" i="94"/>
  <c r="FT773" i="94"/>
  <c r="FL773" i="94"/>
  <c r="FD773" i="94"/>
  <c r="EV773" i="94"/>
  <c r="EN773" i="94"/>
  <c r="BD773" i="94"/>
  <c r="AV773" i="94"/>
  <c r="AN773" i="94"/>
  <c r="AF773" i="94"/>
  <c r="X773" i="94"/>
  <c r="LO773" i="94"/>
  <c r="LG773" i="94"/>
  <c r="FS773" i="94"/>
  <c r="FK773" i="94"/>
  <c r="FC773" i="94"/>
  <c r="EU773" i="94"/>
  <c r="EM773" i="94"/>
  <c r="BC773" i="94"/>
  <c r="AU773" i="94"/>
  <c r="AM773" i="94"/>
  <c r="AE773" i="94"/>
  <c r="W773" i="94"/>
  <c r="LN773" i="94"/>
  <c r="LF773" i="94"/>
  <c r="FR773" i="94"/>
  <c r="FJ773" i="94"/>
  <c r="FB773" i="94"/>
  <c r="ET773" i="94"/>
  <c r="EL773" i="94"/>
  <c r="BJ773" i="94"/>
  <c r="BB773" i="94"/>
  <c r="AT773" i="94"/>
  <c r="AL773" i="94"/>
  <c r="AD773" i="94"/>
  <c r="LI773" i="94"/>
  <c r="FU773" i="94"/>
  <c r="FM773" i="94"/>
  <c r="FE773" i="94"/>
  <c r="EW773" i="94"/>
  <c r="EO773" i="94"/>
  <c r="BE773" i="94"/>
  <c r="AW773" i="94"/>
  <c r="AO773" i="94"/>
  <c r="AG773" i="94"/>
  <c r="Y773" i="94"/>
  <c r="DX773" i="94"/>
  <c r="DP773" i="94"/>
  <c r="DH773" i="94"/>
  <c r="CZ773" i="94"/>
  <c r="CR773" i="94"/>
  <c r="CJ773" i="94"/>
  <c r="CB773" i="94"/>
  <c r="BT773" i="94"/>
  <c r="BL773" i="94"/>
  <c r="DW773" i="94"/>
  <c r="DO773" i="94"/>
  <c r="DG773" i="94"/>
  <c r="CY773" i="94"/>
  <c r="CQ773" i="94"/>
  <c r="CI773" i="94"/>
  <c r="CA773" i="94"/>
  <c r="BS773" i="94"/>
  <c r="BK773" i="94"/>
  <c r="FZ773" i="94"/>
  <c r="DV773" i="94"/>
  <c r="DN773" i="94"/>
  <c r="DF773" i="94"/>
  <c r="CX773" i="94"/>
  <c r="CP773" i="94"/>
  <c r="CH773" i="94"/>
  <c r="BZ773" i="94"/>
  <c r="BR773" i="94"/>
  <c r="DY773" i="94"/>
  <c r="DQ773" i="94"/>
  <c r="DI773" i="94"/>
  <c r="DA773" i="94"/>
  <c r="CS773" i="94"/>
  <c r="CK773" i="94"/>
  <c r="CC773" i="94"/>
  <c r="BU773" i="94"/>
  <c r="BM773" i="94"/>
  <c r="AX773" i="94"/>
  <c r="CD773" i="94"/>
  <c r="DJ773" i="94"/>
  <c r="FG773" i="94"/>
  <c r="HJ773" i="94"/>
  <c r="MA773" i="94"/>
  <c r="A774" i="94"/>
  <c r="MS774" i="94"/>
  <c r="MK774" i="94"/>
  <c r="AM774" i="94"/>
  <c r="BS774" i="94"/>
  <c r="CY774" i="94"/>
  <c r="EE774" i="94"/>
  <c r="FK774" i="94"/>
  <c r="GQ774" i="94"/>
  <c r="HW774" i="94"/>
  <c r="JC774" i="94"/>
  <c r="KI774" i="94"/>
  <c r="LO774" i="94"/>
  <c r="LH775" i="94"/>
  <c r="FT775" i="94"/>
  <c r="FL775" i="94"/>
  <c r="FD775" i="94"/>
  <c r="EV775" i="94"/>
  <c r="EN775" i="94"/>
  <c r="BD775" i="94"/>
  <c r="AV775" i="94"/>
  <c r="AN775" i="94"/>
  <c r="AF775" i="94"/>
  <c r="X775" i="94"/>
  <c r="LO775" i="94"/>
  <c r="LG775" i="94"/>
  <c r="FS775" i="94"/>
  <c r="FK775" i="94"/>
  <c r="FC775" i="94"/>
  <c r="EU775" i="94"/>
  <c r="EM775" i="94"/>
  <c r="BC775" i="94"/>
  <c r="AU775" i="94"/>
  <c r="AM775" i="94"/>
  <c r="AE775" i="94"/>
  <c r="W775" i="94"/>
  <c r="LN775" i="94"/>
  <c r="LF775" i="94"/>
  <c r="FR775" i="94"/>
  <c r="FJ775" i="94"/>
  <c r="FB775" i="94"/>
  <c r="ET775" i="94"/>
  <c r="EL775" i="94"/>
  <c r="BJ775" i="94"/>
  <c r="BB775" i="94"/>
  <c r="AT775" i="94"/>
  <c r="AL775" i="94"/>
  <c r="AD775" i="94"/>
  <c r="BA775" i="94"/>
  <c r="AS775" i="94"/>
  <c r="AK775" i="94"/>
  <c r="AC775" i="94"/>
  <c r="MA775" i="94"/>
  <c r="LS775" i="94"/>
  <c r="LK775" i="94"/>
  <c r="HS775" i="94"/>
  <c r="HK775" i="94"/>
  <c r="HC775" i="94"/>
  <c r="GU775" i="94"/>
  <c r="GM775" i="94"/>
  <c r="FO775" i="94"/>
  <c r="FG775" i="94"/>
  <c r="EY775" i="94"/>
  <c r="EQ775" i="94"/>
  <c r="EI775" i="94"/>
  <c r="BG775" i="94"/>
  <c r="AY775" i="94"/>
  <c r="AQ775" i="94"/>
  <c r="AI775" i="94"/>
  <c r="LY775" i="94"/>
  <c r="LQ775" i="94"/>
  <c r="LI775" i="94"/>
  <c r="HQ775" i="94"/>
  <c r="HI775" i="94"/>
  <c r="HA775" i="94"/>
  <c r="GS775" i="94"/>
  <c r="GK775" i="94"/>
  <c r="FU775" i="94"/>
  <c r="FM775" i="94"/>
  <c r="FE775" i="94"/>
  <c r="EW775" i="94"/>
  <c r="EO775" i="94"/>
  <c r="BE775" i="94"/>
  <c r="AW775" i="94"/>
  <c r="AO775" i="94"/>
  <c r="AG775" i="94"/>
  <c r="Y775" i="94"/>
  <c r="DX775" i="94"/>
  <c r="DP775" i="94"/>
  <c r="DH775" i="94"/>
  <c r="CZ775" i="94"/>
  <c r="CR775" i="94"/>
  <c r="CJ775" i="94"/>
  <c r="CB775" i="94"/>
  <c r="BT775" i="94"/>
  <c r="BL775" i="94"/>
  <c r="DW775" i="94"/>
  <c r="DO775" i="94"/>
  <c r="DG775" i="94"/>
  <c r="CY775" i="94"/>
  <c r="CQ775" i="94"/>
  <c r="CI775" i="94"/>
  <c r="CA775" i="94"/>
  <c r="BS775" i="94"/>
  <c r="BK775" i="94"/>
  <c r="FZ775" i="94"/>
  <c r="DV775" i="94"/>
  <c r="DN775" i="94"/>
  <c r="DF775" i="94"/>
  <c r="CX775" i="94"/>
  <c r="CP775" i="94"/>
  <c r="CH775" i="94"/>
  <c r="BZ775" i="94"/>
  <c r="BR775" i="94"/>
  <c r="FW775" i="94"/>
  <c r="EA775" i="94"/>
  <c r="DS775" i="94"/>
  <c r="DK775" i="94"/>
  <c r="DC775" i="94"/>
  <c r="CU775" i="94"/>
  <c r="CM775" i="94"/>
  <c r="CE775" i="94"/>
  <c r="BW775" i="94"/>
  <c r="BO775" i="94"/>
  <c r="DY775" i="94"/>
  <c r="DQ775" i="94"/>
  <c r="DI775" i="94"/>
  <c r="DA775" i="94"/>
  <c r="CS775" i="94"/>
  <c r="CK775" i="94"/>
  <c r="CC775" i="94"/>
  <c r="BU775" i="94"/>
  <c r="BM775" i="94"/>
  <c r="BN775" i="94"/>
  <c r="DZ775" i="94"/>
  <c r="FN775" i="94"/>
  <c r="GT775" i="94"/>
  <c r="CE779" i="94"/>
  <c r="FE779" i="94"/>
  <c r="KH780" i="94"/>
  <c r="BJ782" i="94"/>
  <c r="FI782" i="94"/>
  <c r="KW788" i="94"/>
  <c r="KK788" i="94"/>
  <c r="KA788" i="94"/>
  <c r="JQ788" i="94"/>
  <c r="JE788" i="94"/>
  <c r="IU788" i="94"/>
  <c r="IK788" i="94"/>
  <c r="HY788" i="94"/>
  <c r="KV788" i="94"/>
  <c r="KJ788" i="94"/>
  <c r="JZ788" i="94"/>
  <c r="JP788" i="94"/>
  <c r="JD788" i="94"/>
  <c r="IT788" i="94"/>
  <c r="IJ788" i="94"/>
  <c r="LD788" i="94"/>
  <c r="KR788" i="94"/>
  <c r="KH788" i="94"/>
  <c r="JX788" i="94"/>
  <c r="JL788" i="94"/>
  <c r="JB788" i="94"/>
  <c r="IR788" i="94"/>
  <c r="IF788" i="94"/>
  <c r="JT788" i="94"/>
  <c r="ID788" i="94"/>
  <c r="MS788" i="94"/>
  <c r="LA788" i="94"/>
  <c r="JK788" i="94"/>
  <c r="MR788" i="94"/>
  <c r="KZ788" i="94"/>
  <c r="JJ788" i="94"/>
  <c r="KQ788" i="94"/>
  <c r="JA788" i="94"/>
  <c r="KP788" i="94"/>
  <c r="IZ788" i="94"/>
  <c r="KG788" i="94"/>
  <c r="IO788" i="94"/>
  <c r="JU788" i="94"/>
  <c r="IE788" i="94"/>
  <c r="IN788" i="94"/>
  <c r="HC794" i="94"/>
  <c r="R769" i="93"/>
  <c r="R774" i="94"/>
  <c r="I773" i="93"/>
  <c r="K773" i="93" s="1"/>
  <c r="L773" i="93" s="1"/>
  <c r="I778" i="94"/>
  <c r="K778" i="94" s="1"/>
  <c r="L778" i="94" s="1"/>
  <c r="R785" i="93"/>
  <c r="R790" i="94"/>
  <c r="I789" i="93"/>
  <c r="K789" i="93" s="1"/>
  <c r="L789" i="93" s="1"/>
  <c r="I794" i="94"/>
  <c r="K794" i="94" s="1"/>
  <c r="L794" i="94" s="1"/>
  <c r="I797" i="93"/>
  <c r="K797" i="93" s="1"/>
  <c r="L797" i="93" s="1"/>
  <c r="I802" i="94"/>
  <c r="K802" i="94" s="1"/>
  <c r="L802" i="94" s="1"/>
  <c r="AD772" i="94"/>
  <c r="BJ774" i="94"/>
  <c r="GH774" i="94"/>
  <c r="A776" i="94"/>
  <c r="MK776" i="94"/>
  <c r="MR776" i="94"/>
  <c r="MI776" i="94"/>
  <c r="GP779" i="94"/>
  <c r="Q779" i="93"/>
  <c r="Q784" i="94"/>
  <c r="K40" i="75"/>
  <c r="L40" i="75" s="1"/>
  <c r="I802" i="93"/>
  <c r="K802" i="93" s="1"/>
  <c r="L802" i="93" s="1"/>
  <c r="I807" i="94"/>
  <c r="K807" i="94" s="1"/>
  <c r="L807" i="94" s="1"/>
  <c r="H996" i="93"/>
  <c r="H1057" i="94"/>
  <c r="K57" i="74"/>
  <c r="J1026" i="93"/>
  <c r="J1089" i="94"/>
  <c r="D99" i="74"/>
  <c r="D1114" i="94" s="1"/>
  <c r="H52" i="86"/>
  <c r="K895" i="94"/>
  <c r="K852" i="94"/>
  <c r="CQ772" i="94"/>
  <c r="IU772" i="94"/>
  <c r="LG772" i="94"/>
  <c r="MR774" i="94"/>
  <c r="FC774" i="94"/>
  <c r="MM774" i="94"/>
  <c r="N403" i="93"/>
  <c r="B1137" i="94"/>
  <c r="K1107" i="94"/>
  <c r="C1107" i="94"/>
  <c r="G1075" i="94"/>
  <c r="J1107" i="94"/>
  <c r="B1107" i="94"/>
  <c r="F1075" i="94"/>
  <c r="H1107" i="94"/>
  <c r="D1075" i="94"/>
  <c r="F1137" i="94"/>
  <c r="G1107" i="94"/>
  <c r="K1075" i="94"/>
  <c r="C1075" i="94"/>
  <c r="D1137" i="94"/>
  <c r="D1107" i="94"/>
  <c r="C1137" i="94"/>
  <c r="J1075" i="94"/>
  <c r="I1075" i="94"/>
  <c r="E1137" i="94"/>
  <c r="E1107" i="94"/>
  <c r="B1075" i="94"/>
  <c r="I1107" i="94"/>
  <c r="F1107" i="94"/>
  <c r="H1075" i="94"/>
  <c r="E1075" i="94"/>
  <c r="D122" i="74"/>
  <c r="K92" i="74"/>
  <c r="C92" i="74"/>
  <c r="F60" i="74"/>
  <c r="K28" i="74"/>
  <c r="C28" i="74"/>
  <c r="C122" i="74"/>
  <c r="J92" i="74"/>
  <c r="B92" i="74"/>
  <c r="E60" i="74"/>
  <c r="J28" i="74"/>
  <c r="B28" i="74"/>
  <c r="B122" i="74"/>
  <c r="I92" i="74"/>
  <c r="D60" i="74"/>
  <c r="I28" i="74"/>
  <c r="F37" i="78"/>
  <c r="I769" i="93"/>
  <c r="K769" i="93" s="1"/>
  <c r="L769" i="93" s="1"/>
  <c r="I774" i="94"/>
  <c r="K774" i="94" s="1"/>
  <c r="L774" i="94" s="1"/>
  <c r="K15" i="75"/>
  <c r="L15" i="75" s="1"/>
  <c r="R773" i="93"/>
  <c r="R778" i="94"/>
  <c r="Q778" i="93"/>
  <c r="Q783" i="94"/>
  <c r="K23" i="75"/>
  <c r="L23" i="75" s="1"/>
  <c r="R781" i="93"/>
  <c r="R786" i="94"/>
  <c r="I785" i="93"/>
  <c r="K785" i="93" s="1"/>
  <c r="L785" i="93" s="1"/>
  <c r="I790" i="94"/>
  <c r="K790" i="94" s="1"/>
  <c r="L790" i="94" s="1"/>
  <c r="Q786" i="93"/>
  <c r="Q791" i="94"/>
  <c r="K31" i="75"/>
  <c r="L31" i="75" s="1"/>
  <c r="R789" i="93"/>
  <c r="R794" i="94"/>
  <c r="I793" i="93"/>
  <c r="I798" i="94"/>
  <c r="K798" i="94" s="1"/>
  <c r="L798" i="94" s="1"/>
  <c r="Q794" i="93"/>
  <c r="Q799" i="94"/>
  <c r="K39" i="75"/>
  <c r="L39" i="75" s="1"/>
  <c r="R797" i="93"/>
  <c r="R802" i="94"/>
  <c r="I801" i="93"/>
  <c r="K801" i="93" s="1"/>
  <c r="L801" i="93" s="1"/>
  <c r="I806" i="94"/>
  <c r="K806" i="94" s="1"/>
  <c r="L806" i="94" s="1"/>
  <c r="Q802" i="93"/>
  <c r="Q807" i="94"/>
  <c r="K47" i="75"/>
  <c r="L47" i="75" s="1"/>
  <c r="K90" i="75"/>
  <c r="B1032" i="94"/>
  <c r="C55" i="84"/>
  <c r="P226" i="75"/>
  <c r="C21" i="74"/>
  <c r="G25" i="74"/>
  <c r="J26" i="74"/>
  <c r="J27" i="74"/>
  <c r="D34" i="74"/>
  <c r="D1049" i="94" s="1"/>
  <c r="G994" i="93"/>
  <c r="G1055" i="94"/>
  <c r="E995" i="93"/>
  <c r="E1056" i="94"/>
  <c r="C996" i="93"/>
  <c r="C1057" i="94"/>
  <c r="K996" i="93"/>
  <c r="K1057" i="94"/>
  <c r="C57" i="74"/>
  <c r="F58" i="74"/>
  <c r="E59" i="74"/>
  <c r="H60" i="74"/>
  <c r="B68" i="74"/>
  <c r="B1083" i="94" s="1"/>
  <c r="E52" i="86"/>
  <c r="D90" i="74"/>
  <c r="G91" i="74"/>
  <c r="G92" i="74"/>
  <c r="D1053" i="93"/>
  <c r="D1118" i="94"/>
  <c r="B1054" i="93"/>
  <c r="B1119" i="94"/>
  <c r="J1054" i="93"/>
  <c r="J1119" i="94"/>
  <c r="H1055" i="93"/>
  <c r="H1120" i="94"/>
  <c r="D120" i="74"/>
  <c r="F122" i="74"/>
  <c r="B1081" i="93"/>
  <c r="B1148" i="94"/>
  <c r="E1082" i="93"/>
  <c r="E1149" i="94"/>
  <c r="P71" i="72"/>
  <c r="O92" i="72"/>
  <c r="O1873" i="93"/>
  <c r="O1982" i="94"/>
  <c r="L334" i="72"/>
  <c r="E12" i="86"/>
  <c r="I31" i="86"/>
  <c r="G101" i="90"/>
  <c r="V462" i="94"/>
  <c r="A461" i="94"/>
  <c r="S550" i="94"/>
  <c r="V556" i="94"/>
  <c r="K732" i="94"/>
  <c r="AT772" i="94"/>
  <c r="BZ772" i="94"/>
  <c r="DF772" i="94"/>
  <c r="EL772" i="94"/>
  <c r="FR772" i="94"/>
  <c r="GX772" i="94"/>
  <c r="ID772" i="94"/>
  <c r="JJ772" i="94"/>
  <c r="KP772" i="94"/>
  <c r="LV772" i="94"/>
  <c r="AY773" i="94"/>
  <c r="CE773" i="94"/>
  <c r="DK773" i="94"/>
  <c r="EH773" i="94"/>
  <c r="FN773" i="94"/>
  <c r="HK773" i="94"/>
  <c r="AT774" i="94"/>
  <c r="BZ774" i="94"/>
  <c r="DF774" i="94"/>
  <c r="EL774" i="94"/>
  <c r="FR774" i="94"/>
  <c r="GX774" i="94"/>
  <c r="ID774" i="94"/>
  <c r="JJ774" i="94"/>
  <c r="KP774" i="94"/>
  <c r="BV775" i="94"/>
  <c r="FV775" i="94"/>
  <c r="HB775" i="94"/>
  <c r="CS779" i="94"/>
  <c r="KT780" i="94"/>
  <c r="BV782" i="94"/>
  <c r="FU782" i="94"/>
  <c r="KF788" i="94"/>
  <c r="LX789" i="94"/>
  <c r="JC790" i="94"/>
  <c r="Q774" i="93"/>
  <c r="Q779" i="94"/>
  <c r="Q782" i="93"/>
  <c r="Q787" i="94"/>
  <c r="Q790" i="93"/>
  <c r="Q795" i="94"/>
  <c r="Q798" i="93"/>
  <c r="Q803" i="94"/>
  <c r="J57" i="74"/>
  <c r="C1025" i="93"/>
  <c r="C1088" i="94"/>
  <c r="D1055" i="93"/>
  <c r="D1120" i="94"/>
  <c r="CP772" i="94"/>
  <c r="MC774" i="94"/>
  <c r="LU774" i="94"/>
  <c r="LM774" i="94"/>
  <c r="HU774" i="94"/>
  <c r="HM774" i="94"/>
  <c r="HE774" i="94"/>
  <c r="GW774" i="94"/>
  <c r="GO774" i="94"/>
  <c r="GG774" i="94"/>
  <c r="FY774" i="94"/>
  <c r="FQ774" i="94"/>
  <c r="FI774" i="94"/>
  <c r="FA774" i="94"/>
  <c r="ES774" i="94"/>
  <c r="EK774" i="94"/>
  <c r="EC774" i="94"/>
  <c r="DU774" i="94"/>
  <c r="DM774" i="94"/>
  <c r="DE774" i="94"/>
  <c r="CW774" i="94"/>
  <c r="CO774" i="94"/>
  <c r="CG774" i="94"/>
  <c r="BY774" i="94"/>
  <c r="BQ774" i="94"/>
  <c r="BI774" i="94"/>
  <c r="BA774" i="94"/>
  <c r="AS774" i="94"/>
  <c r="AK774" i="94"/>
  <c r="AC774" i="94"/>
  <c r="DV774" i="94"/>
  <c r="LO779" i="94"/>
  <c r="LG779" i="94"/>
  <c r="FS779" i="94"/>
  <c r="FK779" i="94"/>
  <c r="FC779" i="94"/>
  <c r="EU779" i="94"/>
  <c r="EM779" i="94"/>
  <c r="BC779" i="94"/>
  <c r="AU779" i="94"/>
  <c r="AM779" i="94"/>
  <c r="AE779" i="94"/>
  <c r="W779" i="94"/>
  <c r="LH779" i="94"/>
  <c r="FT779" i="94"/>
  <c r="FL779" i="94"/>
  <c r="FD779" i="94"/>
  <c r="EV779" i="94"/>
  <c r="EN779" i="94"/>
  <c r="BD779" i="94"/>
  <c r="AV779" i="94"/>
  <c r="AN779" i="94"/>
  <c r="AF779" i="94"/>
  <c r="X779" i="94"/>
  <c r="LY779" i="94"/>
  <c r="LK779" i="94"/>
  <c r="HM779" i="94"/>
  <c r="HA779" i="94"/>
  <c r="GM779" i="94"/>
  <c r="FN779" i="94"/>
  <c r="FA779" i="94"/>
  <c r="EO779" i="94"/>
  <c r="BB779" i="94"/>
  <c r="AP779" i="94"/>
  <c r="AC779" i="94"/>
  <c r="LV779" i="94"/>
  <c r="LJ779" i="94"/>
  <c r="HK779" i="94"/>
  <c r="GX779" i="94"/>
  <c r="GL779" i="94"/>
  <c r="FM779" i="94"/>
  <c r="EY779" i="94"/>
  <c r="EL779" i="94"/>
  <c r="BA779" i="94"/>
  <c r="AO779" i="94"/>
  <c r="AA779" i="94"/>
  <c r="LU779" i="94"/>
  <c r="LI779" i="94"/>
  <c r="HV779" i="94"/>
  <c r="HJ779" i="94"/>
  <c r="GW779" i="94"/>
  <c r="GK779" i="94"/>
  <c r="FJ779" i="94"/>
  <c r="EX779" i="94"/>
  <c r="EK779" i="94"/>
  <c r="AY779" i="94"/>
  <c r="AL779" i="94"/>
  <c r="Z779" i="94"/>
  <c r="LS779" i="94"/>
  <c r="LF779" i="94"/>
  <c r="HU779" i="94"/>
  <c r="HI779" i="94"/>
  <c r="GU779" i="94"/>
  <c r="GH779" i="94"/>
  <c r="FI779" i="94"/>
  <c r="EW779" i="94"/>
  <c r="EI779" i="94"/>
  <c r="BJ779" i="94"/>
  <c r="AX779" i="94"/>
  <c r="AK779" i="94"/>
  <c r="Y779" i="94"/>
  <c r="MD779" i="94"/>
  <c r="LR779" i="94"/>
  <c r="HS779" i="94"/>
  <c r="HF779" i="94"/>
  <c r="GT779" i="94"/>
  <c r="GG779" i="94"/>
  <c r="FU779" i="94"/>
  <c r="FG779" i="94"/>
  <c r="ET779" i="94"/>
  <c r="EH779" i="94"/>
  <c r="BI779" i="94"/>
  <c r="AW779" i="94"/>
  <c r="AI779" i="94"/>
  <c r="MC779" i="94"/>
  <c r="LQ779" i="94"/>
  <c r="HR779" i="94"/>
  <c r="HE779" i="94"/>
  <c r="GS779" i="94"/>
  <c r="FR779" i="94"/>
  <c r="FF779" i="94"/>
  <c r="ES779" i="94"/>
  <c r="BG779" i="94"/>
  <c r="AT779" i="94"/>
  <c r="AH779" i="94"/>
  <c r="LZ779" i="94"/>
  <c r="LM779" i="94"/>
  <c r="HN779" i="94"/>
  <c r="HB779" i="94"/>
  <c r="GO779" i="94"/>
  <c r="FO779" i="94"/>
  <c r="FB779" i="94"/>
  <c r="EP779" i="94"/>
  <c r="BE779" i="94"/>
  <c r="AQ779" i="94"/>
  <c r="AD779" i="94"/>
  <c r="A779" i="94"/>
  <c r="I778" i="93"/>
  <c r="K778" i="93" s="1"/>
  <c r="L778" i="93" s="1"/>
  <c r="I783" i="94"/>
  <c r="K783" i="94" s="1"/>
  <c r="L783" i="94" s="1"/>
  <c r="K24" i="75"/>
  <c r="L24" i="75" s="1"/>
  <c r="R782" i="93"/>
  <c r="R787" i="94"/>
  <c r="R790" i="93"/>
  <c r="R795" i="94"/>
  <c r="Q795" i="93"/>
  <c r="Q800" i="94"/>
  <c r="G981" i="93"/>
  <c r="G989" i="93" s="1"/>
  <c r="G1042" i="94"/>
  <c r="B995" i="93"/>
  <c r="B1056" i="94"/>
  <c r="D12" i="86"/>
  <c r="C12" i="86"/>
  <c r="B1026" i="93"/>
  <c r="B1089" i="94"/>
  <c r="I32" i="86"/>
  <c r="GI772" i="94"/>
  <c r="DW774" i="94"/>
  <c r="KA774" i="94"/>
  <c r="AK782" i="94"/>
  <c r="T1727" i="93"/>
  <c r="F1910" i="93"/>
  <c r="T1729" i="93"/>
  <c r="A2011" i="93"/>
  <c r="A623" i="93"/>
  <c r="A364" i="93"/>
  <c r="I712" i="93"/>
  <c r="A3" i="93"/>
  <c r="T1823" i="94"/>
  <c r="P1200" i="94"/>
  <c r="J50" i="93"/>
  <c r="T1821" i="94"/>
  <c r="A1" i="74"/>
  <c r="N1" i="74" s="1"/>
  <c r="I713" i="94"/>
  <c r="A378" i="94"/>
  <c r="T173" i="72"/>
  <c r="P42" i="73"/>
  <c r="G64" i="73" s="1"/>
  <c r="C43" i="90"/>
  <c r="A628" i="94"/>
  <c r="A1" i="67"/>
  <c r="D43" i="68"/>
  <c r="F113" i="78"/>
  <c r="A1" i="76"/>
  <c r="Q767" i="93"/>
  <c r="Q772" i="94"/>
  <c r="K12" i="75"/>
  <c r="L12" i="75" s="1"/>
  <c r="Q775" i="93"/>
  <c r="Q780" i="94"/>
  <c r="R778" i="93"/>
  <c r="R783" i="94"/>
  <c r="I782" i="93"/>
  <c r="K782" i="93" s="1"/>
  <c r="L782" i="93" s="1"/>
  <c r="I787" i="94"/>
  <c r="K787" i="94" s="1"/>
  <c r="L787" i="94" s="1"/>
  <c r="Q783" i="93"/>
  <c r="Q788" i="94"/>
  <c r="R786" i="93"/>
  <c r="R791" i="94"/>
  <c r="I790" i="93"/>
  <c r="K790" i="93" s="1"/>
  <c r="L790" i="93" s="1"/>
  <c r="I795" i="94"/>
  <c r="K795" i="94" s="1"/>
  <c r="L795" i="94" s="1"/>
  <c r="Q791" i="93"/>
  <c r="Q796" i="94"/>
  <c r="K36" i="75"/>
  <c r="L36" i="75" s="1"/>
  <c r="R794" i="93"/>
  <c r="R799" i="94"/>
  <c r="I798" i="93"/>
  <c r="K798" i="93" s="1"/>
  <c r="L798" i="93" s="1"/>
  <c r="I803" i="94"/>
  <c r="K803" i="94" s="1"/>
  <c r="L803" i="94" s="1"/>
  <c r="Q799" i="93"/>
  <c r="Q804" i="94"/>
  <c r="K44" i="75"/>
  <c r="L44" i="75" s="1"/>
  <c r="R802" i="93"/>
  <c r="R807" i="94"/>
  <c r="G59" i="84"/>
  <c r="E59" i="84"/>
  <c r="H25" i="74"/>
  <c r="K26" i="74"/>
  <c r="K27" i="74"/>
  <c r="D31" i="74"/>
  <c r="H994" i="93"/>
  <c r="H1055" i="94"/>
  <c r="F995" i="93"/>
  <c r="F1056" i="94"/>
  <c r="D996" i="93"/>
  <c r="D1057" i="94"/>
  <c r="B997" i="93"/>
  <c r="B1058" i="94"/>
  <c r="D57" i="74"/>
  <c r="G58" i="74"/>
  <c r="F59" i="74"/>
  <c r="I60" i="74"/>
  <c r="B1024" i="93"/>
  <c r="B1087" i="94"/>
  <c r="G31" i="86"/>
  <c r="J1024" i="93"/>
  <c r="J1087" i="94"/>
  <c r="H1025" i="93"/>
  <c r="H1088" i="94"/>
  <c r="F52" i="86"/>
  <c r="F1026" i="93"/>
  <c r="F1089" i="94"/>
  <c r="E89" i="74"/>
  <c r="E90" i="74"/>
  <c r="H91" i="74"/>
  <c r="H92" i="74"/>
  <c r="E1053" i="93"/>
  <c r="E1118" i="94"/>
  <c r="C1054" i="93"/>
  <c r="C1119" i="94"/>
  <c r="K1054" i="93"/>
  <c r="K1119" i="94"/>
  <c r="I1055" i="93"/>
  <c r="I1120" i="94"/>
  <c r="E120" i="74"/>
  <c r="C1081" i="93"/>
  <c r="C1148" i="94"/>
  <c r="F1082" i="93"/>
  <c r="F1149" i="94"/>
  <c r="A1161" i="94"/>
  <c r="H3" i="73"/>
  <c r="H1161" i="94" s="1"/>
  <c r="O1601" i="93"/>
  <c r="O1699" i="94"/>
  <c r="P92" i="72"/>
  <c r="P1638" i="93" s="1"/>
  <c r="J1776" i="93"/>
  <c r="J1870" i="94"/>
  <c r="O426" i="72"/>
  <c r="K59" i="84"/>
  <c r="F12" i="86"/>
  <c r="G51" i="86"/>
  <c r="E65" i="89"/>
  <c r="P1964" i="94"/>
  <c r="P1968" i="94"/>
  <c r="U508" i="94"/>
  <c r="A508" i="94"/>
  <c r="V550" i="94"/>
  <c r="V563" i="94"/>
  <c r="L732" i="94"/>
  <c r="AU772" i="94"/>
  <c r="CA772" i="94"/>
  <c r="DG772" i="94"/>
  <c r="EM772" i="94"/>
  <c r="FS772" i="94"/>
  <c r="GY772" i="94"/>
  <c r="IE772" i="94"/>
  <c r="JK772" i="94"/>
  <c r="KQ772" i="94"/>
  <c r="LW772" i="94"/>
  <c r="Z773" i="94"/>
  <c r="BF773" i="94"/>
  <c r="CL773" i="94"/>
  <c r="DR773" i="94"/>
  <c r="EI773" i="94"/>
  <c r="FO773" i="94"/>
  <c r="GL773" i="94"/>
  <c r="HR773" i="94"/>
  <c r="AU774" i="94"/>
  <c r="CA774" i="94"/>
  <c r="DG774" i="94"/>
  <c r="EM774" i="94"/>
  <c r="FS774" i="94"/>
  <c r="GY774" i="94"/>
  <c r="IE774" i="94"/>
  <c r="JK774" i="94"/>
  <c r="LW774" i="94"/>
  <c r="Z775" i="94"/>
  <c r="CD775" i="94"/>
  <c r="HJ775" i="94"/>
  <c r="MB776" i="94"/>
  <c r="LS776" i="94"/>
  <c r="LJ776" i="94"/>
  <c r="HV776" i="94"/>
  <c r="HM776" i="94"/>
  <c r="HD776" i="94"/>
  <c r="GU776" i="94"/>
  <c r="GL776" i="94"/>
  <c r="GC776" i="94"/>
  <c r="FS776" i="94"/>
  <c r="FJ776" i="94"/>
  <c r="FA776" i="94"/>
  <c r="ER776" i="94"/>
  <c r="EI776" i="94"/>
  <c r="DZ776" i="94"/>
  <c r="DQ776" i="94"/>
  <c r="DG776" i="94"/>
  <c r="CX776" i="94"/>
  <c r="CO776" i="94"/>
  <c r="CF776" i="94"/>
  <c r="BW776" i="94"/>
  <c r="BN776" i="94"/>
  <c r="BE776" i="94"/>
  <c r="AU776" i="94"/>
  <c r="AM776" i="94"/>
  <c r="AE776" i="94"/>
  <c r="W776" i="94"/>
  <c r="LZ776" i="94"/>
  <c r="LQ776" i="94"/>
  <c r="LG776" i="94"/>
  <c r="HT776" i="94"/>
  <c r="HK776" i="94"/>
  <c r="HB776" i="94"/>
  <c r="GS776" i="94"/>
  <c r="GI776" i="94"/>
  <c r="FZ776" i="94"/>
  <c r="FQ776" i="94"/>
  <c r="FH776" i="94"/>
  <c r="EY776" i="94"/>
  <c r="EP776" i="94"/>
  <c r="EG776" i="94"/>
  <c r="DW776" i="94"/>
  <c r="DN776" i="94"/>
  <c r="DE776" i="94"/>
  <c r="CV776" i="94"/>
  <c r="CM776" i="94"/>
  <c r="CD776" i="94"/>
  <c r="BU776" i="94"/>
  <c r="BK776" i="94"/>
  <c r="BB776" i="94"/>
  <c r="AS776" i="94"/>
  <c r="AK776" i="94"/>
  <c r="AC776" i="94"/>
  <c r="AL776" i="94"/>
  <c r="DF776" i="94"/>
  <c r="GA776" i="94"/>
  <c r="LR776" i="94"/>
  <c r="Q777" i="94"/>
  <c r="DE779" i="94"/>
  <c r="CI782" i="94"/>
  <c r="GH782" i="94"/>
  <c r="DP785" i="94"/>
  <c r="CT785" i="94"/>
  <c r="BX785" i="94"/>
  <c r="FY785" i="94"/>
  <c r="DM785" i="94"/>
  <c r="CS785" i="94"/>
  <c r="BW785" i="94"/>
  <c r="FV785" i="94"/>
  <c r="DJ785" i="94"/>
  <c r="CN785" i="94"/>
  <c r="BT785" i="94"/>
  <c r="DI785" i="94"/>
  <c r="CM785" i="94"/>
  <c r="BQ785" i="94"/>
  <c r="DZ785" i="94"/>
  <c r="DD785" i="94"/>
  <c r="CJ785" i="94"/>
  <c r="BN785" i="94"/>
  <c r="DY785" i="94"/>
  <c r="DC785" i="94"/>
  <c r="CG785" i="94"/>
  <c r="BM785" i="94"/>
  <c r="DS785" i="94"/>
  <c r="CW785" i="94"/>
  <c r="CC785" i="94"/>
  <c r="KS790" i="94"/>
  <c r="N51" i="93"/>
  <c r="N63" i="94"/>
  <c r="R793" i="93"/>
  <c r="R798" i="94"/>
  <c r="E1024" i="93"/>
  <c r="E1087" i="94"/>
  <c r="C51" i="86"/>
  <c r="FB772" i="94"/>
  <c r="HN774" i="94"/>
  <c r="I786" i="93"/>
  <c r="K786" i="93" s="1"/>
  <c r="L786" i="93" s="1"/>
  <c r="I791" i="94"/>
  <c r="K791" i="94" s="1"/>
  <c r="L791" i="94" s="1"/>
  <c r="Q787" i="93"/>
  <c r="Q792" i="94"/>
  <c r="K32" i="75"/>
  <c r="L32" i="75" s="1"/>
  <c r="I794" i="93"/>
  <c r="K794" i="93" s="1"/>
  <c r="L794" i="93" s="1"/>
  <c r="I799" i="94"/>
  <c r="K799" i="94" s="1"/>
  <c r="L799" i="94" s="1"/>
  <c r="R798" i="93"/>
  <c r="R803" i="94"/>
  <c r="Q803" i="93"/>
  <c r="Q808" i="94"/>
  <c r="N66" i="93"/>
  <c r="N77" i="94"/>
  <c r="D13" i="74"/>
  <c r="B1082" i="93"/>
  <c r="B1149" i="94"/>
  <c r="J384" i="73"/>
  <c r="P22" i="72"/>
  <c r="P1562" i="93" s="1"/>
  <c r="AE772" i="94"/>
  <c r="FC772" i="94"/>
  <c r="KA772" i="94"/>
  <c r="MM772" i="94"/>
  <c r="LE774" i="94"/>
  <c r="KW774" i="94"/>
  <c r="KO774" i="94"/>
  <c r="KG774" i="94"/>
  <c r="JY774" i="94"/>
  <c r="JQ774" i="94"/>
  <c r="JI774" i="94"/>
  <c r="JA774" i="94"/>
  <c r="IS774" i="94"/>
  <c r="IK774" i="94"/>
  <c r="IC774" i="94"/>
  <c r="GI774" i="94"/>
  <c r="LG774" i="94"/>
  <c r="HC779" i="94"/>
  <c r="I40" i="66"/>
  <c r="N405" i="93"/>
  <c r="E1078" i="94"/>
  <c r="D1078" i="94"/>
  <c r="F1078" i="94"/>
  <c r="B1078" i="94"/>
  <c r="C1078" i="94"/>
  <c r="B63" i="74"/>
  <c r="K31" i="74"/>
  <c r="C31" i="74"/>
  <c r="J31" i="74"/>
  <c r="I31" i="74"/>
  <c r="A1" i="78"/>
  <c r="W1" i="78" s="1"/>
  <c r="R767" i="93"/>
  <c r="R772" i="94"/>
  <c r="I771" i="93"/>
  <c r="K771" i="93" s="1"/>
  <c r="L771" i="93" s="1"/>
  <c r="I776" i="94"/>
  <c r="K776" i="94" s="1"/>
  <c r="L776" i="94" s="1"/>
  <c r="I779" i="93"/>
  <c r="K779" i="93" s="1"/>
  <c r="L779" i="93" s="1"/>
  <c r="I784" i="94"/>
  <c r="K784" i="94" s="1"/>
  <c r="L784" i="94" s="1"/>
  <c r="Q780" i="93"/>
  <c r="Q785" i="94"/>
  <c r="R783" i="93"/>
  <c r="R788" i="94"/>
  <c r="I787" i="93"/>
  <c r="K787" i="93" s="1"/>
  <c r="L787" i="93" s="1"/>
  <c r="I792" i="94"/>
  <c r="K792" i="94" s="1"/>
  <c r="L792" i="94" s="1"/>
  <c r="Q788" i="93"/>
  <c r="Q793" i="94"/>
  <c r="K33" i="75"/>
  <c r="L33" i="75" s="1"/>
  <c r="R791" i="93"/>
  <c r="R796" i="94"/>
  <c r="I795" i="93"/>
  <c r="K795" i="93" s="1"/>
  <c r="L795" i="93" s="1"/>
  <c r="I800" i="94"/>
  <c r="K800" i="94" s="1"/>
  <c r="L800" i="94" s="1"/>
  <c r="Q796" i="93"/>
  <c r="Q801" i="94"/>
  <c r="K41" i="75"/>
  <c r="L41" i="75" s="1"/>
  <c r="R799" i="93"/>
  <c r="R804" i="94"/>
  <c r="I803" i="93"/>
  <c r="K803" i="93" s="1"/>
  <c r="L803" i="93" s="1"/>
  <c r="I808" i="94"/>
  <c r="K808" i="94" s="1"/>
  <c r="L808" i="94" s="1"/>
  <c r="Q804" i="93"/>
  <c r="Q809" i="94"/>
  <c r="I25" i="74"/>
  <c r="D28" i="74"/>
  <c r="B984" i="93"/>
  <c r="B1045" i="94"/>
  <c r="E31" i="74"/>
  <c r="I994" i="93"/>
  <c r="I1055" i="94"/>
  <c r="H57" i="74"/>
  <c r="H58" i="74"/>
  <c r="J59" i="74"/>
  <c r="J60" i="74"/>
  <c r="D63" i="74"/>
  <c r="C1024" i="93"/>
  <c r="C1087" i="94"/>
  <c r="K1024" i="93"/>
  <c r="K1087" i="94"/>
  <c r="I1025" i="93"/>
  <c r="I1088" i="94"/>
  <c r="G52" i="86"/>
  <c r="G1026" i="93"/>
  <c r="G1089" i="94"/>
  <c r="F89" i="74"/>
  <c r="F90" i="74"/>
  <c r="I91" i="74"/>
  <c r="F1053" i="93"/>
  <c r="F1118" i="94"/>
  <c r="D1054" i="93"/>
  <c r="D1119" i="94"/>
  <c r="B1055" i="93"/>
  <c r="B1120" i="94"/>
  <c r="J1055" i="93"/>
  <c r="J1120" i="94"/>
  <c r="C121" i="74"/>
  <c r="E128" i="74"/>
  <c r="E1143" i="94" s="1"/>
  <c r="P1601" i="93"/>
  <c r="O86" i="72"/>
  <c r="T175" i="72"/>
  <c r="Q334" i="72"/>
  <c r="C68" i="84"/>
  <c r="G12" i="86"/>
  <c r="H51" i="86"/>
  <c r="S468" i="94"/>
  <c r="U570" i="94"/>
  <c r="A570" i="94"/>
  <c r="M732" i="94"/>
  <c r="BB772" i="94"/>
  <c r="CH772" i="94"/>
  <c r="DN772" i="94"/>
  <c r="ET772" i="94"/>
  <c r="FZ772" i="94"/>
  <c r="HF772" i="94"/>
  <c r="IL772" i="94"/>
  <c r="JR772" i="94"/>
  <c r="LX773" i="94"/>
  <c r="AA773" i="94"/>
  <c r="BG773" i="94"/>
  <c r="CM773" i="94"/>
  <c r="DS773" i="94"/>
  <c r="EP773" i="94"/>
  <c r="FV773" i="94"/>
  <c r="GM773" i="94"/>
  <c r="HS773" i="94"/>
  <c r="LJ773" i="94"/>
  <c r="BB774" i="94"/>
  <c r="CH774" i="94"/>
  <c r="DN774" i="94"/>
  <c r="ET774" i="94"/>
  <c r="FZ774" i="94"/>
  <c r="HF774" i="94"/>
  <c r="IL774" i="94"/>
  <c r="JR774" i="94"/>
  <c r="KX774" i="94"/>
  <c r="MD774" i="94"/>
  <c r="AA775" i="94"/>
  <c r="CL775" i="94"/>
  <c r="HR775" i="94"/>
  <c r="LJ775" i="94"/>
  <c r="MP776" i="94"/>
  <c r="AT776" i="94"/>
  <c r="DO776" i="94"/>
  <c r="GK776" i="94"/>
  <c r="MA776" i="94"/>
  <c r="DR779" i="94"/>
  <c r="CW782" i="94"/>
  <c r="GU782" i="94"/>
  <c r="LH782" i="94"/>
  <c r="LG785" i="94"/>
  <c r="LF785" i="94"/>
  <c r="LH785" i="94"/>
  <c r="LT785" i="94"/>
  <c r="HR785" i="94"/>
  <c r="GV785" i="94"/>
  <c r="FF785" i="94"/>
  <c r="EJ785" i="94"/>
  <c r="BD785" i="94"/>
  <c r="AH785" i="94"/>
  <c r="LS785" i="94"/>
  <c r="HQ785" i="94"/>
  <c r="GU785" i="94"/>
  <c r="FE785" i="94"/>
  <c r="EI785" i="94"/>
  <c r="BA785" i="94"/>
  <c r="AG785" i="94"/>
  <c r="LP785" i="94"/>
  <c r="HL785" i="94"/>
  <c r="GR785" i="94"/>
  <c r="EZ785" i="94"/>
  <c r="AX785" i="94"/>
  <c r="AB785" i="94"/>
  <c r="LM785" i="94"/>
  <c r="HK785" i="94"/>
  <c r="GO785" i="94"/>
  <c r="FU785" i="94"/>
  <c r="EY785" i="94"/>
  <c r="AW785" i="94"/>
  <c r="AA785" i="94"/>
  <c r="LJ785" i="94"/>
  <c r="HH785" i="94"/>
  <c r="GL785" i="94"/>
  <c r="FP785" i="94"/>
  <c r="EV785" i="94"/>
  <c r="AR785" i="94"/>
  <c r="X785" i="94"/>
  <c r="MC785" i="94"/>
  <c r="LI785" i="94"/>
  <c r="HE785" i="94"/>
  <c r="GK785" i="94"/>
  <c r="FO785" i="94"/>
  <c r="ES785" i="94"/>
  <c r="AQ785" i="94"/>
  <c r="LY785" i="94"/>
  <c r="HU785" i="94"/>
  <c r="HA785" i="94"/>
  <c r="FI785" i="94"/>
  <c r="EO785" i="94"/>
  <c r="BG785" i="94"/>
  <c r="AK785" i="94"/>
  <c r="A785" i="94"/>
  <c r="BH785" i="94"/>
  <c r="GZ789" i="94"/>
  <c r="AC772" i="94"/>
  <c r="AK772" i="94"/>
  <c r="AS772" i="94"/>
  <c r="BA772" i="94"/>
  <c r="BI772" i="94"/>
  <c r="BQ772" i="94"/>
  <c r="BY772" i="94"/>
  <c r="CG772" i="94"/>
  <c r="CO772" i="94"/>
  <c r="CW772" i="94"/>
  <c r="DE772" i="94"/>
  <c r="DM772" i="94"/>
  <c r="DU772" i="94"/>
  <c r="EC772" i="94"/>
  <c r="EK772" i="94"/>
  <c r="ES772" i="94"/>
  <c r="FA772" i="94"/>
  <c r="FI772" i="94"/>
  <c r="FQ772" i="94"/>
  <c r="FY772" i="94"/>
  <c r="GG772" i="94"/>
  <c r="GO772" i="94"/>
  <c r="GW772" i="94"/>
  <c r="HE772" i="94"/>
  <c r="HM772" i="94"/>
  <c r="HU772" i="94"/>
  <c r="IC772" i="94"/>
  <c r="IK772" i="94"/>
  <c r="IS772" i="94"/>
  <c r="JA772" i="94"/>
  <c r="JI772" i="94"/>
  <c r="JQ772" i="94"/>
  <c r="JY772" i="94"/>
  <c r="KG772" i="94"/>
  <c r="KO772" i="94"/>
  <c r="KW772" i="94"/>
  <c r="LE772" i="94"/>
  <c r="LM772" i="94"/>
  <c r="LU772" i="94"/>
  <c r="MC772" i="94"/>
  <c r="MK772" i="94"/>
  <c r="MS772" i="94"/>
  <c r="GK773" i="94"/>
  <c r="GS773" i="94"/>
  <c r="HA773" i="94"/>
  <c r="HI773" i="94"/>
  <c r="HQ773" i="94"/>
  <c r="IG773" i="94"/>
  <c r="IO773" i="94"/>
  <c r="IW773" i="94"/>
  <c r="JE773" i="94"/>
  <c r="JM773" i="94"/>
  <c r="JU773" i="94"/>
  <c r="KC773" i="94"/>
  <c r="KK773" i="94"/>
  <c r="KS773" i="94"/>
  <c r="LA773" i="94"/>
  <c r="LQ773" i="94"/>
  <c r="LY773" i="94"/>
  <c r="MG773" i="94"/>
  <c r="MO773" i="94"/>
  <c r="IG775" i="94"/>
  <c r="IO775" i="94"/>
  <c r="IW775" i="94"/>
  <c r="JE775" i="94"/>
  <c r="JM775" i="94"/>
  <c r="JU775" i="94"/>
  <c r="KC775" i="94"/>
  <c r="KK775" i="94"/>
  <c r="KS775" i="94"/>
  <c r="LA775" i="94"/>
  <c r="MG775" i="94"/>
  <c r="MO775" i="94"/>
  <c r="IC776" i="94"/>
  <c r="IL776" i="94"/>
  <c r="IU776" i="94"/>
  <c r="JE776" i="94"/>
  <c r="JN776" i="94"/>
  <c r="JW776" i="94"/>
  <c r="KF776" i="94"/>
  <c r="KO776" i="94"/>
  <c r="KX776" i="94"/>
  <c r="IK777" i="94"/>
  <c r="IT777" i="94"/>
  <c r="JC777" i="94"/>
  <c r="JL777" i="94"/>
  <c r="JU777" i="94"/>
  <c r="KD777" i="94"/>
  <c r="KM777" i="94"/>
  <c r="KW777" i="94"/>
  <c r="MG777" i="94"/>
  <c r="IH778" i="94"/>
  <c r="IU778" i="94"/>
  <c r="JI778" i="94"/>
  <c r="JU778" i="94"/>
  <c r="KH778" i="94"/>
  <c r="KT778" i="94"/>
  <c r="MG778" i="94"/>
  <c r="W780" i="94"/>
  <c r="AK780" i="94"/>
  <c r="AW780" i="94"/>
  <c r="BJ780" i="94"/>
  <c r="BV780" i="94"/>
  <c r="CI780" i="94"/>
  <c r="CW780" i="94"/>
  <c r="DI780" i="94"/>
  <c r="DV780" i="94"/>
  <c r="EH780" i="94"/>
  <c r="EU780" i="94"/>
  <c r="FI780" i="94"/>
  <c r="FU780" i="94"/>
  <c r="GH780" i="94"/>
  <c r="GT780" i="94"/>
  <c r="HG780" i="94"/>
  <c r="HU780" i="94"/>
  <c r="LF780" i="94"/>
  <c r="LR780" i="94"/>
  <c r="AC781" i="94"/>
  <c r="AP781" i="94"/>
  <c r="BB781" i="94"/>
  <c r="BO781" i="94"/>
  <c r="CC781" i="94"/>
  <c r="CO781" i="94"/>
  <c r="DB781" i="94"/>
  <c r="DN781" i="94"/>
  <c r="EA781" i="94"/>
  <c r="EO781" i="94"/>
  <c r="FA781" i="94"/>
  <c r="FN781" i="94"/>
  <c r="GM781" i="94"/>
  <c r="HA781" i="94"/>
  <c r="HM781" i="94"/>
  <c r="LK781" i="94"/>
  <c r="IK782" i="94"/>
  <c r="JA782" i="94"/>
  <c r="JO782" i="94"/>
  <c r="KC782" i="94"/>
  <c r="KQ782" i="94"/>
  <c r="MJ782" i="94"/>
  <c r="IO783" i="94"/>
  <c r="JE783" i="94"/>
  <c r="JV783" i="94"/>
  <c r="KN783" i="94"/>
  <c r="LD783" i="94"/>
  <c r="MC788" i="94"/>
  <c r="LQ788" i="94"/>
  <c r="LG788" i="94"/>
  <c r="HO788" i="94"/>
  <c r="HE788" i="94"/>
  <c r="GS788" i="94"/>
  <c r="GI788" i="94"/>
  <c r="FY788" i="94"/>
  <c r="FM788" i="94"/>
  <c r="FC788" i="94"/>
  <c r="ES788" i="94"/>
  <c r="EG788" i="94"/>
  <c r="DW788" i="94"/>
  <c r="DM788" i="94"/>
  <c r="DA788" i="94"/>
  <c r="CQ788" i="94"/>
  <c r="CG788" i="94"/>
  <c r="BU788" i="94"/>
  <c r="BK788" i="94"/>
  <c r="BA788" i="94"/>
  <c r="AO788" i="94"/>
  <c r="AE788" i="94"/>
  <c r="MB788" i="94"/>
  <c r="LP788" i="94"/>
  <c r="LF788" i="94"/>
  <c r="HX788" i="94"/>
  <c r="HN788" i="94"/>
  <c r="HD788" i="94"/>
  <c r="GR788" i="94"/>
  <c r="GH788" i="94"/>
  <c r="FX788" i="94"/>
  <c r="FL788" i="94"/>
  <c r="FB788" i="94"/>
  <c r="ER788" i="94"/>
  <c r="EF788" i="94"/>
  <c r="DV788" i="94"/>
  <c r="DL788" i="94"/>
  <c r="CZ788" i="94"/>
  <c r="CP788" i="94"/>
  <c r="CF788" i="94"/>
  <c r="BT788" i="94"/>
  <c r="BJ788" i="94"/>
  <c r="AZ788" i="94"/>
  <c r="AN788" i="94"/>
  <c r="AD788" i="94"/>
  <c r="LN788" i="94"/>
  <c r="FT788" i="94"/>
  <c r="FJ788" i="94"/>
  <c r="EZ788" i="94"/>
  <c r="EN788" i="94"/>
  <c r="ED788" i="94"/>
  <c r="DT788" i="94"/>
  <c r="DH788" i="94"/>
  <c r="CX788" i="94"/>
  <c r="CN788" i="94"/>
  <c r="CB788" i="94"/>
  <c r="BR788" i="94"/>
  <c r="BH788" i="94"/>
  <c r="AV788" i="94"/>
  <c r="AL788" i="94"/>
  <c r="AB788" i="94"/>
  <c r="Y788" i="94"/>
  <c r="BQ788" i="94"/>
  <c r="DG788" i="94"/>
  <c r="EW788" i="94"/>
  <c r="GO788" i="94"/>
  <c r="LM788" i="94"/>
  <c r="MJ789" i="94"/>
  <c r="IO789" i="94"/>
  <c r="KE789" i="94"/>
  <c r="CN791" i="94"/>
  <c r="FV791" i="94"/>
  <c r="DB794" i="94"/>
  <c r="GL794" i="94"/>
  <c r="IE776" i="94"/>
  <c r="IO776" i="94"/>
  <c r="IX776" i="94"/>
  <c r="JG776" i="94"/>
  <c r="JP776" i="94"/>
  <c r="JY776" i="94"/>
  <c r="KH776" i="94"/>
  <c r="KQ776" i="94"/>
  <c r="IL778" i="94"/>
  <c r="IX778" i="94"/>
  <c r="JK778" i="94"/>
  <c r="JY778" i="94"/>
  <c r="KK778" i="94"/>
  <c r="LO781" i="94"/>
  <c r="LG781" i="94"/>
  <c r="FS781" i="94"/>
  <c r="FK781" i="94"/>
  <c r="FC781" i="94"/>
  <c r="EU781" i="94"/>
  <c r="EM781" i="94"/>
  <c r="BC781" i="94"/>
  <c r="AU781" i="94"/>
  <c r="AM781" i="94"/>
  <c r="AE781" i="94"/>
  <c r="W781" i="94"/>
  <c r="LH781" i="94"/>
  <c r="FT781" i="94"/>
  <c r="FL781" i="94"/>
  <c r="FD781" i="94"/>
  <c r="EV781" i="94"/>
  <c r="EN781" i="94"/>
  <c r="BD781" i="94"/>
  <c r="AV781" i="94"/>
  <c r="AN781" i="94"/>
  <c r="AF781" i="94"/>
  <c r="X781" i="94"/>
  <c r="DW781" i="94"/>
  <c r="DO781" i="94"/>
  <c r="DG781" i="94"/>
  <c r="CY781" i="94"/>
  <c r="CQ781" i="94"/>
  <c r="CI781" i="94"/>
  <c r="CA781" i="94"/>
  <c r="BS781" i="94"/>
  <c r="BK781" i="94"/>
  <c r="DX781" i="94"/>
  <c r="DP781" i="94"/>
  <c r="DH781" i="94"/>
  <c r="CZ781" i="94"/>
  <c r="CR781" i="94"/>
  <c r="CJ781" i="94"/>
  <c r="CB781" i="94"/>
  <c r="BT781" i="94"/>
  <c r="BL781" i="94"/>
  <c r="AG781" i="94"/>
  <c r="AS781" i="94"/>
  <c r="BF781" i="94"/>
  <c r="BR781" i="94"/>
  <c r="CE781" i="94"/>
  <c r="CS781" i="94"/>
  <c r="DE781" i="94"/>
  <c r="DR781" i="94"/>
  <c r="EQ781" i="94"/>
  <c r="FE781" i="94"/>
  <c r="FQ781" i="94"/>
  <c r="GP781" i="94"/>
  <c r="HC781" i="94"/>
  <c r="HQ781" i="94"/>
  <c r="LN781" i="94"/>
  <c r="MA781" i="94"/>
  <c r="IA782" i="94"/>
  <c r="IN782" i="94"/>
  <c r="JC782" i="94"/>
  <c r="JS782" i="94"/>
  <c r="KG782" i="94"/>
  <c r="KV782" i="94"/>
  <c r="MN782" i="94"/>
  <c r="MR783" i="94"/>
  <c r="MH783" i="94"/>
  <c r="IB783" i="94"/>
  <c r="IR783" i="94"/>
  <c r="JI783" i="94"/>
  <c r="JY783" i="94"/>
  <c r="KR783" i="94"/>
  <c r="IY789" i="94"/>
  <c r="KO789" i="94"/>
  <c r="CZ791" i="94"/>
  <c r="MN794" i="94"/>
  <c r="MF794" i="94"/>
  <c r="LX794" i="94"/>
  <c r="LP794" i="94"/>
  <c r="KZ794" i="94"/>
  <c r="KR794" i="94"/>
  <c r="KJ794" i="94"/>
  <c r="KB794" i="94"/>
  <c r="JT794" i="94"/>
  <c r="JL794" i="94"/>
  <c r="JD794" i="94"/>
  <c r="IV794" i="94"/>
  <c r="IN794" i="94"/>
  <c r="IF794" i="94"/>
  <c r="HX794" i="94"/>
  <c r="HP794" i="94"/>
  <c r="HH794" i="94"/>
  <c r="GZ794" i="94"/>
  <c r="GR794" i="94"/>
  <c r="GJ794" i="94"/>
  <c r="GB794" i="94"/>
  <c r="FT794" i="94"/>
  <c r="FL794" i="94"/>
  <c r="FD794" i="94"/>
  <c r="EV794" i="94"/>
  <c r="EN794" i="94"/>
  <c r="EF794" i="94"/>
  <c r="DX794" i="94"/>
  <c r="DP794" i="94"/>
  <c r="DH794" i="94"/>
  <c r="CZ794" i="94"/>
  <c r="CR794" i="94"/>
  <c r="CJ794" i="94"/>
  <c r="CB794" i="94"/>
  <c r="BT794" i="94"/>
  <c r="BL794" i="94"/>
  <c r="BD794" i="94"/>
  <c r="AV794" i="94"/>
  <c r="AN794" i="94"/>
  <c r="AF794" i="94"/>
  <c r="X794" i="94"/>
  <c r="ML794" i="94"/>
  <c r="MD794" i="94"/>
  <c r="LV794" i="94"/>
  <c r="LN794" i="94"/>
  <c r="KX794" i="94"/>
  <c r="KP794" i="94"/>
  <c r="KH794" i="94"/>
  <c r="JZ794" i="94"/>
  <c r="JR794" i="94"/>
  <c r="JJ794" i="94"/>
  <c r="JB794" i="94"/>
  <c r="IT794" i="94"/>
  <c r="IL794" i="94"/>
  <c r="ID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AD794" i="94"/>
  <c r="MS794" i="94"/>
  <c r="MK794" i="94"/>
  <c r="MC794" i="94"/>
  <c r="LU794" i="94"/>
  <c r="LM794" i="94"/>
  <c r="LE794" i="94"/>
  <c r="KW794" i="94"/>
  <c r="KO794" i="94"/>
  <c r="KG794" i="94"/>
  <c r="JY794" i="94"/>
  <c r="JQ794" i="94"/>
  <c r="JI794" i="94"/>
  <c r="JA794" i="94"/>
  <c r="IS794" i="94"/>
  <c r="IK794" i="94"/>
  <c r="IC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O794" i="94"/>
  <c r="MG794" i="94"/>
  <c r="LY794" i="94"/>
  <c r="LQ794" i="94"/>
  <c r="LA794" i="94"/>
  <c r="KS794" i="94"/>
  <c r="KK794" i="94"/>
  <c r="KC794" i="94"/>
  <c r="JU794" i="94"/>
  <c r="JM794" i="94"/>
  <c r="JE794" i="94"/>
  <c r="IW794" i="94"/>
  <c r="IO794" i="94"/>
  <c r="IG794" i="94"/>
  <c r="HY794" i="94"/>
  <c r="HQ794" i="94"/>
  <c r="HI794" i="94"/>
  <c r="HA794" i="94"/>
  <c r="GS794" i="94"/>
  <c r="GK794" i="94"/>
  <c r="GC794" i="94"/>
  <c r="FU794" i="94"/>
  <c r="FM794" i="94"/>
  <c r="FE794" i="94"/>
  <c r="EW794" i="94"/>
  <c r="EO794" i="94"/>
  <c r="EG794" i="94"/>
  <c r="DY794" i="94"/>
  <c r="DQ794" i="94"/>
  <c r="DI794" i="94"/>
  <c r="DA794" i="94"/>
  <c r="CS794" i="94"/>
  <c r="CK794" i="94"/>
  <c r="CC794" i="94"/>
  <c r="BU794" i="94"/>
  <c r="BM794" i="94"/>
  <c r="BE794" i="94"/>
  <c r="AW794" i="94"/>
  <c r="AO794" i="94"/>
  <c r="AG794" i="94"/>
  <c r="Y794" i="94"/>
  <c r="MJ794" i="94"/>
  <c r="LT794" i="94"/>
  <c r="LD794" i="94"/>
  <c r="KN794" i="94"/>
  <c r="JX794" i="94"/>
  <c r="JH794" i="94"/>
  <c r="IR794" i="94"/>
  <c r="IB794" i="94"/>
  <c r="HL794" i="94"/>
  <c r="GV794" i="94"/>
  <c r="GF794" i="94"/>
  <c r="FP794" i="94"/>
  <c r="EZ794" i="94"/>
  <c r="EJ794" i="94"/>
  <c r="DT794" i="94"/>
  <c r="DD794" i="94"/>
  <c r="CN794" i="94"/>
  <c r="BX794" i="94"/>
  <c r="BH794" i="94"/>
  <c r="AR794" i="94"/>
  <c r="AB794" i="94"/>
  <c r="MI794" i="94"/>
  <c r="LS794" i="94"/>
  <c r="LC794" i="94"/>
  <c r="KM794" i="94"/>
  <c r="JW794" i="94"/>
  <c r="JG794" i="94"/>
  <c r="IQ794" i="94"/>
  <c r="IA794" i="94"/>
  <c r="HK794" i="94"/>
  <c r="GU794" i="94"/>
  <c r="GE794" i="94"/>
  <c r="FO794" i="94"/>
  <c r="EY794" i="94"/>
  <c r="EI794" i="94"/>
  <c r="DS794" i="94"/>
  <c r="DC794" i="94"/>
  <c r="CM794" i="94"/>
  <c r="BW794" i="94"/>
  <c r="BG794" i="94"/>
  <c r="AQ794" i="94"/>
  <c r="AA794" i="94"/>
  <c r="MR794" i="94"/>
  <c r="MB794" i="94"/>
  <c r="LL794" i="94"/>
  <c r="KV794" i="94"/>
  <c r="KF794" i="94"/>
  <c r="JP794" i="94"/>
  <c r="IZ794" i="94"/>
  <c r="IJ794" i="94"/>
  <c r="MP794" i="94"/>
  <c r="LO794" i="94"/>
  <c r="KQ794" i="94"/>
  <c r="JO794" i="94"/>
  <c r="IP794" i="94"/>
  <c r="HS794" i="94"/>
  <c r="GY794" i="94"/>
  <c r="GA794" i="94"/>
  <c r="FG794" i="94"/>
  <c r="EM794" i="94"/>
  <c r="DO794" i="94"/>
  <c r="CU794" i="94"/>
  <c r="CA794" i="94"/>
  <c r="BC794" i="94"/>
  <c r="AI794" i="94"/>
  <c r="MM794" i="94"/>
  <c r="LK794" i="94"/>
  <c r="KL794" i="94"/>
  <c r="JN794" i="94"/>
  <c r="IM794" i="94"/>
  <c r="HR794" i="94"/>
  <c r="GT794" i="94"/>
  <c r="FX794" i="94"/>
  <c r="FF794" i="94"/>
  <c r="EH794" i="94"/>
  <c r="DL794" i="94"/>
  <c r="CT794" i="94"/>
  <c r="BV794" i="94"/>
  <c r="AZ794" i="94"/>
  <c r="AH794" i="94"/>
  <c r="MH794" i="94"/>
  <c r="KI794" i="94"/>
  <c r="JK794" i="94"/>
  <c r="II794" i="94"/>
  <c r="HO794" i="94"/>
  <c r="GQ794" i="94"/>
  <c r="FW794" i="94"/>
  <c r="FC794" i="94"/>
  <c r="EE794" i="94"/>
  <c r="DK794" i="94"/>
  <c r="CQ794" i="94"/>
  <c r="BS794" i="94"/>
  <c r="AY794" i="94"/>
  <c r="AE794" i="94"/>
  <c r="ME794" i="94"/>
  <c r="KE794" i="94"/>
  <c r="JF794" i="94"/>
  <c r="IH794" i="94"/>
  <c r="HJ794" i="94"/>
  <c r="GN794" i="94"/>
  <c r="FV794" i="94"/>
  <c r="EX794" i="94"/>
  <c r="EB794" i="94"/>
  <c r="DJ794" i="94"/>
  <c r="CL794" i="94"/>
  <c r="BP794" i="94"/>
  <c r="AX794" i="94"/>
  <c r="Z794" i="94"/>
  <c r="MA794" i="94"/>
  <c r="LB794" i="94"/>
  <c r="KD794" i="94"/>
  <c r="JC794" i="94"/>
  <c r="IE794" i="94"/>
  <c r="HG794" i="94"/>
  <c r="GM794" i="94"/>
  <c r="FS794" i="94"/>
  <c r="EU794" i="94"/>
  <c r="EA794" i="94"/>
  <c r="DG794" i="94"/>
  <c r="CI794" i="94"/>
  <c r="BO794" i="94"/>
  <c r="AU794" i="94"/>
  <c r="W794" i="94"/>
  <c r="MQ794" i="94"/>
  <c r="LR794" i="94"/>
  <c r="KT794" i="94"/>
  <c r="JS794" i="94"/>
  <c r="IU794" i="94"/>
  <c r="HT794" i="94"/>
  <c r="HB794" i="94"/>
  <c r="GD794" i="94"/>
  <c r="FH794" i="94"/>
  <c r="EP794" i="94"/>
  <c r="DR794" i="94"/>
  <c r="CV794" i="94"/>
  <c r="CD794" i="94"/>
  <c r="BF794" i="94"/>
  <c r="AJ794" i="94"/>
  <c r="AP794" i="94"/>
  <c r="DZ794" i="94"/>
  <c r="HD794" i="94"/>
  <c r="KY794" i="94"/>
  <c r="B994" i="93"/>
  <c r="B1055" i="94"/>
  <c r="J994" i="93"/>
  <c r="J1055" i="94"/>
  <c r="G995" i="93"/>
  <c r="G1056" i="94"/>
  <c r="E996" i="93"/>
  <c r="E1057" i="94"/>
  <c r="G1024" i="93"/>
  <c r="G1087" i="94"/>
  <c r="E1025" i="93"/>
  <c r="E1088" i="94"/>
  <c r="C1026" i="93"/>
  <c r="C1089" i="94"/>
  <c r="K1026" i="93"/>
  <c r="K1089" i="94"/>
  <c r="I1053" i="93"/>
  <c r="I1118" i="94"/>
  <c r="G1054" i="93"/>
  <c r="G1119" i="94"/>
  <c r="E1055" i="93"/>
  <c r="E1120" i="94"/>
  <c r="D1081" i="93"/>
  <c r="D1148" i="94"/>
  <c r="B1083" i="93"/>
  <c r="B1150" i="94"/>
  <c r="O1562" i="93"/>
  <c r="O1670" i="94"/>
  <c r="O1840" i="93"/>
  <c r="O1946" i="94"/>
  <c r="O1871" i="93"/>
  <c r="O1978" i="94"/>
  <c r="P1901" i="93"/>
  <c r="H16" i="86"/>
  <c r="E31" i="86"/>
  <c r="H36" i="86"/>
  <c r="E56" i="86"/>
  <c r="A1" i="89"/>
  <c r="H1" i="91"/>
  <c r="E1661" i="94"/>
  <c r="K1879" i="94"/>
  <c r="U460" i="94"/>
  <c r="X772" i="94"/>
  <c r="AF772" i="94"/>
  <c r="AN772" i="94"/>
  <c r="AV772" i="94"/>
  <c r="BD772" i="94"/>
  <c r="BL772" i="94"/>
  <c r="BT772" i="94"/>
  <c r="CB772" i="94"/>
  <c r="CJ772" i="94"/>
  <c r="CR772" i="94"/>
  <c r="CZ772" i="94"/>
  <c r="DH772" i="94"/>
  <c r="DP772" i="94"/>
  <c r="DX772" i="94"/>
  <c r="EF772" i="94"/>
  <c r="EN772" i="94"/>
  <c r="EV772" i="94"/>
  <c r="FD772" i="94"/>
  <c r="FL772" i="94"/>
  <c r="FT772" i="94"/>
  <c r="GB772" i="94"/>
  <c r="GJ772" i="94"/>
  <c r="GR772" i="94"/>
  <c r="GZ772" i="94"/>
  <c r="HH772" i="94"/>
  <c r="HP772" i="94"/>
  <c r="HX772" i="94"/>
  <c r="IF772" i="94"/>
  <c r="IN772" i="94"/>
  <c r="IV772" i="94"/>
  <c r="JD772" i="94"/>
  <c r="JL772" i="94"/>
  <c r="JT772" i="94"/>
  <c r="KB772" i="94"/>
  <c r="KJ772" i="94"/>
  <c r="KR772" i="94"/>
  <c r="KZ772" i="94"/>
  <c r="LH772" i="94"/>
  <c r="LP772" i="94"/>
  <c r="LX772" i="94"/>
  <c r="MF772" i="94"/>
  <c r="MN772" i="94"/>
  <c r="AB773" i="94"/>
  <c r="AJ773" i="94"/>
  <c r="AR773" i="94"/>
  <c r="AZ773" i="94"/>
  <c r="BH773" i="94"/>
  <c r="BP773" i="94"/>
  <c r="BX773" i="94"/>
  <c r="CF773" i="94"/>
  <c r="CN773" i="94"/>
  <c r="CV773" i="94"/>
  <c r="DD773" i="94"/>
  <c r="DL773" i="94"/>
  <c r="DT773" i="94"/>
  <c r="EB773" i="94"/>
  <c r="EJ773" i="94"/>
  <c r="ER773" i="94"/>
  <c r="EZ773" i="94"/>
  <c r="FH773" i="94"/>
  <c r="FP773" i="94"/>
  <c r="FX773" i="94"/>
  <c r="GF773" i="94"/>
  <c r="GN773" i="94"/>
  <c r="GV773" i="94"/>
  <c r="HD773" i="94"/>
  <c r="HL773" i="94"/>
  <c r="HT773" i="94"/>
  <c r="IB773" i="94"/>
  <c r="IJ773" i="94"/>
  <c r="IR773" i="94"/>
  <c r="IZ773" i="94"/>
  <c r="JH773" i="94"/>
  <c r="JP773" i="94"/>
  <c r="JX773" i="94"/>
  <c r="KF773" i="94"/>
  <c r="KN773" i="94"/>
  <c r="KV773" i="94"/>
  <c r="LD773" i="94"/>
  <c r="LL773" i="94"/>
  <c r="LT773" i="94"/>
  <c r="MB773" i="94"/>
  <c r="MJ773" i="94"/>
  <c r="MR773" i="94"/>
  <c r="X774" i="94"/>
  <c r="AF774" i="94"/>
  <c r="AN774" i="94"/>
  <c r="AV774" i="94"/>
  <c r="BD774" i="94"/>
  <c r="BL774" i="94"/>
  <c r="BT774" i="94"/>
  <c r="CB774" i="94"/>
  <c r="CJ774" i="94"/>
  <c r="CR774" i="94"/>
  <c r="CZ774" i="94"/>
  <c r="DH774" i="94"/>
  <c r="DP774" i="94"/>
  <c r="DX774" i="94"/>
  <c r="EF774" i="94"/>
  <c r="EN774" i="94"/>
  <c r="EV774" i="94"/>
  <c r="FD774" i="94"/>
  <c r="FL774" i="94"/>
  <c r="FT774" i="94"/>
  <c r="GB774" i="94"/>
  <c r="GJ774" i="94"/>
  <c r="GR774" i="94"/>
  <c r="GZ774" i="94"/>
  <c r="HH774" i="94"/>
  <c r="HP774" i="94"/>
  <c r="HX774" i="94"/>
  <c r="IF774" i="94"/>
  <c r="IN774" i="94"/>
  <c r="IV774" i="94"/>
  <c r="JD774" i="94"/>
  <c r="JL774" i="94"/>
  <c r="JT774" i="94"/>
  <c r="KB774" i="94"/>
  <c r="KJ774" i="94"/>
  <c r="KR774" i="94"/>
  <c r="KZ774" i="94"/>
  <c r="LH774" i="94"/>
  <c r="LP774" i="94"/>
  <c r="LX774" i="94"/>
  <c r="MF774" i="94"/>
  <c r="MN774" i="94"/>
  <c r="AB775" i="94"/>
  <c r="AJ775" i="94"/>
  <c r="AR775" i="94"/>
  <c r="AZ775" i="94"/>
  <c r="BH775" i="94"/>
  <c r="BP775" i="94"/>
  <c r="BX775" i="94"/>
  <c r="CF775" i="94"/>
  <c r="CN775" i="94"/>
  <c r="CV775" i="94"/>
  <c r="DD775" i="94"/>
  <c r="DL775" i="94"/>
  <c r="DT775" i="94"/>
  <c r="EB775" i="94"/>
  <c r="EJ775" i="94"/>
  <c r="ER775" i="94"/>
  <c r="EZ775" i="94"/>
  <c r="FH775" i="94"/>
  <c r="FP775" i="94"/>
  <c r="FX775" i="94"/>
  <c r="GF775" i="94"/>
  <c r="GN775" i="94"/>
  <c r="GV775" i="94"/>
  <c r="HD775" i="94"/>
  <c r="HL775" i="94"/>
  <c r="HT775" i="94"/>
  <c r="IB775" i="94"/>
  <c r="IJ775" i="94"/>
  <c r="IR775" i="94"/>
  <c r="IZ775" i="94"/>
  <c r="JH775" i="94"/>
  <c r="JP775" i="94"/>
  <c r="JX775" i="94"/>
  <c r="KF775" i="94"/>
  <c r="KN775" i="94"/>
  <c r="KV775" i="94"/>
  <c r="LD775" i="94"/>
  <c r="LL775" i="94"/>
  <c r="LT775" i="94"/>
  <c r="MB775" i="94"/>
  <c r="MJ775" i="94"/>
  <c r="MR775" i="94"/>
  <c r="X776" i="94"/>
  <c r="AF776" i="94"/>
  <c r="AN776" i="94"/>
  <c r="AW776" i="94"/>
  <c r="BF776" i="94"/>
  <c r="BO776" i="94"/>
  <c r="BX776" i="94"/>
  <c r="CG776" i="94"/>
  <c r="CP776" i="94"/>
  <c r="CY776" i="94"/>
  <c r="DI776" i="94"/>
  <c r="DR776" i="94"/>
  <c r="EA776" i="94"/>
  <c r="EJ776" i="94"/>
  <c r="ES776" i="94"/>
  <c r="FB776" i="94"/>
  <c r="FK776" i="94"/>
  <c r="FU776" i="94"/>
  <c r="GD776" i="94"/>
  <c r="GM776" i="94"/>
  <c r="GV776" i="94"/>
  <c r="HE776" i="94"/>
  <c r="HN776" i="94"/>
  <c r="HW776" i="94"/>
  <c r="IG776" i="94"/>
  <c r="IP776" i="94"/>
  <c r="IY776" i="94"/>
  <c r="JH776" i="94"/>
  <c r="JQ776" i="94"/>
  <c r="JZ776" i="94"/>
  <c r="KI776" i="94"/>
  <c r="KS776" i="94"/>
  <c r="LB776" i="94"/>
  <c r="LK776" i="94"/>
  <c r="LT776" i="94"/>
  <c r="MC776" i="94"/>
  <c r="ML776" i="94"/>
  <c r="AC777" i="94"/>
  <c r="AL777" i="94"/>
  <c r="AU777" i="94"/>
  <c r="BD777" i="94"/>
  <c r="BM777" i="94"/>
  <c r="BV777" i="94"/>
  <c r="CE777" i="94"/>
  <c r="CO777" i="94"/>
  <c r="CX777" i="94"/>
  <c r="DG777" i="94"/>
  <c r="DP777" i="94"/>
  <c r="DY777" i="94"/>
  <c r="EH777" i="94"/>
  <c r="EQ777" i="94"/>
  <c r="FA777" i="94"/>
  <c r="FJ777" i="94"/>
  <c r="FS777" i="94"/>
  <c r="GB777" i="94"/>
  <c r="GK777" i="94"/>
  <c r="GT777" i="94"/>
  <c r="HC777" i="94"/>
  <c r="HM777" i="94"/>
  <c r="HV777" i="94"/>
  <c r="IE777" i="94"/>
  <c r="IN777" i="94"/>
  <c r="IW777" i="94"/>
  <c r="JF777" i="94"/>
  <c r="JO777" i="94"/>
  <c r="JY777" i="94"/>
  <c r="KH777" i="94"/>
  <c r="KQ777" i="94"/>
  <c r="KZ777" i="94"/>
  <c r="LI777" i="94"/>
  <c r="LR777" i="94"/>
  <c r="MA777" i="94"/>
  <c r="MK777" i="94"/>
  <c r="A778" i="94"/>
  <c r="AA778" i="94"/>
  <c r="AJ778" i="94"/>
  <c r="AT778" i="94"/>
  <c r="BE778" i="94"/>
  <c r="BQ778" i="94"/>
  <c r="CC778" i="94"/>
  <c r="CP778" i="94"/>
  <c r="DB778" i="94"/>
  <c r="DO778" i="94"/>
  <c r="EC778" i="94"/>
  <c r="EO778" i="94"/>
  <c r="FB778" i="94"/>
  <c r="FN778" i="94"/>
  <c r="GA778" i="94"/>
  <c r="GO778" i="94"/>
  <c r="HA778" i="94"/>
  <c r="HN778" i="94"/>
  <c r="HZ778" i="94"/>
  <c r="IM778" i="94"/>
  <c r="JA778" i="94"/>
  <c r="JM778" i="94"/>
  <c r="JZ778" i="94"/>
  <c r="KL778" i="94"/>
  <c r="KY778" i="94"/>
  <c r="LM778" i="94"/>
  <c r="LY778" i="94"/>
  <c r="ML778" i="94"/>
  <c r="GA779" i="94"/>
  <c r="EE779" i="94"/>
  <c r="GB779" i="94"/>
  <c r="EF779" i="94"/>
  <c r="IG779" i="94"/>
  <c r="IS779" i="94"/>
  <c r="JF779" i="94"/>
  <c r="JR779" i="94"/>
  <c r="KE779" i="94"/>
  <c r="KS779" i="94"/>
  <c r="LE779" i="94"/>
  <c r="AC780" i="94"/>
  <c r="AO780" i="94"/>
  <c r="BB780" i="94"/>
  <c r="BN780" i="94"/>
  <c r="CA780" i="94"/>
  <c r="CO780" i="94"/>
  <c r="DA780" i="94"/>
  <c r="DN780" i="94"/>
  <c r="DZ780" i="94"/>
  <c r="EM780" i="94"/>
  <c r="FA780" i="94"/>
  <c r="FM780" i="94"/>
  <c r="FZ780" i="94"/>
  <c r="GL780" i="94"/>
  <c r="GY780" i="94"/>
  <c r="HM780" i="94"/>
  <c r="LJ780" i="94"/>
  <c r="LW780" i="94"/>
  <c r="MR781" i="94"/>
  <c r="AH781" i="94"/>
  <c r="AT781" i="94"/>
  <c r="BG781" i="94"/>
  <c r="BU781" i="94"/>
  <c r="CG781" i="94"/>
  <c r="CT781" i="94"/>
  <c r="DF781" i="94"/>
  <c r="DS781" i="94"/>
  <c r="EG781" i="94"/>
  <c r="ES781" i="94"/>
  <c r="FF781" i="94"/>
  <c r="FR781" i="94"/>
  <c r="GS781" i="94"/>
  <c r="HE781" i="94"/>
  <c r="HR781" i="94"/>
  <c r="ID781" i="94"/>
  <c r="IQ781" i="94"/>
  <c r="JE781" i="94"/>
  <c r="JQ781" i="94"/>
  <c r="KD781" i="94"/>
  <c r="KP781" i="94"/>
  <c r="LC781" i="94"/>
  <c r="LQ781" i="94"/>
  <c r="MC781" i="94"/>
  <c r="MP781" i="94"/>
  <c r="IB782" i="94"/>
  <c r="IR782" i="94"/>
  <c r="JE782" i="94"/>
  <c r="JT782" i="94"/>
  <c r="KH782" i="94"/>
  <c r="KW782" i="94"/>
  <c r="MO782" i="94"/>
  <c r="IC783" i="94"/>
  <c r="IS783" i="94"/>
  <c r="JL783" i="94"/>
  <c r="KD783" i="94"/>
  <c r="KT783" i="94"/>
  <c r="MQ784" i="94"/>
  <c r="MI784" i="94"/>
  <c r="MA784" i="94"/>
  <c r="LS784" i="94"/>
  <c r="LK784" i="94"/>
  <c r="LC784" i="94"/>
  <c r="KU784" i="94"/>
  <c r="KM784" i="94"/>
  <c r="KE784" i="94"/>
  <c r="JW784" i="94"/>
  <c r="JO784" i="94"/>
  <c r="JG784" i="94"/>
  <c r="IY784" i="94"/>
  <c r="IQ784" i="94"/>
  <c r="II784" i="94"/>
  <c r="IA784" i="94"/>
  <c r="HS784" i="94"/>
  <c r="HK784" i="94"/>
  <c r="HC784" i="94"/>
  <c r="GU784" i="94"/>
  <c r="GM784" i="94"/>
  <c r="GE784" i="94"/>
  <c r="FW784" i="94"/>
  <c r="FO784" i="94"/>
  <c r="FG784" i="94"/>
  <c r="EY784" i="94"/>
  <c r="EQ784" i="94"/>
  <c r="EI784" i="94"/>
  <c r="EA784" i="94"/>
  <c r="DS784" i="94"/>
  <c r="DK784" i="94"/>
  <c r="DC784" i="94"/>
  <c r="CU784" i="94"/>
  <c r="CM784" i="94"/>
  <c r="CE784" i="94"/>
  <c r="BW784" i="94"/>
  <c r="BO784" i="94"/>
  <c r="BG784" i="94"/>
  <c r="AY784" i="94"/>
  <c r="AQ784" i="94"/>
  <c r="AI784" i="94"/>
  <c r="AA784" i="94"/>
  <c r="MP784" i="94"/>
  <c r="MH784" i="94"/>
  <c r="LZ784" i="94"/>
  <c r="LR784" i="94"/>
  <c r="LB784" i="94"/>
  <c r="KT784" i="94"/>
  <c r="KL784" i="94"/>
  <c r="KD784" i="94"/>
  <c r="JV784" i="94"/>
  <c r="JN784" i="94"/>
  <c r="JF784" i="94"/>
  <c r="IX784" i="94"/>
  <c r="IP784" i="94"/>
  <c r="IH784" i="94"/>
  <c r="HZ784" i="94"/>
  <c r="HR784" i="94"/>
  <c r="HJ784" i="94"/>
  <c r="HB784" i="94"/>
  <c r="GT784" i="94"/>
  <c r="GL784" i="94"/>
  <c r="GD784" i="94"/>
  <c r="FV784" i="94"/>
  <c r="FN784" i="94"/>
  <c r="FF784" i="94"/>
  <c r="EX784" i="94"/>
  <c r="EP784" i="94"/>
  <c r="EH784" i="94"/>
  <c r="DZ784" i="94"/>
  <c r="DR784" i="94"/>
  <c r="DJ784" i="94"/>
  <c r="DB784" i="94"/>
  <c r="CT784" i="94"/>
  <c r="CL784" i="94"/>
  <c r="CD784" i="94"/>
  <c r="BV784" i="94"/>
  <c r="BN784" i="94"/>
  <c r="BF784" i="94"/>
  <c r="AX784" i="94"/>
  <c r="AP784" i="94"/>
  <c r="AH784" i="94"/>
  <c r="Z784" i="94"/>
  <c r="MR784" i="94"/>
  <c r="MF784" i="94"/>
  <c r="LV784" i="94"/>
  <c r="LL784" i="94"/>
  <c r="KZ784" i="94"/>
  <c r="KP784" i="94"/>
  <c r="KF784" i="94"/>
  <c r="JT784" i="94"/>
  <c r="JJ784" i="94"/>
  <c r="IZ784" i="94"/>
  <c r="IN784" i="94"/>
  <c r="ID784" i="94"/>
  <c r="HT784" i="94"/>
  <c r="HH784" i="94"/>
  <c r="GX784" i="94"/>
  <c r="GN784" i="94"/>
  <c r="GB784" i="94"/>
  <c r="FR784" i="94"/>
  <c r="FH784" i="94"/>
  <c r="EV784" i="94"/>
  <c r="EL784" i="94"/>
  <c r="EB784" i="94"/>
  <c r="DP784" i="94"/>
  <c r="DF784" i="94"/>
  <c r="CV784" i="94"/>
  <c r="CJ784" i="94"/>
  <c r="BZ784" i="94"/>
  <c r="BP784" i="94"/>
  <c r="BD784" i="94"/>
  <c r="AT784" i="94"/>
  <c r="AJ784" i="94"/>
  <c r="X784" i="94"/>
  <c r="MM784" i="94"/>
  <c r="MC784" i="94"/>
  <c r="LQ784" i="94"/>
  <c r="LG784" i="94"/>
  <c r="KW784" i="94"/>
  <c r="KK784" i="94"/>
  <c r="KA784" i="94"/>
  <c r="JQ784" i="94"/>
  <c r="JE784" i="94"/>
  <c r="IU784" i="94"/>
  <c r="IK784" i="94"/>
  <c r="HY784" i="94"/>
  <c r="HO784" i="94"/>
  <c r="HE784" i="94"/>
  <c r="GS784" i="94"/>
  <c r="GI784" i="94"/>
  <c r="FY784" i="94"/>
  <c r="FM784" i="94"/>
  <c r="FC784" i="94"/>
  <c r="ES784" i="94"/>
  <c r="EG784" i="94"/>
  <c r="DW784" i="94"/>
  <c r="DM784" i="94"/>
  <c r="DA784" i="94"/>
  <c r="CQ784" i="94"/>
  <c r="CG784" i="94"/>
  <c r="BU784" i="94"/>
  <c r="BK784" i="94"/>
  <c r="BA784" i="94"/>
  <c r="AO784" i="94"/>
  <c r="AE784" i="94"/>
  <c r="ML784" i="94"/>
  <c r="MB784" i="94"/>
  <c r="LP784" i="94"/>
  <c r="LF784" i="94"/>
  <c r="KV784" i="94"/>
  <c r="KJ784" i="94"/>
  <c r="JZ784" i="94"/>
  <c r="JP784" i="94"/>
  <c r="JD784" i="94"/>
  <c r="IT784" i="94"/>
  <c r="IJ784" i="94"/>
  <c r="HX784" i="94"/>
  <c r="HN784" i="94"/>
  <c r="HD784" i="94"/>
  <c r="GR784" i="94"/>
  <c r="GH784" i="94"/>
  <c r="FX784" i="94"/>
  <c r="FL784" i="94"/>
  <c r="FB784" i="94"/>
  <c r="ER784" i="94"/>
  <c r="EF784" i="94"/>
  <c r="DV784" i="94"/>
  <c r="DL784" i="94"/>
  <c r="CZ784" i="94"/>
  <c r="CP784" i="94"/>
  <c r="CF784" i="94"/>
  <c r="BT784" i="94"/>
  <c r="BJ784" i="94"/>
  <c r="AZ784" i="94"/>
  <c r="AN784" i="94"/>
  <c r="AD784" i="94"/>
  <c r="MS784" i="94"/>
  <c r="MG784" i="94"/>
  <c r="LW784" i="94"/>
  <c r="LM784" i="94"/>
  <c r="LA784" i="94"/>
  <c r="KQ784" i="94"/>
  <c r="KG784" i="94"/>
  <c r="JU784" i="94"/>
  <c r="JK784" i="94"/>
  <c r="JA784" i="94"/>
  <c r="IO784" i="94"/>
  <c r="IE784" i="94"/>
  <c r="HU784" i="94"/>
  <c r="HI784" i="94"/>
  <c r="GY784" i="94"/>
  <c r="GO784" i="94"/>
  <c r="GC784" i="94"/>
  <c r="FS784" i="94"/>
  <c r="FI784" i="94"/>
  <c r="EW784" i="94"/>
  <c r="EM784" i="94"/>
  <c r="EC784" i="94"/>
  <c r="DQ784" i="94"/>
  <c r="DG784" i="94"/>
  <c r="CW784" i="94"/>
  <c r="CK784" i="94"/>
  <c r="CA784" i="94"/>
  <c r="BQ784" i="94"/>
  <c r="BE784" i="94"/>
  <c r="AU784" i="94"/>
  <c r="AK784" i="94"/>
  <c r="Y784" i="94"/>
  <c r="W784" i="94"/>
  <c r="AS784" i="94"/>
  <c r="BM784" i="94"/>
  <c r="CI784" i="94"/>
  <c r="DE784" i="94"/>
  <c r="DY784" i="94"/>
  <c r="EU784" i="94"/>
  <c r="FQ784" i="94"/>
  <c r="GK784" i="94"/>
  <c r="HG784" i="94"/>
  <c r="IC784" i="94"/>
  <c r="IW784" i="94"/>
  <c r="JS784" i="94"/>
  <c r="KO784" i="94"/>
  <c r="LI784" i="94"/>
  <c r="ME784" i="94"/>
  <c r="GS786" i="94"/>
  <c r="HO786" i="94"/>
  <c r="IK786" i="94"/>
  <c r="JE786" i="94"/>
  <c r="KA786" i="94"/>
  <c r="KW786" i="94"/>
  <c r="LQ786" i="94"/>
  <c r="MS787" i="94"/>
  <c r="MI787" i="94"/>
  <c r="LC787" i="94"/>
  <c r="KS787" i="94"/>
  <c r="KG787" i="94"/>
  <c r="JW787" i="94"/>
  <c r="JM787" i="94"/>
  <c r="JA787" i="94"/>
  <c r="IQ787" i="94"/>
  <c r="IG787" i="94"/>
  <c r="MR787" i="94"/>
  <c r="MH787" i="94"/>
  <c r="LB787" i="94"/>
  <c r="KR787" i="94"/>
  <c r="KF787" i="94"/>
  <c r="JV787" i="94"/>
  <c r="JL787" i="94"/>
  <c r="IZ787" i="94"/>
  <c r="IP787" i="94"/>
  <c r="IF787" i="94"/>
  <c r="MP787" i="94"/>
  <c r="MF787" i="94"/>
  <c r="KZ787" i="94"/>
  <c r="KN787" i="94"/>
  <c r="KD787" i="94"/>
  <c r="JT787" i="94"/>
  <c r="JH787" i="94"/>
  <c r="IX787" i="94"/>
  <c r="IN787" i="94"/>
  <c r="JQ787" i="94"/>
  <c r="A788" i="94"/>
  <c r="MM788" i="94"/>
  <c r="ML788" i="94"/>
  <c r="MJ788" i="94"/>
  <c r="AT788" i="94"/>
  <c r="CJ788" i="94"/>
  <c r="EB788" i="94"/>
  <c r="FR788" i="94"/>
  <c r="HH788" i="94"/>
  <c r="MF788" i="94"/>
  <c r="IZ789" i="94"/>
  <c r="KR789" i="94"/>
  <c r="LJ791" i="94"/>
  <c r="LF791" i="94"/>
  <c r="LI791" i="94"/>
  <c r="LH791" i="94"/>
  <c r="LG791" i="94"/>
  <c r="A791" i="94"/>
  <c r="BI791" i="94"/>
  <c r="DA791" i="94"/>
  <c r="EQ791" i="94"/>
  <c r="GG791" i="94"/>
  <c r="IL791" i="94"/>
  <c r="BK794" i="94"/>
  <c r="EQ794" i="94"/>
  <c r="HW794" i="94"/>
  <c r="LW794" i="94"/>
  <c r="CY795" i="94"/>
  <c r="GY795" i="94"/>
  <c r="CN796" i="94"/>
  <c r="EP802" i="94"/>
  <c r="C994" i="93"/>
  <c r="C1055" i="94"/>
  <c r="K994" i="93"/>
  <c r="K1055" i="94"/>
  <c r="H995" i="93"/>
  <c r="H1056" i="94"/>
  <c r="F996" i="93"/>
  <c r="F1057" i="94"/>
  <c r="H1024" i="93"/>
  <c r="H1087" i="94"/>
  <c r="F1025" i="93"/>
  <c r="F1088" i="94"/>
  <c r="D1026" i="93"/>
  <c r="D1089" i="94"/>
  <c r="B1053" i="93"/>
  <c r="B1118" i="94"/>
  <c r="J1053" i="93"/>
  <c r="J1118" i="94"/>
  <c r="H1054" i="93"/>
  <c r="H1119" i="94"/>
  <c r="F1055" i="93"/>
  <c r="F1120" i="94"/>
  <c r="E1081" i="93"/>
  <c r="E1148" i="94"/>
  <c r="C1083" i="93"/>
  <c r="C1150" i="94"/>
  <c r="O1611" i="93"/>
  <c r="O1709" i="94"/>
  <c r="L1934" i="94" s="1"/>
  <c r="L286" i="72"/>
  <c r="L1833" i="93" s="1"/>
  <c r="K26" i="84"/>
  <c r="A47" i="84"/>
  <c r="C11" i="86"/>
  <c r="I16" i="86"/>
  <c r="F31" i="86"/>
  <c r="I36" i="86"/>
  <c r="E15" i="89"/>
  <c r="A2" i="90"/>
  <c r="Y772" i="94"/>
  <c r="AG772" i="94"/>
  <c r="AO772" i="94"/>
  <c r="AW772" i="94"/>
  <c r="BE772" i="94"/>
  <c r="BM772" i="94"/>
  <c r="BU772" i="94"/>
  <c r="CC772" i="94"/>
  <c r="CK772" i="94"/>
  <c r="CS772" i="94"/>
  <c r="DA772" i="94"/>
  <c r="DI772" i="94"/>
  <c r="DQ772" i="94"/>
  <c r="DY772" i="94"/>
  <c r="EG772" i="94"/>
  <c r="EO772" i="94"/>
  <c r="EW772" i="94"/>
  <c r="FE772" i="94"/>
  <c r="FM772" i="94"/>
  <c r="FU772" i="94"/>
  <c r="GC772" i="94"/>
  <c r="GK772" i="94"/>
  <c r="GS772" i="94"/>
  <c r="HA772" i="94"/>
  <c r="HI772" i="94"/>
  <c r="HQ772" i="94"/>
  <c r="HY772" i="94"/>
  <c r="IG772" i="94"/>
  <c r="IO772" i="94"/>
  <c r="IW772" i="94"/>
  <c r="JE772" i="94"/>
  <c r="JM772" i="94"/>
  <c r="JU772" i="94"/>
  <c r="KC772" i="94"/>
  <c r="KK772" i="94"/>
  <c r="KS772" i="94"/>
  <c r="LA772" i="94"/>
  <c r="LI772" i="94"/>
  <c r="LQ772" i="94"/>
  <c r="LY772" i="94"/>
  <c r="MG772" i="94"/>
  <c r="MO772" i="94"/>
  <c r="AC773" i="94"/>
  <c r="AK773" i="94"/>
  <c r="AS773" i="94"/>
  <c r="BA773" i="94"/>
  <c r="BI773" i="94"/>
  <c r="BQ773" i="94"/>
  <c r="BY773" i="94"/>
  <c r="CG773" i="94"/>
  <c r="CO773" i="94"/>
  <c r="CW773" i="94"/>
  <c r="DE773" i="94"/>
  <c r="DM773" i="94"/>
  <c r="DU773" i="94"/>
  <c r="EC773" i="94"/>
  <c r="EK773" i="94"/>
  <c r="ES773" i="94"/>
  <c r="FA773" i="94"/>
  <c r="FI773" i="94"/>
  <c r="FQ773" i="94"/>
  <c r="FY773" i="94"/>
  <c r="GG773" i="94"/>
  <c r="GO773" i="94"/>
  <c r="GW773" i="94"/>
  <c r="HE773" i="94"/>
  <c r="HM773" i="94"/>
  <c r="HU773" i="94"/>
  <c r="IC773" i="94"/>
  <c r="IK773" i="94"/>
  <c r="IS773" i="94"/>
  <c r="JA773" i="94"/>
  <c r="JI773" i="94"/>
  <c r="JQ773" i="94"/>
  <c r="JY773" i="94"/>
  <c r="KG773" i="94"/>
  <c r="KO773" i="94"/>
  <c r="KW773" i="94"/>
  <c r="LE773" i="94"/>
  <c r="LM773" i="94"/>
  <c r="LU773" i="94"/>
  <c r="MC773" i="94"/>
  <c r="MK773" i="94"/>
  <c r="Y774" i="94"/>
  <c r="AG774" i="94"/>
  <c r="AO774" i="94"/>
  <c r="AW774" i="94"/>
  <c r="BE774" i="94"/>
  <c r="BM774" i="94"/>
  <c r="BU774" i="94"/>
  <c r="CC774" i="94"/>
  <c r="CK774" i="94"/>
  <c r="CS774" i="94"/>
  <c r="DA774" i="94"/>
  <c r="DI774" i="94"/>
  <c r="DQ774" i="94"/>
  <c r="DY774" i="94"/>
  <c r="EG774" i="94"/>
  <c r="EO774" i="94"/>
  <c r="EW774" i="94"/>
  <c r="FE774" i="94"/>
  <c r="FM774" i="94"/>
  <c r="FU774" i="94"/>
  <c r="GC774" i="94"/>
  <c r="GK774" i="94"/>
  <c r="GS774" i="94"/>
  <c r="HA774" i="94"/>
  <c r="HI774" i="94"/>
  <c r="HQ774" i="94"/>
  <c r="HY774" i="94"/>
  <c r="IG774" i="94"/>
  <c r="IO774" i="94"/>
  <c r="IW774" i="94"/>
  <c r="JE774" i="94"/>
  <c r="JM774" i="94"/>
  <c r="JU774" i="94"/>
  <c r="KC774" i="94"/>
  <c r="KK774" i="94"/>
  <c r="KS774" i="94"/>
  <c r="LA774" i="94"/>
  <c r="LI774" i="94"/>
  <c r="LQ774" i="94"/>
  <c r="LY774" i="94"/>
  <c r="MG774" i="94"/>
  <c r="MO774" i="94"/>
  <c r="BI775" i="94"/>
  <c r="BQ775" i="94"/>
  <c r="BY775" i="94"/>
  <c r="CG775" i="94"/>
  <c r="CO775" i="94"/>
  <c r="CW775" i="94"/>
  <c r="DE775" i="94"/>
  <c r="DM775" i="94"/>
  <c r="DU775" i="94"/>
  <c r="EC775" i="94"/>
  <c r="EK775" i="94"/>
  <c r="ES775" i="94"/>
  <c r="FA775" i="94"/>
  <c r="FI775" i="94"/>
  <c r="FQ775" i="94"/>
  <c r="FY775" i="94"/>
  <c r="GG775" i="94"/>
  <c r="GO775" i="94"/>
  <c r="GW775" i="94"/>
  <c r="HE775" i="94"/>
  <c r="HM775" i="94"/>
  <c r="HU775" i="94"/>
  <c r="IC775" i="94"/>
  <c r="IK775" i="94"/>
  <c r="IS775" i="94"/>
  <c r="JA775" i="94"/>
  <c r="JI775" i="94"/>
  <c r="JQ775" i="94"/>
  <c r="JY775" i="94"/>
  <c r="KG775" i="94"/>
  <c r="KO775" i="94"/>
  <c r="KW775" i="94"/>
  <c r="LE775" i="94"/>
  <c r="LM775" i="94"/>
  <c r="LU775" i="94"/>
  <c r="MC775" i="94"/>
  <c r="MK775" i="94"/>
  <c r="Y776" i="94"/>
  <c r="AG776" i="94"/>
  <c r="AO776" i="94"/>
  <c r="AX776" i="94"/>
  <c r="BG776" i="94"/>
  <c r="BP776" i="94"/>
  <c r="BY776" i="94"/>
  <c r="CH776" i="94"/>
  <c r="CQ776" i="94"/>
  <c r="DA776" i="94"/>
  <c r="DJ776" i="94"/>
  <c r="DS776" i="94"/>
  <c r="EB776" i="94"/>
  <c r="EK776" i="94"/>
  <c r="ET776" i="94"/>
  <c r="FC776" i="94"/>
  <c r="FM776" i="94"/>
  <c r="FV776" i="94"/>
  <c r="GE776" i="94"/>
  <c r="GN776" i="94"/>
  <c r="GW776" i="94"/>
  <c r="HF776" i="94"/>
  <c r="HO776" i="94"/>
  <c r="HY776" i="94"/>
  <c r="IH776" i="94"/>
  <c r="IQ776" i="94"/>
  <c r="IZ776" i="94"/>
  <c r="JI776" i="94"/>
  <c r="JR776" i="94"/>
  <c r="KA776" i="94"/>
  <c r="KK776" i="94"/>
  <c r="KT776" i="94"/>
  <c r="LC776" i="94"/>
  <c r="LL776" i="94"/>
  <c r="LU776" i="94"/>
  <c r="MD776" i="94"/>
  <c r="MM776" i="94"/>
  <c r="MR777" i="94"/>
  <c r="AD777" i="94"/>
  <c r="AM777" i="94"/>
  <c r="AV777" i="94"/>
  <c r="BE777" i="94"/>
  <c r="BN777" i="94"/>
  <c r="BW777" i="94"/>
  <c r="CG777" i="94"/>
  <c r="CP777" i="94"/>
  <c r="CY777" i="94"/>
  <c r="DH777" i="94"/>
  <c r="DQ777" i="94"/>
  <c r="EI777" i="94"/>
  <c r="ES777" i="94"/>
  <c r="FB777" i="94"/>
  <c r="FK777" i="94"/>
  <c r="FT777" i="94"/>
  <c r="GC777" i="94"/>
  <c r="GL777" i="94"/>
  <c r="GU777" i="94"/>
  <c r="HE777" i="94"/>
  <c r="HN777" i="94"/>
  <c r="HW777" i="94"/>
  <c r="IF777" i="94"/>
  <c r="IO777" i="94"/>
  <c r="IX777" i="94"/>
  <c r="JG777" i="94"/>
  <c r="JQ777" i="94"/>
  <c r="JZ777" i="94"/>
  <c r="KI777" i="94"/>
  <c r="KR777" i="94"/>
  <c r="LA777" i="94"/>
  <c r="LS777" i="94"/>
  <c r="MC777" i="94"/>
  <c r="ML777" i="94"/>
  <c r="LH778" i="94"/>
  <c r="AB778" i="94"/>
  <c r="AK778" i="94"/>
  <c r="AU778" i="94"/>
  <c r="BF778" i="94"/>
  <c r="BR778" i="94"/>
  <c r="CD778" i="94"/>
  <c r="CQ778" i="94"/>
  <c r="DE778" i="94"/>
  <c r="DQ778" i="94"/>
  <c r="ED778" i="94"/>
  <c r="EP778" i="94"/>
  <c r="FC778" i="94"/>
  <c r="FQ778" i="94"/>
  <c r="GC778" i="94"/>
  <c r="GP778" i="94"/>
  <c r="HB778" i="94"/>
  <c r="HO778" i="94"/>
  <c r="IC778" i="94"/>
  <c r="IO778" i="94"/>
  <c r="JB778" i="94"/>
  <c r="JN778" i="94"/>
  <c r="KA778" i="94"/>
  <c r="KO778" i="94"/>
  <c r="LA778" i="94"/>
  <c r="LN778" i="94"/>
  <c r="LZ778" i="94"/>
  <c r="E811" i="94"/>
  <c r="F811" i="94"/>
  <c r="MM779" i="94"/>
  <c r="ME779" i="94"/>
  <c r="MN779" i="94"/>
  <c r="MF779" i="94"/>
  <c r="KY779" i="94"/>
  <c r="IH779" i="94"/>
  <c r="IT779" i="94"/>
  <c r="JG779" i="94"/>
  <c r="JU779" i="94"/>
  <c r="KG779" i="94"/>
  <c r="KT779" i="94"/>
  <c r="MG779" i="94"/>
  <c r="MS779" i="94"/>
  <c r="AD780" i="94"/>
  <c r="AP780" i="94"/>
  <c r="BC780" i="94"/>
  <c r="BQ780" i="94"/>
  <c r="CC780" i="94"/>
  <c r="CP780" i="94"/>
  <c r="DB780" i="94"/>
  <c r="DO780" i="94"/>
  <c r="EC780" i="94"/>
  <c r="EO780" i="94"/>
  <c r="FB780" i="94"/>
  <c r="FN780" i="94"/>
  <c r="GA780" i="94"/>
  <c r="GO780" i="94"/>
  <c r="HA780" i="94"/>
  <c r="HN780" i="94"/>
  <c r="LM780" i="94"/>
  <c r="LY780" i="94"/>
  <c r="GA781" i="94"/>
  <c r="EE781" i="94"/>
  <c r="GB781" i="94"/>
  <c r="EF781" i="94"/>
  <c r="AI781" i="94"/>
  <c r="AW781" i="94"/>
  <c r="BI781" i="94"/>
  <c r="BV781" i="94"/>
  <c r="CH781" i="94"/>
  <c r="CU781" i="94"/>
  <c r="DI781" i="94"/>
  <c r="DU781" i="94"/>
  <c r="EH781" i="94"/>
  <c r="ET781" i="94"/>
  <c r="FG781" i="94"/>
  <c r="FU781" i="94"/>
  <c r="GG781" i="94"/>
  <c r="GT781" i="94"/>
  <c r="HF781" i="94"/>
  <c r="HS781" i="94"/>
  <c r="IG781" i="94"/>
  <c r="IS781" i="94"/>
  <c r="JF781" i="94"/>
  <c r="JR781" i="94"/>
  <c r="KE781" i="94"/>
  <c r="KS781" i="94"/>
  <c r="LE781" i="94"/>
  <c r="LR781" i="94"/>
  <c r="MD781" i="94"/>
  <c r="ID782" i="94"/>
  <c r="IS782" i="94"/>
  <c r="JG782" i="94"/>
  <c r="JU782" i="94"/>
  <c r="KK782" i="94"/>
  <c r="KY782" i="94"/>
  <c r="MQ782" i="94"/>
  <c r="IF783" i="94"/>
  <c r="IX783" i="94"/>
  <c r="JN783" i="94"/>
  <c r="KE783" i="94"/>
  <c r="KU783" i="94"/>
  <c r="MF783" i="94"/>
  <c r="AB784" i="94"/>
  <c r="AV784" i="94"/>
  <c r="BR784" i="94"/>
  <c r="CN784" i="94"/>
  <c r="DH784" i="94"/>
  <c r="ED784" i="94"/>
  <c r="EZ784" i="94"/>
  <c r="FT784" i="94"/>
  <c r="GP784" i="94"/>
  <c r="HL784" i="94"/>
  <c r="IF784" i="94"/>
  <c r="JB784" i="94"/>
  <c r="JX784" i="94"/>
  <c r="KR784" i="94"/>
  <c r="LN784" i="94"/>
  <c r="MJ784" i="94"/>
  <c r="A786" i="94"/>
  <c r="GV786" i="94"/>
  <c r="HP786" i="94"/>
  <c r="IL786" i="94"/>
  <c r="JH786" i="94"/>
  <c r="KB786" i="94"/>
  <c r="KX786" i="94"/>
  <c r="LT786" i="94"/>
  <c r="MN786" i="94"/>
  <c r="IJ787" i="94"/>
  <c r="KB787" i="94"/>
  <c r="AU788" i="94"/>
  <c r="CK788" i="94"/>
  <c r="EC788" i="94"/>
  <c r="FS788" i="94"/>
  <c r="HI788" i="94"/>
  <c r="MG788" i="94"/>
  <c r="JI789" i="94"/>
  <c r="LA789" i="94"/>
  <c r="MQ789" i="94"/>
  <c r="MR791" i="94"/>
  <c r="MJ791" i="94"/>
  <c r="MB791" i="94"/>
  <c r="LT791" i="94"/>
  <c r="LL791" i="94"/>
  <c r="LD791" i="94"/>
  <c r="KV791" i="94"/>
  <c r="KN791" i="94"/>
  <c r="KF791" i="94"/>
  <c r="JX791" i="94"/>
  <c r="JP791" i="94"/>
  <c r="JH791" i="94"/>
  <c r="IZ791" i="94"/>
  <c r="IR791" i="94"/>
  <c r="IJ791" i="94"/>
  <c r="IB791" i="94"/>
  <c r="HT791" i="94"/>
  <c r="HL791" i="94"/>
  <c r="HD791" i="94"/>
  <c r="GV791" i="94"/>
  <c r="MP791" i="94"/>
  <c r="MH791" i="94"/>
  <c r="LZ791" i="94"/>
  <c r="LR791" i="94"/>
  <c r="LB791" i="94"/>
  <c r="KT791" i="94"/>
  <c r="KL791" i="94"/>
  <c r="KD791" i="94"/>
  <c r="JV791" i="94"/>
  <c r="JN791" i="94"/>
  <c r="JF791" i="94"/>
  <c r="IX791" i="94"/>
  <c r="IP791" i="94"/>
  <c r="IH791" i="94"/>
  <c r="HZ791" i="94"/>
  <c r="HR791" i="94"/>
  <c r="HJ791" i="94"/>
  <c r="HB791" i="94"/>
  <c r="GT791" i="94"/>
  <c r="GL791" i="94"/>
  <c r="ML791" i="94"/>
  <c r="MA791" i="94"/>
  <c r="LP791" i="94"/>
  <c r="KU791" i="94"/>
  <c r="KJ791" i="94"/>
  <c r="JZ791" i="94"/>
  <c r="JO791" i="94"/>
  <c r="JD791" i="94"/>
  <c r="IT791" i="94"/>
  <c r="II791" i="94"/>
  <c r="HX791" i="94"/>
  <c r="HN791" i="94"/>
  <c r="HC791" i="94"/>
  <c r="GR791" i="94"/>
  <c r="GI791" i="94"/>
  <c r="GA791" i="94"/>
  <c r="FS791" i="94"/>
  <c r="FK791" i="94"/>
  <c r="FC791" i="94"/>
  <c r="EU791" i="94"/>
  <c r="EM791" i="94"/>
  <c r="EE791" i="94"/>
  <c r="DW791" i="94"/>
  <c r="DO791" i="94"/>
  <c r="DG791" i="94"/>
  <c r="CY791" i="94"/>
  <c r="CQ791" i="94"/>
  <c r="CI791" i="94"/>
  <c r="CA791" i="94"/>
  <c r="BS791" i="94"/>
  <c r="BK791" i="94"/>
  <c r="BC791" i="94"/>
  <c r="AU791" i="94"/>
  <c r="AM791" i="94"/>
  <c r="AE791" i="94"/>
  <c r="W791" i="94"/>
  <c r="MK791" i="94"/>
  <c r="LY791" i="94"/>
  <c r="LO791" i="94"/>
  <c r="LE791" i="94"/>
  <c r="KS791" i="94"/>
  <c r="KI791" i="94"/>
  <c r="JY791" i="94"/>
  <c r="JM791" i="94"/>
  <c r="JC791" i="94"/>
  <c r="IS791" i="94"/>
  <c r="IG791" i="94"/>
  <c r="HW791" i="94"/>
  <c r="HM791" i="94"/>
  <c r="HA791" i="94"/>
  <c r="GQ791" i="94"/>
  <c r="GH791" i="94"/>
  <c r="FZ791" i="94"/>
  <c r="FR791" i="94"/>
  <c r="FJ791" i="94"/>
  <c r="FB791" i="94"/>
  <c r="ET791" i="94"/>
  <c r="EL791" i="94"/>
  <c r="ED791" i="94"/>
  <c r="DV791" i="94"/>
  <c r="DN791" i="94"/>
  <c r="DF791" i="94"/>
  <c r="CX791" i="94"/>
  <c r="CP791" i="94"/>
  <c r="CH791" i="94"/>
  <c r="BZ791" i="94"/>
  <c r="BR791" i="94"/>
  <c r="BJ791" i="94"/>
  <c r="BB791" i="94"/>
  <c r="AT791" i="94"/>
  <c r="AL791" i="94"/>
  <c r="AD791" i="94"/>
  <c r="MO791" i="94"/>
  <c r="MC791" i="94"/>
  <c r="LM791" i="94"/>
  <c r="KY791" i="94"/>
  <c r="KK791" i="94"/>
  <c r="JU791" i="94"/>
  <c r="JI791" i="94"/>
  <c r="IU791" i="94"/>
  <c r="IE791" i="94"/>
  <c r="HQ791" i="94"/>
  <c r="HE791" i="94"/>
  <c r="GO791" i="94"/>
  <c r="GD791" i="94"/>
  <c r="FT791" i="94"/>
  <c r="FH791" i="94"/>
  <c r="EX791" i="94"/>
  <c r="EN791" i="94"/>
  <c r="EB791" i="94"/>
  <c r="DR791" i="94"/>
  <c r="DH791" i="94"/>
  <c r="CV791" i="94"/>
  <c r="CL791" i="94"/>
  <c r="CB791" i="94"/>
  <c r="BP791" i="94"/>
  <c r="BF791" i="94"/>
  <c r="AV791" i="94"/>
  <c r="AJ791" i="94"/>
  <c r="Z791" i="94"/>
  <c r="MN791" i="94"/>
  <c r="LX791" i="94"/>
  <c r="LK791" i="94"/>
  <c r="KX791" i="94"/>
  <c r="KH791" i="94"/>
  <c r="JT791" i="94"/>
  <c r="JG791" i="94"/>
  <c r="IQ791" i="94"/>
  <c r="ID791" i="94"/>
  <c r="HP791" i="94"/>
  <c r="GZ791" i="94"/>
  <c r="GN791" i="94"/>
  <c r="GC791" i="94"/>
  <c r="FQ791" i="94"/>
  <c r="FG791" i="94"/>
  <c r="EW791" i="94"/>
  <c r="EK791" i="94"/>
  <c r="EA791" i="94"/>
  <c r="DQ791" i="94"/>
  <c r="DE791" i="94"/>
  <c r="CU791" i="94"/>
  <c r="CK791" i="94"/>
  <c r="BY791" i="94"/>
  <c r="BO791" i="94"/>
  <c r="BE791" i="94"/>
  <c r="AS791" i="94"/>
  <c r="AI791" i="94"/>
  <c r="Y791" i="94"/>
  <c r="MM791" i="94"/>
  <c r="LW791" i="94"/>
  <c r="KW791" i="94"/>
  <c r="KG791" i="94"/>
  <c r="JS791" i="94"/>
  <c r="JE791" i="94"/>
  <c r="IO791" i="94"/>
  <c r="IC791" i="94"/>
  <c r="HO791" i="94"/>
  <c r="GY791" i="94"/>
  <c r="GM791" i="94"/>
  <c r="GB791" i="94"/>
  <c r="FP791" i="94"/>
  <c r="FF791" i="94"/>
  <c r="EV791" i="94"/>
  <c r="EJ791" i="94"/>
  <c r="DZ791" i="94"/>
  <c r="DP791" i="94"/>
  <c r="DD791" i="94"/>
  <c r="CT791" i="94"/>
  <c r="CJ791" i="94"/>
  <c r="BX791" i="94"/>
  <c r="BN791" i="94"/>
  <c r="BD791" i="94"/>
  <c r="AR791" i="94"/>
  <c r="AH791" i="94"/>
  <c r="X791" i="94"/>
  <c r="MI791" i="94"/>
  <c r="LV791" i="94"/>
  <c r="KR791" i="94"/>
  <c r="KE791" i="94"/>
  <c r="JR791" i="94"/>
  <c r="JB791" i="94"/>
  <c r="IN791" i="94"/>
  <c r="IA791" i="94"/>
  <c r="HK791" i="94"/>
  <c r="GX791" i="94"/>
  <c r="GK791" i="94"/>
  <c r="FY791" i="94"/>
  <c r="FO791" i="94"/>
  <c r="FE791" i="94"/>
  <c r="ES791" i="94"/>
  <c r="EI791" i="94"/>
  <c r="DY791" i="94"/>
  <c r="DM791" i="94"/>
  <c r="DC791" i="94"/>
  <c r="CS791" i="94"/>
  <c r="CG791" i="94"/>
  <c r="BW791" i="94"/>
  <c r="BM791" i="94"/>
  <c r="BA791" i="94"/>
  <c r="AQ791" i="94"/>
  <c r="AG791" i="94"/>
  <c r="MG791" i="94"/>
  <c r="LU791" i="94"/>
  <c r="KQ791" i="94"/>
  <c r="KC791" i="94"/>
  <c r="JQ791" i="94"/>
  <c r="JA791" i="94"/>
  <c r="IM791" i="94"/>
  <c r="HY791" i="94"/>
  <c r="HI791" i="94"/>
  <c r="GW791" i="94"/>
  <c r="GJ791" i="94"/>
  <c r="FX791" i="94"/>
  <c r="FN791" i="94"/>
  <c r="FD791" i="94"/>
  <c r="ER791" i="94"/>
  <c r="EH791" i="94"/>
  <c r="DX791" i="94"/>
  <c r="DL791" i="94"/>
  <c r="DB791" i="94"/>
  <c r="CR791" i="94"/>
  <c r="CF791" i="94"/>
  <c r="BV791" i="94"/>
  <c r="BL791" i="94"/>
  <c r="AZ791" i="94"/>
  <c r="AP791" i="94"/>
  <c r="AF791" i="94"/>
  <c r="MQ791" i="94"/>
  <c r="MD791" i="94"/>
  <c r="LN791" i="94"/>
  <c r="KZ791" i="94"/>
  <c r="KM791" i="94"/>
  <c r="JW791" i="94"/>
  <c r="JJ791" i="94"/>
  <c r="IV791" i="94"/>
  <c r="IF791" i="94"/>
  <c r="HS791" i="94"/>
  <c r="HF791" i="94"/>
  <c r="GP791" i="94"/>
  <c r="GE791" i="94"/>
  <c r="FU791" i="94"/>
  <c r="FI791" i="94"/>
  <c r="EY791" i="94"/>
  <c r="EO791" i="94"/>
  <c r="EC791" i="94"/>
  <c r="DS791" i="94"/>
  <c r="DI791" i="94"/>
  <c r="CW791" i="94"/>
  <c r="CM791" i="94"/>
  <c r="CC791" i="94"/>
  <c r="BQ791" i="94"/>
  <c r="BG791" i="94"/>
  <c r="AW791" i="94"/>
  <c r="AK791" i="94"/>
  <c r="AA791" i="94"/>
  <c r="AB791" i="94"/>
  <c r="BT791" i="94"/>
  <c r="DJ791" i="94"/>
  <c r="EZ791" i="94"/>
  <c r="GS791" i="94"/>
  <c r="IW791" i="94"/>
  <c r="LA791" i="94"/>
  <c r="BN794" i="94"/>
  <c r="ER794" i="94"/>
  <c r="HZ794" i="94"/>
  <c r="LZ794" i="94"/>
  <c r="W795" i="94"/>
  <c r="DW795" i="94"/>
  <c r="HS795" i="94"/>
  <c r="CT796" i="94"/>
  <c r="EQ802" i="94"/>
  <c r="D994" i="93"/>
  <c r="D1055" i="94"/>
  <c r="I995" i="93"/>
  <c r="I1056" i="94"/>
  <c r="G996" i="93"/>
  <c r="G1057" i="94"/>
  <c r="I1024" i="93"/>
  <c r="I1087" i="94"/>
  <c r="G1025" i="93"/>
  <c r="G1088" i="94"/>
  <c r="E1026" i="93"/>
  <c r="E1089" i="94"/>
  <c r="I1027" i="93"/>
  <c r="I1090" i="94"/>
  <c r="C1053" i="93"/>
  <c r="C1118" i="94"/>
  <c r="K1053" i="93"/>
  <c r="K1118" i="94"/>
  <c r="I1054" i="93"/>
  <c r="I1119" i="94"/>
  <c r="G1055" i="93"/>
  <c r="G1120" i="94"/>
  <c r="F1081" i="93"/>
  <c r="F1148" i="94"/>
  <c r="D1083" i="93"/>
  <c r="D1150" i="94"/>
  <c r="M286" i="72"/>
  <c r="M1833" i="93" s="1"/>
  <c r="O1968" i="93"/>
  <c r="A839" i="93"/>
  <c r="O2068" i="94"/>
  <c r="D11" i="86"/>
  <c r="E51" i="86"/>
  <c r="K1883" i="94"/>
  <c r="E1660" i="94"/>
  <c r="U461" i="94"/>
  <c r="U507" i="94"/>
  <c r="Z772" i="94"/>
  <c r="AH772" i="94"/>
  <c r="AP772" i="94"/>
  <c r="AX772" i="94"/>
  <c r="BF772" i="94"/>
  <c r="BN772" i="94"/>
  <c r="BV772" i="94"/>
  <c r="CD772" i="94"/>
  <c r="CL772" i="94"/>
  <c r="CT772" i="94"/>
  <c r="DB772" i="94"/>
  <c r="DJ772" i="94"/>
  <c r="DR772" i="94"/>
  <c r="DZ772" i="94"/>
  <c r="EH772" i="94"/>
  <c r="EP772" i="94"/>
  <c r="EX772" i="94"/>
  <c r="FF772" i="94"/>
  <c r="FN772" i="94"/>
  <c r="FV772" i="94"/>
  <c r="GD772" i="94"/>
  <c r="GL772" i="94"/>
  <c r="GT772" i="94"/>
  <c r="HB772" i="94"/>
  <c r="HJ772" i="94"/>
  <c r="HR772" i="94"/>
  <c r="HZ772" i="94"/>
  <c r="IH772" i="94"/>
  <c r="IP772" i="94"/>
  <c r="IX772" i="94"/>
  <c r="JF772" i="94"/>
  <c r="JN772" i="94"/>
  <c r="JV772" i="94"/>
  <c r="KD772" i="94"/>
  <c r="KL772" i="94"/>
  <c r="KT772" i="94"/>
  <c r="LB772" i="94"/>
  <c r="LR772" i="94"/>
  <c r="LZ772" i="94"/>
  <c r="MH772" i="94"/>
  <c r="MP772" i="94"/>
  <c r="GH773" i="94"/>
  <c r="GP773" i="94"/>
  <c r="GX773" i="94"/>
  <c r="HF773" i="94"/>
  <c r="HN773" i="94"/>
  <c r="HV773" i="94"/>
  <c r="ID773" i="94"/>
  <c r="IL773" i="94"/>
  <c r="IT773" i="94"/>
  <c r="JB773" i="94"/>
  <c r="JJ773" i="94"/>
  <c r="JR773" i="94"/>
  <c r="JZ773" i="94"/>
  <c r="KH773" i="94"/>
  <c r="KP773" i="94"/>
  <c r="KX773" i="94"/>
  <c r="LV773" i="94"/>
  <c r="MD773" i="94"/>
  <c r="Z774" i="94"/>
  <c r="AH774" i="94"/>
  <c r="AP774" i="94"/>
  <c r="AX774" i="94"/>
  <c r="BF774" i="94"/>
  <c r="BN774" i="94"/>
  <c r="BV774" i="94"/>
  <c r="CD774" i="94"/>
  <c r="CL774" i="94"/>
  <c r="CT774" i="94"/>
  <c r="DB774" i="94"/>
  <c r="DJ774" i="94"/>
  <c r="DR774" i="94"/>
  <c r="DZ774" i="94"/>
  <c r="EH774" i="94"/>
  <c r="EP774" i="94"/>
  <c r="EX774" i="94"/>
  <c r="FF774" i="94"/>
  <c r="FN774" i="94"/>
  <c r="FV774" i="94"/>
  <c r="GD774" i="94"/>
  <c r="GL774" i="94"/>
  <c r="GT774" i="94"/>
  <c r="HB774" i="94"/>
  <c r="HJ774" i="94"/>
  <c r="HR774" i="94"/>
  <c r="HZ774" i="94"/>
  <c r="IH774" i="94"/>
  <c r="IP774" i="94"/>
  <c r="IX774" i="94"/>
  <c r="JF774" i="94"/>
  <c r="JN774" i="94"/>
  <c r="JV774" i="94"/>
  <c r="KD774" i="94"/>
  <c r="KL774" i="94"/>
  <c r="KT774" i="94"/>
  <c r="LB774" i="94"/>
  <c r="LR774" i="94"/>
  <c r="LZ774" i="94"/>
  <c r="MH774" i="94"/>
  <c r="MP774" i="94"/>
  <c r="GH775" i="94"/>
  <c r="GP775" i="94"/>
  <c r="GX775" i="94"/>
  <c r="HF775" i="94"/>
  <c r="HN775" i="94"/>
  <c r="HV775" i="94"/>
  <c r="ID775" i="94"/>
  <c r="IL775" i="94"/>
  <c r="IT775" i="94"/>
  <c r="JB775" i="94"/>
  <c r="JJ775" i="94"/>
  <c r="JR775" i="94"/>
  <c r="JZ775" i="94"/>
  <c r="KH775" i="94"/>
  <c r="KP775" i="94"/>
  <c r="KX775" i="94"/>
  <c r="LV775" i="94"/>
  <c r="MD775" i="94"/>
  <c r="Z776" i="94"/>
  <c r="AH776" i="94"/>
  <c r="AP776" i="94"/>
  <c r="AY776" i="94"/>
  <c r="BH776" i="94"/>
  <c r="BQ776" i="94"/>
  <c r="BZ776" i="94"/>
  <c r="CI776" i="94"/>
  <c r="CS776" i="94"/>
  <c r="DB776" i="94"/>
  <c r="DK776" i="94"/>
  <c r="DT776" i="94"/>
  <c r="EC776" i="94"/>
  <c r="EL776" i="94"/>
  <c r="EU776" i="94"/>
  <c r="FE776" i="94"/>
  <c r="FN776" i="94"/>
  <c r="FW776" i="94"/>
  <c r="GF776" i="94"/>
  <c r="GO776" i="94"/>
  <c r="GX776" i="94"/>
  <c r="HG776" i="94"/>
  <c r="HQ776" i="94"/>
  <c r="HZ776" i="94"/>
  <c r="II776" i="94"/>
  <c r="IR776" i="94"/>
  <c r="JA776" i="94"/>
  <c r="JJ776" i="94"/>
  <c r="JS776" i="94"/>
  <c r="KC776" i="94"/>
  <c r="KL776" i="94"/>
  <c r="KU776" i="94"/>
  <c r="LD776" i="94"/>
  <c r="LM776" i="94"/>
  <c r="LV776" i="94"/>
  <c r="ME776" i="94"/>
  <c r="MO776" i="94"/>
  <c r="AE777" i="94"/>
  <c r="AN777" i="94"/>
  <c r="AW777" i="94"/>
  <c r="BF777" i="94"/>
  <c r="BO777" i="94"/>
  <c r="BY777" i="94"/>
  <c r="CH777" i="94"/>
  <c r="CQ777" i="94"/>
  <c r="CZ777" i="94"/>
  <c r="DI777" i="94"/>
  <c r="DR777" i="94"/>
  <c r="EA777" i="94"/>
  <c r="EK777" i="94"/>
  <c r="ET777" i="94"/>
  <c r="FC777" i="94"/>
  <c r="FL777" i="94"/>
  <c r="FU777" i="94"/>
  <c r="GD777" i="94"/>
  <c r="GM777" i="94"/>
  <c r="GW777" i="94"/>
  <c r="HF777" i="94"/>
  <c r="HO777" i="94"/>
  <c r="HX777" i="94"/>
  <c r="IG777" i="94"/>
  <c r="IP777" i="94"/>
  <c r="IY777" i="94"/>
  <c r="JI777" i="94"/>
  <c r="JR777" i="94"/>
  <c r="KA777" i="94"/>
  <c r="KJ777" i="94"/>
  <c r="KS777" i="94"/>
  <c r="LB777" i="94"/>
  <c r="LU777" i="94"/>
  <c r="MD777" i="94"/>
  <c r="MM777" i="94"/>
  <c r="MQ778" i="94"/>
  <c r="MI778" i="94"/>
  <c r="MA778" i="94"/>
  <c r="LS778" i="94"/>
  <c r="LK778" i="94"/>
  <c r="LC778" i="94"/>
  <c r="KU778" i="94"/>
  <c r="KM778" i="94"/>
  <c r="KE778" i="94"/>
  <c r="JW778" i="94"/>
  <c r="JO778" i="94"/>
  <c r="JG778" i="94"/>
  <c r="IY778" i="94"/>
  <c r="IQ778" i="94"/>
  <c r="II778" i="94"/>
  <c r="IA778" i="94"/>
  <c r="HS778" i="94"/>
  <c r="HK778" i="94"/>
  <c r="HC778" i="94"/>
  <c r="GU778" i="94"/>
  <c r="GM778" i="94"/>
  <c r="GE778" i="94"/>
  <c r="FW778" i="94"/>
  <c r="FO778" i="94"/>
  <c r="FG778" i="94"/>
  <c r="EY778" i="94"/>
  <c r="EQ778" i="94"/>
  <c r="EI778" i="94"/>
  <c r="EA778" i="94"/>
  <c r="DS778" i="94"/>
  <c r="DK778" i="94"/>
  <c r="DC778" i="94"/>
  <c r="CU778" i="94"/>
  <c r="CM778" i="94"/>
  <c r="CE778" i="94"/>
  <c r="BW778" i="94"/>
  <c r="BO778" i="94"/>
  <c r="MN778" i="94"/>
  <c r="MF778" i="94"/>
  <c r="LX778" i="94"/>
  <c r="LP778" i="94"/>
  <c r="KZ778" i="94"/>
  <c r="KR778" i="94"/>
  <c r="KJ778" i="94"/>
  <c r="KB778" i="94"/>
  <c r="JT778" i="94"/>
  <c r="JL778" i="94"/>
  <c r="JD778" i="94"/>
  <c r="IV778" i="94"/>
  <c r="IN778" i="94"/>
  <c r="IF778" i="94"/>
  <c r="HX778" i="94"/>
  <c r="HP778" i="94"/>
  <c r="HH778" i="94"/>
  <c r="GZ778" i="94"/>
  <c r="GR778" i="94"/>
  <c r="GJ778" i="94"/>
  <c r="GB778" i="94"/>
  <c r="FT778" i="94"/>
  <c r="FL778" i="94"/>
  <c r="FD778" i="94"/>
  <c r="EV778" i="94"/>
  <c r="EN778" i="94"/>
  <c r="EF778" i="94"/>
  <c r="DX778" i="94"/>
  <c r="DP778" i="94"/>
  <c r="DH778" i="94"/>
  <c r="CZ778" i="94"/>
  <c r="CR778" i="94"/>
  <c r="CJ778" i="94"/>
  <c r="CB778" i="94"/>
  <c r="BT778" i="94"/>
  <c r="BL778" i="94"/>
  <c r="BD778" i="94"/>
  <c r="AV778" i="94"/>
  <c r="AN778" i="94"/>
  <c r="AF778" i="94"/>
  <c r="X778" i="94"/>
  <c r="MR778" i="94"/>
  <c r="MJ778" i="94"/>
  <c r="MB778" i="94"/>
  <c r="LT778" i="94"/>
  <c r="LL778" i="94"/>
  <c r="LD778" i="94"/>
  <c r="KV778" i="94"/>
  <c r="KN778" i="94"/>
  <c r="KF778" i="94"/>
  <c r="JX778" i="94"/>
  <c r="JP778" i="94"/>
  <c r="JH778" i="94"/>
  <c r="IZ778" i="94"/>
  <c r="IR778" i="94"/>
  <c r="IJ778" i="94"/>
  <c r="IB778" i="94"/>
  <c r="HT778" i="94"/>
  <c r="HL778" i="94"/>
  <c r="HD778" i="94"/>
  <c r="GV778" i="94"/>
  <c r="GN778" i="94"/>
  <c r="GF778" i="94"/>
  <c r="FX778" i="94"/>
  <c r="FP778" i="94"/>
  <c r="FH778" i="94"/>
  <c r="EZ778" i="94"/>
  <c r="ER778" i="94"/>
  <c r="EJ778" i="94"/>
  <c r="EB778" i="94"/>
  <c r="DT778" i="94"/>
  <c r="DL778" i="94"/>
  <c r="DD778" i="94"/>
  <c r="CV778" i="94"/>
  <c r="CN778" i="94"/>
  <c r="CF778" i="94"/>
  <c r="BX778" i="94"/>
  <c r="BP778" i="94"/>
  <c r="BH778" i="94"/>
  <c r="AZ778" i="94"/>
  <c r="AR778" i="94"/>
  <c r="AC778" i="94"/>
  <c r="AL778" i="94"/>
  <c r="AW778" i="94"/>
  <c r="BG778" i="94"/>
  <c r="BS778" i="94"/>
  <c r="CG778" i="94"/>
  <c r="CS778" i="94"/>
  <c r="DF778" i="94"/>
  <c r="DR778" i="94"/>
  <c r="EE778" i="94"/>
  <c r="ES778" i="94"/>
  <c r="FE778" i="94"/>
  <c r="FR778" i="94"/>
  <c r="GD778" i="94"/>
  <c r="GQ778" i="94"/>
  <c r="HE778" i="94"/>
  <c r="HQ778" i="94"/>
  <c r="ID778" i="94"/>
  <c r="IP778" i="94"/>
  <c r="JC778" i="94"/>
  <c r="JQ778" i="94"/>
  <c r="KC778" i="94"/>
  <c r="KP778" i="94"/>
  <c r="LB778" i="94"/>
  <c r="LO778" i="94"/>
  <c r="MC778" i="94"/>
  <c r="MO778" i="94"/>
  <c r="LW779" i="94"/>
  <c r="II779" i="94"/>
  <c r="IW779" i="94"/>
  <c r="JI779" i="94"/>
  <c r="JV779" i="94"/>
  <c r="KH779" i="94"/>
  <c r="KU779" i="94"/>
  <c r="MH779" i="94"/>
  <c r="AE780" i="94"/>
  <c r="AS780" i="94"/>
  <c r="BE780" i="94"/>
  <c r="BR780" i="94"/>
  <c r="CD780" i="94"/>
  <c r="CQ780" i="94"/>
  <c r="DE780" i="94"/>
  <c r="DQ780" i="94"/>
  <c r="ED780" i="94"/>
  <c r="EP780" i="94"/>
  <c r="FC780" i="94"/>
  <c r="FQ780" i="94"/>
  <c r="GC780" i="94"/>
  <c r="GP780" i="94"/>
  <c r="HB780" i="94"/>
  <c r="HO780" i="94"/>
  <c r="LN780" i="94"/>
  <c r="LZ780" i="94"/>
  <c r="MM781" i="94"/>
  <c r="ME781" i="94"/>
  <c r="MN781" i="94"/>
  <c r="MF781" i="94"/>
  <c r="KY781" i="94"/>
  <c r="Y781" i="94"/>
  <c r="AK781" i="94"/>
  <c r="AX781" i="94"/>
  <c r="BJ781" i="94"/>
  <c r="BW781" i="94"/>
  <c r="CK781" i="94"/>
  <c r="CW781" i="94"/>
  <c r="DJ781" i="94"/>
  <c r="DV781" i="94"/>
  <c r="EI781" i="94"/>
  <c r="EW781" i="94"/>
  <c r="FI781" i="94"/>
  <c r="FV781" i="94"/>
  <c r="GH781" i="94"/>
  <c r="GU781" i="94"/>
  <c r="HI781" i="94"/>
  <c r="HU781" i="94"/>
  <c r="IH781" i="94"/>
  <c r="IT781" i="94"/>
  <c r="JG781" i="94"/>
  <c r="JU781" i="94"/>
  <c r="KG781" i="94"/>
  <c r="KT781" i="94"/>
  <c r="LF781" i="94"/>
  <c r="LS781" i="94"/>
  <c r="MG781" i="94"/>
  <c r="MS781" i="94"/>
  <c r="IE782" i="94"/>
  <c r="IT782" i="94"/>
  <c r="JJ782" i="94"/>
  <c r="JX782" i="94"/>
  <c r="KM782" i="94"/>
  <c r="KZ782" i="94"/>
  <c r="ME782" i="94"/>
  <c r="MS782" i="94"/>
  <c r="IH783" i="94"/>
  <c r="IY783" i="94"/>
  <c r="JO783" i="94"/>
  <c r="KF783" i="94"/>
  <c r="KZ783" i="94"/>
  <c r="MG783" i="94"/>
  <c r="GQ784" i="94"/>
  <c r="HM784" i="94"/>
  <c r="IG784" i="94"/>
  <c r="JC784" i="94"/>
  <c r="JY784" i="94"/>
  <c r="KS784" i="94"/>
  <c r="MK784" i="94"/>
  <c r="GY786" i="94"/>
  <c r="HU786" i="94"/>
  <c r="IO786" i="94"/>
  <c r="JK786" i="94"/>
  <c r="KG786" i="94"/>
  <c r="MS786" i="94"/>
  <c r="IK787" i="94"/>
  <c r="KC787" i="94"/>
  <c r="BD788" i="94"/>
  <c r="CV788" i="94"/>
  <c r="EL788" i="94"/>
  <c r="GB788" i="94"/>
  <c r="HT788" i="94"/>
  <c r="K789" i="94"/>
  <c r="L789" i="94" s="1"/>
  <c r="JL789" i="94"/>
  <c r="LB789" i="94"/>
  <c r="MR789" i="94"/>
  <c r="BU791" i="94"/>
  <c r="DK791" i="94"/>
  <c r="DY793" i="94"/>
  <c r="DQ793" i="94"/>
  <c r="DI793" i="94"/>
  <c r="DA793" i="94"/>
  <c r="CS793" i="94"/>
  <c r="CK793" i="94"/>
  <c r="CC793" i="94"/>
  <c r="BU793" i="94"/>
  <c r="BM793" i="94"/>
  <c r="FY793" i="94"/>
  <c r="DU793" i="94"/>
  <c r="DM793" i="94"/>
  <c r="DE793" i="94"/>
  <c r="CW793" i="94"/>
  <c r="CO793" i="94"/>
  <c r="CG793" i="94"/>
  <c r="BY793" i="94"/>
  <c r="BQ793" i="94"/>
  <c r="FW793" i="94"/>
  <c r="EA793" i="94"/>
  <c r="DK793" i="94"/>
  <c r="CU793" i="94"/>
  <c r="CE793" i="94"/>
  <c r="BO793" i="94"/>
  <c r="DX793" i="94"/>
  <c r="DH793" i="94"/>
  <c r="CR793" i="94"/>
  <c r="CB793" i="94"/>
  <c r="BL793" i="94"/>
  <c r="DO793" i="94"/>
  <c r="CQ793" i="94"/>
  <c r="BW793" i="94"/>
  <c r="FZ793" i="94"/>
  <c r="DN793" i="94"/>
  <c r="CP793" i="94"/>
  <c r="BT793" i="94"/>
  <c r="DG793" i="94"/>
  <c r="CM793" i="94"/>
  <c r="BS793" i="94"/>
  <c r="DF793" i="94"/>
  <c r="CJ793" i="94"/>
  <c r="BR793" i="94"/>
  <c r="DW793" i="94"/>
  <c r="DC793" i="94"/>
  <c r="CI793" i="94"/>
  <c r="BK793" i="94"/>
  <c r="DP793" i="94"/>
  <c r="CX793" i="94"/>
  <c r="BZ793" i="94"/>
  <c r="CA793" i="94"/>
  <c r="CE794" i="94"/>
  <c r="FK794" i="94"/>
  <c r="IX794" i="94"/>
  <c r="LJ795" i="94"/>
  <c r="LI795" i="94"/>
  <c r="FU795" i="94"/>
  <c r="FM795" i="94"/>
  <c r="FE795" i="94"/>
  <c r="EW795" i="94"/>
  <c r="EO795" i="94"/>
  <c r="BE795" i="94"/>
  <c r="AW795" i="94"/>
  <c r="AO795" i="94"/>
  <c r="AG795" i="94"/>
  <c r="Y795" i="94"/>
  <c r="LM795" i="94"/>
  <c r="FQ795" i="94"/>
  <c r="FI795" i="94"/>
  <c r="FA795" i="94"/>
  <c r="ES795" i="94"/>
  <c r="EK795" i="94"/>
  <c r="BI795" i="94"/>
  <c r="BA795" i="94"/>
  <c r="AS795" i="94"/>
  <c r="AK795" i="94"/>
  <c r="AC795" i="94"/>
  <c r="LV795" i="94"/>
  <c r="LF795" i="94"/>
  <c r="HN795" i="94"/>
  <c r="GX795" i="94"/>
  <c r="GH795" i="94"/>
  <c r="FR795" i="94"/>
  <c r="FB795" i="94"/>
  <c r="EL795" i="94"/>
  <c r="BJ795" i="94"/>
  <c r="AT795" i="94"/>
  <c r="AD795" i="94"/>
  <c r="FO795" i="94"/>
  <c r="EY795" i="94"/>
  <c r="EI795" i="94"/>
  <c r="BG795" i="94"/>
  <c r="AQ795" i="94"/>
  <c r="AA795" i="94"/>
  <c r="MD795" i="94"/>
  <c r="LN795" i="94"/>
  <c r="HV795" i="94"/>
  <c r="HF795" i="94"/>
  <c r="GP795" i="94"/>
  <c r="FJ795" i="94"/>
  <c r="ET795" i="94"/>
  <c r="BB795" i="94"/>
  <c r="AL795" i="94"/>
  <c r="LK795" i="94"/>
  <c r="HO795" i="94"/>
  <c r="GM795" i="94"/>
  <c r="FL795" i="94"/>
  <c r="EN795" i="94"/>
  <c r="DO795" i="94"/>
  <c r="CQ795" i="94"/>
  <c r="BO795" i="94"/>
  <c r="AN795" i="94"/>
  <c r="LH795" i="94"/>
  <c r="HH795" i="94"/>
  <c r="GJ795" i="94"/>
  <c r="FK795" i="94"/>
  <c r="EM795" i="94"/>
  <c r="DK795" i="94"/>
  <c r="CJ795" i="94"/>
  <c r="BL795" i="94"/>
  <c r="AM795" i="94"/>
  <c r="LG795" i="94"/>
  <c r="HG795" i="94"/>
  <c r="GI795" i="94"/>
  <c r="FG795" i="94"/>
  <c r="DH795" i="94"/>
  <c r="CI795" i="94"/>
  <c r="BK795" i="94"/>
  <c r="AI795" i="94"/>
  <c r="MA795" i="94"/>
  <c r="HC795" i="94"/>
  <c r="FD795" i="94"/>
  <c r="DG795" i="94"/>
  <c r="CE795" i="94"/>
  <c r="BD795" i="94"/>
  <c r="AF795" i="94"/>
  <c r="LX795" i="94"/>
  <c r="HX795" i="94"/>
  <c r="GZ795" i="94"/>
  <c r="FC795" i="94"/>
  <c r="EA795" i="94"/>
  <c r="CZ795" i="94"/>
  <c r="CB795" i="94"/>
  <c r="BC795" i="94"/>
  <c r="AE795" i="94"/>
  <c r="LO795" i="94"/>
  <c r="HP795" i="94"/>
  <c r="GQ795" i="94"/>
  <c r="FS795" i="94"/>
  <c r="EQ795" i="94"/>
  <c r="DP795" i="94"/>
  <c r="CR795" i="94"/>
  <c r="BS795" i="94"/>
  <c r="AU795" i="94"/>
  <c r="GC795" i="94"/>
  <c r="EG795" i="94"/>
  <c r="EC795" i="94"/>
  <c r="GE795" i="94"/>
  <c r="ED795" i="94"/>
  <c r="EF795" i="94"/>
  <c r="GB795" i="94"/>
  <c r="EE795" i="94"/>
  <c r="GA795" i="94"/>
  <c r="X795" i="94"/>
  <c r="DX795" i="94"/>
  <c r="HW795" i="94"/>
  <c r="LW795" i="94"/>
  <c r="GM796" i="94"/>
  <c r="LJ803" i="94"/>
  <c r="LI803" i="94"/>
  <c r="FU803" i="94"/>
  <c r="FM803" i="94"/>
  <c r="FE803" i="94"/>
  <c r="EW803" i="94"/>
  <c r="EO803" i="94"/>
  <c r="BE803" i="94"/>
  <c r="AW803" i="94"/>
  <c r="AO803" i="94"/>
  <c r="AG803" i="94"/>
  <c r="Y803" i="94"/>
  <c r="LH803" i="94"/>
  <c r="FT803" i="94"/>
  <c r="FL803" i="94"/>
  <c r="FD803" i="94"/>
  <c r="EV803" i="94"/>
  <c r="EN803" i="94"/>
  <c r="BD803" i="94"/>
  <c r="AV803" i="94"/>
  <c r="AN803" i="94"/>
  <c r="AF803" i="94"/>
  <c r="X803" i="94"/>
  <c r="LM803" i="94"/>
  <c r="FQ803" i="94"/>
  <c r="FI803" i="94"/>
  <c r="FA803" i="94"/>
  <c r="ES803" i="94"/>
  <c r="EK803" i="94"/>
  <c r="BI803" i="94"/>
  <c r="BA803" i="94"/>
  <c r="AS803" i="94"/>
  <c r="AK803" i="94"/>
  <c r="AC803" i="94"/>
  <c r="LV803" i="94"/>
  <c r="HS803" i="94"/>
  <c r="GX803" i="94"/>
  <c r="FG803" i="94"/>
  <c r="EL803" i="94"/>
  <c r="DO803" i="94"/>
  <c r="CU803" i="94"/>
  <c r="BZ803" i="94"/>
  <c r="BC803" i="94"/>
  <c r="AI803" i="94"/>
  <c r="LS803" i="94"/>
  <c r="HO803" i="94"/>
  <c r="GU803" i="94"/>
  <c r="FC803" i="94"/>
  <c r="EI803" i="94"/>
  <c r="BB803" i="94"/>
  <c r="AE803" i="94"/>
  <c r="LO803" i="94"/>
  <c r="HN803" i="94"/>
  <c r="GQ803" i="94"/>
  <c r="FB803" i="94"/>
  <c r="AY803" i="94"/>
  <c r="AD803" i="94"/>
  <c r="MD803" i="94"/>
  <c r="LG803" i="94"/>
  <c r="HF803" i="94"/>
  <c r="GI803" i="94"/>
  <c r="FO803" i="94"/>
  <c r="ET803" i="94"/>
  <c r="AQ803" i="94"/>
  <c r="LF803" i="94"/>
  <c r="HW803" i="94"/>
  <c r="GH803" i="94"/>
  <c r="EQ803" i="94"/>
  <c r="CY803" i="94"/>
  <c r="BJ803" i="94"/>
  <c r="HV803" i="94"/>
  <c r="EM803" i="94"/>
  <c r="CX803" i="94"/>
  <c r="BG803" i="94"/>
  <c r="HK803" i="94"/>
  <c r="FS803" i="94"/>
  <c r="CM803" i="94"/>
  <c r="AU803" i="94"/>
  <c r="HG803" i="94"/>
  <c r="FR803" i="94"/>
  <c r="EA803" i="94"/>
  <c r="CI803" i="94"/>
  <c r="AT803" i="94"/>
  <c r="MA803" i="94"/>
  <c r="HC803" i="94"/>
  <c r="FK803" i="94"/>
  <c r="DV803" i="94"/>
  <c r="CE803" i="94"/>
  <c r="AM803" i="94"/>
  <c r="LK803" i="94"/>
  <c r="GM803" i="94"/>
  <c r="EU803" i="94"/>
  <c r="DF803" i="94"/>
  <c r="BO803" i="94"/>
  <c r="W803" i="94"/>
  <c r="GC803" i="94"/>
  <c r="EG803" i="94"/>
  <c r="GB803" i="94"/>
  <c r="EF803" i="94"/>
  <c r="EC803" i="94"/>
  <c r="GA803" i="94"/>
  <c r="EE803" i="94"/>
  <c r="GE803" i="94"/>
  <c r="ED803" i="94"/>
  <c r="AL803" i="94"/>
  <c r="GY803" i="94"/>
  <c r="MF804" i="94"/>
  <c r="KH804" i="94"/>
  <c r="JK804" i="94"/>
  <c r="IM804" i="94"/>
  <c r="LE804" i="94"/>
  <c r="KG804" i="94"/>
  <c r="JF804" i="94"/>
  <c r="IJ804" i="94"/>
  <c r="KZ804" i="94"/>
  <c r="KC804" i="94"/>
  <c r="JE804" i="94"/>
  <c r="IE804" i="94"/>
  <c r="MO804" i="94"/>
  <c r="KQ804" i="94"/>
  <c r="JT804" i="94"/>
  <c r="IV804" i="94"/>
  <c r="MJ804" i="94"/>
  <c r="KL804" i="94"/>
  <c r="IN804" i="94"/>
  <c r="JY804" i="94"/>
  <c r="ID804" i="94"/>
  <c r="A804" i="94"/>
  <c r="JX804" i="94"/>
  <c r="HZ804" i="94"/>
  <c r="JP804" i="94"/>
  <c r="JN804" i="94"/>
  <c r="MK804" i="94"/>
  <c r="KP804" i="94"/>
  <c r="IS804" i="94"/>
  <c r="L1883" i="94"/>
  <c r="P1837" i="94"/>
  <c r="AA772" i="94"/>
  <c r="AI772" i="94"/>
  <c r="AQ772" i="94"/>
  <c r="AY772" i="94"/>
  <c r="BG772" i="94"/>
  <c r="BO772" i="94"/>
  <c r="BW772" i="94"/>
  <c r="CE772" i="94"/>
  <c r="CM772" i="94"/>
  <c r="CU772" i="94"/>
  <c r="DC772" i="94"/>
  <c r="DK772" i="94"/>
  <c r="DS772" i="94"/>
  <c r="EA772" i="94"/>
  <c r="EI772" i="94"/>
  <c r="EQ772" i="94"/>
  <c r="EY772" i="94"/>
  <c r="FG772" i="94"/>
  <c r="FO772" i="94"/>
  <c r="FW772" i="94"/>
  <c r="GE772" i="94"/>
  <c r="GM772" i="94"/>
  <c r="GU772" i="94"/>
  <c r="HC772" i="94"/>
  <c r="HK772" i="94"/>
  <c r="HS772" i="94"/>
  <c r="IA772" i="94"/>
  <c r="II772" i="94"/>
  <c r="IQ772" i="94"/>
  <c r="IY772" i="94"/>
  <c r="JG772" i="94"/>
  <c r="JO772" i="94"/>
  <c r="JW772" i="94"/>
  <c r="KE772" i="94"/>
  <c r="KM772" i="94"/>
  <c r="KU772" i="94"/>
  <c r="LC772" i="94"/>
  <c r="LK772" i="94"/>
  <c r="LS772" i="94"/>
  <c r="MA772" i="94"/>
  <c r="MI772" i="94"/>
  <c r="MQ772" i="94"/>
  <c r="GI773" i="94"/>
  <c r="GQ773" i="94"/>
  <c r="GY773" i="94"/>
  <c r="HG773" i="94"/>
  <c r="HO773" i="94"/>
  <c r="HW773" i="94"/>
  <c r="IE773" i="94"/>
  <c r="IM773" i="94"/>
  <c r="IU773" i="94"/>
  <c r="JC773" i="94"/>
  <c r="JK773" i="94"/>
  <c r="JS773" i="94"/>
  <c r="KA773" i="94"/>
  <c r="KI773" i="94"/>
  <c r="KQ773" i="94"/>
  <c r="KY773" i="94"/>
  <c r="LW773" i="94"/>
  <c r="ME773" i="94"/>
  <c r="MM773" i="94"/>
  <c r="AA774" i="94"/>
  <c r="AI774" i="94"/>
  <c r="AQ774" i="94"/>
  <c r="AY774" i="94"/>
  <c r="BG774" i="94"/>
  <c r="BO774" i="94"/>
  <c r="BW774" i="94"/>
  <c r="CE774" i="94"/>
  <c r="CM774" i="94"/>
  <c r="CU774" i="94"/>
  <c r="DC774" i="94"/>
  <c r="DK774" i="94"/>
  <c r="DS774" i="94"/>
  <c r="EA774" i="94"/>
  <c r="EI774" i="94"/>
  <c r="EQ774" i="94"/>
  <c r="EY774" i="94"/>
  <c r="FG774" i="94"/>
  <c r="FO774" i="94"/>
  <c r="FW774" i="94"/>
  <c r="GE774" i="94"/>
  <c r="GM774" i="94"/>
  <c r="GU774" i="94"/>
  <c r="HC774" i="94"/>
  <c r="HK774" i="94"/>
  <c r="HS774" i="94"/>
  <c r="IA774" i="94"/>
  <c r="II774" i="94"/>
  <c r="IQ774" i="94"/>
  <c r="IY774" i="94"/>
  <c r="JG774" i="94"/>
  <c r="JO774" i="94"/>
  <c r="JW774" i="94"/>
  <c r="KE774" i="94"/>
  <c r="KM774" i="94"/>
  <c r="KU774" i="94"/>
  <c r="LC774" i="94"/>
  <c r="LK774" i="94"/>
  <c r="LS774" i="94"/>
  <c r="MA774" i="94"/>
  <c r="MI774" i="94"/>
  <c r="MQ774" i="94"/>
  <c r="GI775" i="94"/>
  <c r="GQ775" i="94"/>
  <c r="GY775" i="94"/>
  <c r="HG775" i="94"/>
  <c r="HO775" i="94"/>
  <c r="HW775" i="94"/>
  <c r="IE775" i="94"/>
  <c r="IM775" i="94"/>
  <c r="IU775" i="94"/>
  <c r="JC775" i="94"/>
  <c r="JK775" i="94"/>
  <c r="JS775" i="94"/>
  <c r="KA775" i="94"/>
  <c r="KI775" i="94"/>
  <c r="KQ775" i="94"/>
  <c r="KY775" i="94"/>
  <c r="LW775" i="94"/>
  <c r="ME775" i="94"/>
  <c r="LH776" i="94"/>
  <c r="AA776" i="94"/>
  <c r="AI776" i="94"/>
  <c r="AQ776" i="94"/>
  <c r="AZ776" i="94"/>
  <c r="BI776" i="94"/>
  <c r="BR776" i="94"/>
  <c r="CA776" i="94"/>
  <c r="CK776" i="94"/>
  <c r="CT776" i="94"/>
  <c r="DC776" i="94"/>
  <c r="DL776" i="94"/>
  <c r="DU776" i="94"/>
  <c r="ED776" i="94"/>
  <c r="EM776" i="94"/>
  <c r="EW776" i="94"/>
  <c r="FF776" i="94"/>
  <c r="FO776" i="94"/>
  <c r="FX776" i="94"/>
  <c r="GG776" i="94"/>
  <c r="GP776" i="94"/>
  <c r="GY776" i="94"/>
  <c r="HI776" i="94"/>
  <c r="HR776" i="94"/>
  <c r="IA776" i="94"/>
  <c r="IJ776" i="94"/>
  <c r="IS776" i="94"/>
  <c r="JB776" i="94"/>
  <c r="JK776" i="94"/>
  <c r="JU776" i="94"/>
  <c r="KD776" i="94"/>
  <c r="KM776" i="94"/>
  <c r="KV776" i="94"/>
  <c r="LE776" i="94"/>
  <c r="LN776" i="94"/>
  <c r="LW776" i="94"/>
  <c r="MG776" i="94"/>
  <c r="GO777" i="94"/>
  <c r="GX777" i="94"/>
  <c r="HG777" i="94"/>
  <c r="HP777" i="94"/>
  <c r="HY777" i="94"/>
  <c r="IH777" i="94"/>
  <c r="IQ777" i="94"/>
  <c r="JA777" i="94"/>
  <c r="JJ777" i="94"/>
  <c r="JS777" i="94"/>
  <c r="KB777" i="94"/>
  <c r="KK777" i="94"/>
  <c r="KT777" i="94"/>
  <c r="LC777" i="94"/>
  <c r="LV777" i="94"/>
  <c r="ME777" i="94"/>
  <c r="MN777" i="94"/>
  <c r="AD778" i="94"/>
  <c r="AM778" i="94"/>
  <c r="AX778" i="94"/>
  <c r="BI778" i="94"/>
  <c r="BU778" i="94"/>
  <c r="CH778" i="94"/>
  <c r="CT778" i="94"/>
  <c r="DG778" i="94"/>
  <c r="DU778" i="94"/>
  <c r="EG778" i="94"/>
  <c r="ET778" i="94"/>
  <c r="FF778" i="94"/>
  <c r="FS778" i="94"/>
  <c r="GG778" i="94"/>
  <c r="GS778" i="94"/>
  <c r="HF778" i="94"/>
  <c r="HR778" i="94"/>
  <c r="IE778" i="94"/>
  <c r="IS778" i="94"/>
  <c r="JE778" i="94"/>
  <c r="JR778" i="94"/>
  <c r="KD778" i="94"/>
  <c r="KQ778" i="94"/>
  <c r="LE778" i="94"/>
  <c r="LQ778" i="94"/>
  <c r="MD778" i="94"/>
  <c r="MP778" i="94"/>
  <c r="IK779" i="94"/>
  <c r="IX779" i="94"/>
  <c r="JJ779" i="94"/>
  <c r="JW779" i="94"/>
  <c r="KK779" i="94"/>
  <c r="KW779" i="94"/>
  <c r="LH780" i="94"/>
  <c r="AG780" i="94"/>
  <c r="AT780" i="94"/>
  <c r="BF780" i="94"/>
  <c r="BS780" i="94"/>
  <c r="CG780" i="94"/>
  <c r="CS780" i="94"/>
  <c r="DF780" i="94"/>
  <c r="DR780" i="94"/>
  <c r="EE780" i="94"/>
  <c r="ES780" i="94"/>
  <c r="FE780" i="94"/>
  <c r="FR780" i="94"/>
  <c r="GD780" i="94"/>
  <c r="GQ780" i="94"/>
  <c r="HE780" i="94"/>
  <c r="HQ780" i="94"/>
  <c r="LO780" i="94"/>
  <c r="MC780" i="94"/>
  <c r="LW781" i="94"/>
  <c r="Z781" i="94"/>
  <c r="AL781" i="94"/>
  <c r="AY781" i="94"/>
  <c r="BM781" i="94"/>
  <c r="BY781" i="94"/>
  <c r="CL781" i="94"/>
  <c r="CX781" i="94"/>
  <c r="DK781" i="94"/>
  <c r="DY781" i="94"/>
  <c r="EK781" i="94"/>
  <c r="EX781" i="94"/>
  <c r="FJ781" i="94"/>
  <c r="FW781" i="94"/>
  <c r="GK781" i="94"/>
  <c r="GW781" i="94"/>
  <c r="HJ781" i="94"/>
  <c r="HV781" i="94"/>
  <c r="II781" i="94"/>
  <c r="IW781" i="94"/>
  <c r="JI781" i="94"/>
  <c r="JV781" i="94"/>
  <c r="KH781" i="94"/>
  <c r="KU781" i="94"/>
  <c r="LI781" i="94"/>
  <c r="LU781" i="94"/>
  <c r="MH781" i="94"/>
  <c r="A782" i="94"/>
  <c r="II782" i="94"/>
  <c r="IV782" i="94"/>
  <c r="JK782" i="94"/>
  <c r="JY782" i="94"/>
  <c r="KN782" i="94"/>
  <c r="LD782" i="94"/>
  <c r="MF782" i="94"/>
  <c r="II783" i="94"/>
  <c r="IZ783" i="94"/>
  <c r="JT783" i="94"/>
  <c r="KJ783" i="94"/>
  <c r="LA783" i="94"/>
  <c r="MJ783" i="94"/>
  <c r="GV784" i="94"/>
  <c r="HP784" i="94"/>
  <c r="IL784" i="94"/>
  <c r="JH784" i="94"/>
  <c r="KB784" i="94"/>
  <c r="KX784" i="94"/>
  <c r="LT784" i="94"/>
  <c r="MN784" i="94"/>
  <c r="BE788" i="94"/>
  <c r="CW788" i="94"/>
  <c r="EM788" i="94"/>
  <c r="GC788" i="94"/>
  <c r="HU788" i="94"/>
  <c r="JU789" i="94"/>
  <c r="CD791" i="94"/>
  <c r="DT791" i="94"/>
  <c r="CF794" i="94"/>
  <c r="FN794" i="94"/>
  <c r="IY794" i="94"/>
  <c r="LA795" i="94"/>
  <c r="KS795" i="94"/>
  <c r="KK795" i="94"/>
  <c r="KC795" i="94"/>
  <c r="JU795" i="94"/>
  <c r="JM795" i="94"/>
  <c r="JE795" i="94"/>
  <c r="IW795" i="94"/>
  <c r="IO795" i="94"/>
  <c r="IG795" i="94"/>
  <c r="HY795" i="94"/>
  <c r="LE795" i="94"/>
  <c r="KW795" i="94"/>
  <c r="KO795" i="94"/>
  <c r="KG795" i="94"/>
  <c r="JY795" i="94"/>
  <c r="JQ795" i="94"/>
  <c r="JI795" i="94"/>
  <c r="JA795" i="94"/>
  <c r="IS795" i="94"/>
  <c r="IK795" i="94"/>
  <c r="IC795" i="94"/>
  <c r="KP795" i="94"/>
  <c r="JZ795" i="94"/>
  <c r="JJ795" i="94"/>
  <c r="IT795" i="94"/>
  <c r="ID795" i="94"/>
  <c r="LC795" i="94"/>
  <c r="KM795" i="94"/>
  <c r="JW795" i="94"/>
  <c r="JG795" i="94"/>
  <c r="IQ795" i="94"/>
  <c r="IA795" i="94"/>
  <c r="KX795" i="94"/>
  <c r="KH795" i="94"/>
  <c r="JR795" i="94"/>
  <c r="JB795" i="94"/>
  <c r="IL795" i="94"/>
  <c r="MM795" i="94"/>
  <c r="KJ795" i="94"/>
  <c r="JL795" i="94"/>
  <c r="IM795" i="94"/>
  <c r="MF795" i="94"/>
  <c r="KI795" i="94"/>
  <c r="JK795" i="94"/>
  <c r="II795" i="94"/>
  <c r="ME795" i="94"/>
  <c r="KE795" i="94"/>
  <c r="JD795" i="94"/>
  <c r="IF795" i="94"/>
  <c r="KZ795" i="94"/>
  <c r="KB795" i="94"/>
  <c r="JC795" i="94"/>
  <c r="IE795" i="94"/>
  <c r="KY795" i="94"/>
  <c r="KA795" i="94"/>
  <c r="IY795" i="94"/>
  <c r="MN795" i="94"/>
  <c r="KQ795" i="94"/>
  <c r="JO795" i="94"/>
  <c r="IN795" i="94"/>
  <c r="IU795" i="94"/>
  <c r="MQ795" i="94"/>
  <c r="DD796" i="94"/>
  <c r="CE796" i="94"/>
  <c r="EA796" i="94"/>
  <c r="DC796" i="94"/>
  <c r="CD796" i="94"/>
  <c r="DS796" i="94"/>
  <c r="LH802" i="94"/>
  <c r="LF802" i="94"/>
  <c r="LI802" i="94"/>
  <c r="LO802" i="94"/>
  <c r="HK802" i="94"/>
  <c r="GQ802" i="94"/>
  <c r="EY802" i="94"/>
  <c r="AX802" i="94"/>
  <c r="AA802" i="94"/>
  <c r="LK802" i="94"/>
  <c r="HJ802" i="94"/>
  <c r="GM802" i="94"/>
  <c r="FS802" i="94"/>
  <c r="EX802" i="94"/>
  <c r="AU802" i="94"/>
  <c r="Z802" i="94"/>
  <c r="LJ802" i="94"/>
  <c r="HG802" i="94"/>
  <c r="GL802" i="94"/>
  <c r="FO802" i="94"/>
  <c r="EU802" i="94"/>
  <c r="AQ802" i="94"/>
  <c r="W802" i="94"/>
  <c r="LW802" i="94"/>
  <c r="HS802" i="94"/>
  <c r="GY802" i="94"/>
  <c r="FG802" i="94"/>
  <c r="EM802" i="94"/>
  <c r="BF802" i="94"/>
  <c r="AI802" i="94"/>
  <c r="A802" i="94"/>
  <c r="LG802" i="94"/>
  <c r="HC802" i="94"/>
  <c r="EH802" i="94"/>
  <c r="BC802" i="94"/>
  <c r="HB802" i="94"/>
  <c r="FN802" i="94"/>
  <c r="CQ802" i="94"/>
  <c r="AY802" i="94"/>
  <c r="GU802" i="94"/>
  <c r="FK802" i="94"/>
  <c r="DW802" i="94"/>
  <c r="CE802" i="94"/>
  <c r="AP802" i="94"/>
  <c r="GT802" i="94"/>
  <c r="FF802" i="94"/>
  <c r="AM802" i="94"/>
  <c r="MA802" i="94"/>
  <c r="GI802" i="94"/>
  <c r="FC802" i="94"/>
  <c r="AH802" i="94"/>
  <c r="LR802" i="94"/>
  <c r="HO802" i="94"/>
  <c r="EI802" i="94"/>
  <c r="BG802" i="94"/>
  <c r="BK802" i="94"/>
  <c r="LS802" i="94"/>
  <c r="LA803" i="94"/>
  <c r="KS803" i="94"/>
  <c r="KK803" i="94"/>
  <c r="KC803" i="94"/>
  <c r="JU803" i="94"/>
  <c r="JM803" i="94"/>
  <c r="JE803" i="94"/>
  <c r="IW803" i="94"/>
  <c r="IO803" i="94"/>
  <c r="IG803" i="94"/>
  <c r="HY803" i="94"/>
  <c r="KZ803" i="94"/>
  <c r="KR803" i="94"/>
  <c r="KJ803" i="94"/>
  <c r="KB803" i="94"/>
  <c r="JT803" i="94"/>
  <c r="JL803" i="94"/>
  <c r="JD803" i="94"/>
  <c r="IV803" i="94"/>
  <c r="IN803" i="94"/>
  <c r="IF803" i="94"/>
  <c r="LE803" i="94"/>
  <c r="KW803" i="94"/>
  <c r="KO803" i="94"/>
  <c r="KG803" i="94"/>
  <c r="JY803" i="94"/>
  <c r="JQ803" i="94"/>
  <c r="JI803" i="94"/>
  <c r="JA803" i="94"/>
  <c r="IS803" i="94"/>
  <c r="IK803" i="94"/>
  <c r="IC803" i="94"/>
  <c r="MQ803" i="94"/>
  <c r="KY803" i="94"/>
  <c r="KE803" i="94"/>
  <c r="JJ803" i="94"/>
  <c r="IM803" i="94"/>
  <c r="KX803" i="94"/>
  <c r="KA803" i="94"/>
  <c r="JG803" i="94"/>
  <c r="IL803" i="94"/>
  <c r="KU803" i="94"/>
  <c r="JZ803" i="94"/>
  <c r="JC803" i="94"/>
  <c r="II803" i="94"/>
  <c r="KM803" i="94"/>
  <c r="JR803" i="94"/>
  <c r="IU803" i="94"/>
  <c r="IA803" i="94"/>
  <c r="JO803" i="94"/>
  <c r="LC803" i="94"/>
  <c r="JK803" i="94"/>
  <c r="MI803" i="94"/>
  <c r="KQ803" i="94"/>
  <c r="JB803" i="94"/>
  <c r="ME803" i="94"/>
  <c r="KP803" i="94"/>
  <c r="IY803" i="94"/>
  <c r="KI803" i="94"/>
  <c r="IT803" i="94"/>
  <c r="JS803" i="94"/>
  <c r="ID803" i="94"/>
  <c r="IE803" i="94"/>
  <c r="AB772" i="94"/>
  <c r="AJ772" i="94"/>
  <c r="AR772" i="94"/>
  <c r="AZ772" i="94"/>
  <c r="BH772" i="94"/>
  <c r="BP772" i="94"/>
  <c r="BX772" i="94"/>
  <c r="CF772" i="94"/>
  <c r="CN772" i="94"/>
  <c r="CV772" i="94"/>
  <c r="DD772" i="94"/>
  <c r="DL772" i="94"/>
  <c r="DT772" i="94"/>
  <c r="EB772" i="94"/>
  <c r="EJ772" i="94"/>
  <c r="ER772" i="94"/>
  <c r="EZ772" i="94"/>
  <c r="FH772" i="94"/>
  <c r="FP772" i="94"/>
  <c r="FX772" i="94"/>
  <c r="GF772" i="94"/>
  <c r="GN772" i="94"/>
  <c r="GV772" i="94"/>
  <c r="HD772" i="94"/>
  <c r="HL772" i="94"/>
  <c r="HT772" i="94"/>
  <c r="IB772" i="94"/>
  <c r="IJ772" i="94"/>
  <c r="IR772" i="94"/>
  <c r="IZ772" i="94"/>
  <c r="JH772" i="94"/>
  <c r="JP772" i="94"/>
  <c r="JX772" i="94"/>
  <c r="KF772" i="94"/>
  <c r="KN772" i="94"/>
  <c r="KV772" i="94"/>
  <c r="LD772" i="94"/>
  <c r="LL772" i="94"/>
  <c r="LT772" i="94"/>
  <c r="MB772" i="94"/>
  <c r="MJ772" i="94"/>
  <c r="GJ773" i="94"/>
  <c r="GR773" i="94"/>
  <c r="GZ773" i="94"/>
  <c r="HH773" i="94"/>
  <c r="HP773" i="94"/>
  <c r="HX773" i="94"/>
  <c r="IF773" i="94"/>
  <c r="IN773" i="94"/>
  <c r="IV773" i="94"/>
  <c r="JD773" i="94"/>
  <c r="JL773" i="94"/>
  <c r="JT773" i="94"/>
  <c r="KB773" i="94"/>
  <c r="KJ773" i="94"/>
  <c r="KZ773" i="94"/>
  <c r="LP773" i="94"/>
  <c r="MF773" i="94"/>
  <c r="AB774" i="94"/>
  <c r="AJ774" i="94"/>
  <c r="AR774" i="94"/>
  <c r="AZ774" i="94"/>
  <c r="BH774" i="94"/>
  <c r="BP774" i="94"/>
  <c r="BX774" i="94"/>
  <c r="CF774" i="94"/>
  <c r="CN774" i="94"/>
  <c r="CV774" i="94"/>
  <c r="DD774" i="94"/>
  <c r="DL774" i="94"/>
  <c r="DT774" i="94"/>
  <c r="EB774" i="94"/>
  <c r="EJ774" i="94"/>
  <c r="ER774" i="94"/>
  <c r="EZ774" i="94"/>
  <c r="FH774" i="94"/>
  <c r="FP774" i="94"/>
  <c r="FX774" i="94"/>
  <c r="GF774" i="94"/>
  <c r="GN774" i="94"/>
  <c r="GV774" i="94"/>
  <c r="HD774" i="94"/>
  <c r="HL774" i="94"/>
  <c r="HT774" i="94"/>
  <c r="IB774" i="94"/>
  <c r="IJ774" i="94"/>
  <c r="IR774" i="94"/>
  <c r="IZ774" i="94"/>
  <c r="JH774" i="94"/>
  <c r="JP774" i="94"/>
  <c r="JX774" i="94"/>
  <c r="KF774" i="94"/>
  <c r="KN774" i="94"/>
  <c r="KV774" i="94"/>
  <c r="LD774" i="94"/>
  <c r="LL774" i="94"/>
  <c r="LT774" i="94"/>
  <c r="MB774" i="94"/>
  <c r="MJ774" i="94"/>
  <c r="GJ775" i="94"/>
  <c r="GR775" i="94"/>
  <c r="GZ775" i="94"/>
  <c r="HH775" i="94"/>
  <c r="HP775" i="94"/>
  <c r="HX775" i="94"/>
  <c r="IF775" i="94"/>
  <c r="IN775" i="94"/>
  <c r="IV775" i="94"/>
  <c r="JD775" i="94"/>
  <c r="JL775" i="94"/>
  <c r="JT775" i="94"/>
  <c r="KB775" i="94"/>
  <c r="KJ775" i="94"/>
  <c r="KR775" i="94"/>
  <c r="LP775" i="94"/>
  <c r="LX775" i="94"/>
  <c r="MF775" i="94"/>
  <c r="MN776" i="94"/>
  <c r="MF776" i="94"/>
  <c r="LX776" i="94"/>
  <c r="LP776" i="94"/>
  <c r="KZ776" i="94"/>
  <c r="KR776" i="94"/>
  <c r="KJ776" i="94"/>
  <c r="KB776" i="94"/>
  <c r="JT776" i="94"/>
  <c r="JL776" i="94"/>
  <c r="JD776" i="94"/>
  <c r="IV776" i="94"/>
  <c r="IN776" i="94"/>
  <c r="IF776" i="94"/>
  <c r="HX776" i="94"/>
  <c r="HP776" i="94"/>
  <c r="HH776" i="94"/>
  <c r="GZ776" i="94"/>
  <c r="GR776" i="94"/>
  <c r="GJ776" i="94"/>
  <c r="GB776" i="94"/>
  <c r="FT776" i="94"/>
  <c r="FL776" i="94"/>
  <c r="FD776" i="94"/>
  <c r="EV776" i="94"/>
  <c r="EN776" i="94"/>
  <c r="EF776" i="94"/>
  <c r="DX776" i="94"/>
  <c r="DP776" i="94"/>
  <c r="DH776" i="94"/>
  <c r="CZ776" i="94"/>
  <c r="CR776" i="94"/>
  <c r="CJ776" i="94"/>
  <c r="CB776" i="94"/>
  <c r="BT776" i="94"/>
  <c r="BL776" i="94"/>
  <c r="BD776" i="94"/>
  <c r="AV776" i="94"/>
  <c r="AB776" i="94"/>
  <c r="AJ776" i="94"/>
  <c r="AR776" i="94"/>
  <c r="BA776" i="94"/>
  <c r="BJ776" i="94"/>
  <c r="BS776" i="94"/>
  <c r="CC776" i="94"/>
  <c r="CL776" i="94"/>
  <c r="CU776" i="94"/>
  <c r="DD776" i="94"/>
  <c r="DM776" i="94"/>
  <c r="DV776" i="94"/>
  <c r="EE776" i="94"/>
  <c r="EO776" i="94"/>
  <c r="EX776" i="94"/>
  <c r="FG776" i="94"/>
  <c r="FP776" i="94"/>
  <c r="FY776" i="94"/>
  <c r="GH776" i="94"/>
  <c r="GQ776" i="94"/>
  <c r="HA776" i="94"/>
  <c r="HJ776" i="94"/>
  <c r="HS776" i="94"/>
  <c r="IB776" i="94"/>
  <c r="IK776" i="94"/>
  <c r="IT776" i="94"/>
  <c r="JC776" i="94"/>
  <c r="JM776" i="94"/>
  <c r="JV776" i="94"/>
  <c r="KE776" i="94"/>
  <c r="KN776" i="94"/>
  <c r="KW776" i="94"/>
  <c r="LF776" i="94"/>
  <c r="LO776" i="94"/>
  <c r="LY776" i="94"/>
  <c r="MH776" i="94"/>
  <c r="MQ776" i="94"/>
  <c r="GG777" i="94"/>
  <c r="GP777" i="94"/>
  <c r="GY777" i="94"/>
  <c r="HH777" i="94"/>
  <c r="HQ777" i="94"/>
  <c r="HZ777" i="94"/>
  <c r="II777" i="94"/>
  <c r="IS777" i="94"/>
  <c r="JB777" i="94"/>
  <c r="JK777" i="94"/>
  <c r="JT777" i="94"/>
  <c r="KC777" i="94"/>
  <c r="KL777" i="94"/>
  <c r="KU777" i="94"/>
  <c r="MF777" i="94"/>
  <c r="AE778" i="94"/>
  <c r="AO778" i="94"/>
  <c r="AY778" i="94"/>
  <c r="BJ778" i="94"/>
  <c r="BV778" i="94"/>
  <c r="CI778" i="94"/>
  <c r="CW778" i="94"/>
  <c r="DI778" i="94"/>
  <c r="DV778" i="94"/>
  <c r="EH778" i="94"/>
  <c r="EU778" i="94"/>
  <c r="FI778" i="94"/>
  <c r="FU778" i="94"/>
  <c r="GH778" i="94"/>
  <c r="GT778" i="94"/>
  <c r="HG778" i="94"/>
  <c r="HU778" i="94"/>
  <c r="IG778" i="94"/>
  <c r="IT778" i="94"/>
  <c r="JF778" i="94"/>
  <c r="JS778" i="94"/>
  <c r="KG778" i="94"/>
  <c r="LF778" i="94"/>
  <c r="ME778" i="94"/>
  <c r="MQ780" i="94"/>
  <c r="AH780" i="94"/>
  <c r="AU780" i="94"/>
  <c r="BI780" i="94"/>
  <c r="BU780" i="94"/>
  <c r="CH780" i="94"/>
  <c r="CT780" i="94"/>
  <c r="DG780" i="94"/>
  <c r="DU780" i="94"/>
  <c r="EG780" i="94"/>
  <c r="ET780" i="94"/>
  <c r="FF780" i="94"/>
  <c r="FS780" i="94"/>
  <c r="GG780" i="94"/>
  <c r="GS780" i="94"/>
  <c r="HF780" i="94"/>
  <c r="HR780" i="94"/>
  <c r="LQ780" i="94"/>
  <c r="AA781" i="94"/>
  <c r="AO781" i="94"/>
  <c r="BA781" i="94"/>
  <c r="BN781" i="94"/>
  <c r="BZ781" i="94"/>
  <c r="CM781" i="94"/>
  <c r="DA781" i="94"/>
  <c r="DM781" i="94"/>
  <c r="DZ781" i="94"/>
  <c r="EL781" i="94"/>
  <c r="EY781" i="94"/>
  <c r="FM781" i="94"/>
  <c r="FY781" i="94"/>
  <c r="GL781" i="94"/>
  <c r="GX781" i="94"/>
  <c r="HK781" i="94"/>
  <c r="IK781" i="94"/>
  <c r="IX781" i="94"/>
  <c r="JJ781" i="94"/>
  <c r="JW781" i="94"/>
  <c r="KK781" i="94"/>
  <c r="KW781" i="94"/>
  <c r="LJ781" i="94"/>
  <c r="LV781" i="94"/>
  <c r="LG782" i="94"/>
  <c r="IJ782" i="94"/>
  <c r="IW782" i="94"/>
  <c r="JL782" i="94"/>
  <c r="KB782" i="94"/>
  <c r="KP782" i="94"/>
  <c r="IN783" i="94"/>
  <c r="JD783" i="94"/>
  <c r="JU783" i="94"/>
  <c r="KK783" i="94"/>
  <c r="LB783" i="94"/>
  <c r="MK783" i="94"/>
  <c r="GW784" i="94"/>
  <c r="HQ784" i="94"/>
  <c r="IM784" i="94"/>
  <c r="JI784" i="94"/>
  <c r="KC784" i="94"/>
  <c r="KY784" i="94"/>
  <c r="X788" i="94"/>
  <c r="BP788" i="94"/>
  <c r="DF788" i="94"/>
  <c r="EV788" i="94"/>
  <c r="GN788" i="94"/>
  <c r="LL788" i="94"/>
  <c r="IF789" i="94"/>
  <c r="CE791" i="94"/>
  <c r="CY794" i="94"/>
  <c r="GI794" i="94"/>
  <c r="JV794" i="94"/>
  <c r="IV795" i="94"/>
  <c r="LH796" i="94"/>
  <c r="LF796" i="94"/>
  <c r="LI796" i="94"/>
  <c r="LG796" i="94"/>
  <c r="A796" i="94"/>
  <c r="MA796" i="94"/>
  <c r="HC796" i="94"/>
  <c r="FF796" i="94"/>
  <c r="EH796" i="94"/>
  <c r="BG796" i="94"/>
  <c r="AH796" i="94"/>
  <c r="LZ796" i="94"/>
  <c r="HB796" i="94"/>
  <c r="EZ796" i="94"/>
  <c r="BF796" i="94"/>
  <c r="AB796" i="94"/>
  <c r="LJ796" i="94"/>
  <c r="AQ796" i="94"/>
  <c r="EP796" i="94"/>
  <c r="HL796" i="94"/>
  <c r="LK796" i="94"/>
  <c r="LZ802" i="94"/>
  <c r="IQ803" i="94"/>
  <c r="GJ779" i="94"/>
  <c r="GR779" i="94"/>
  <c r="GZ779" i="94"/>
  <c r="HH779" i="94"/>
  <c r="HP779" i="94"/>
  <c r="HX779" i="94"/>
  <c r="IF779" i="94"/>
  <c r="IN779" i="94"/>
  <c r="IV779" i="94"/>
  <c r="JD779" i="94"/>
  <c r="JL779" i="94"/>
  <c r="JT779" i="94"/>
  <c r="KB779" i="94"/>
  <c r="KJ779" i="94"/>
  <c r="KR779" i="94"/>
  <c r="KZ779" i="94"/>
  <c r="LP779" i="94"/>
  <c r="LX779" i="94"/>
  <c r="AB780" i="94"/>
  <c r="AJ780" i="94"/>
  <c r="AR780" i="94"/>
  <c r="AZ780" i="94"/>
  <c r="BH780" i="94"/>
  <c r="BP780" i="94"/>
  <c r="BX780" i="94"/>
  <c r="CF780" i="94"/>
  <c r="CN780" i="94"/>
  <c r="CV780" i="94"/>
  <c r="DD780" i="94"/>
  <c r="DL780" i="94"/>
  <c r="DT780" i="94"/>
  <c r="EB780" i="94"/>
  <c r="EJ780" i="94"/>
  <c r="ER780" i="94"/>
  <c r="EZ780" i="94"/>
  <c r="FH780" i="94"/>
  <c r="FP780" i="94"/>
  <c r="FX780" i="94"/>
  <c r="GF780" i="94"/>
  <c r="GN780" i="94"/>
  <c r="GV780" i="94"/>
  <c r="HD780" i="94"/>
  <c r="HL780" i="94"/>
  <c r="HT780" i="94"/>
  <c r="IB780" i="94"/>
  <c r="IJ780" i="94"/>
  <c r="IR780" i="94"/>
  <c r="IZ780" i="94"/>
  <c r="JH780" i="94"/>
  <c r="JP780" i="94"/>
  <c r="JX780" i="94"/>
  <c r="KF780" i="94"/>
  <c r="KN780" i="94"/>
  <c r="KV780" i="94"/>
  <c r="LD780" i="94"/>
  <c r="LL780" i="94"/>
  <c r="LT780" i="94"/>
  <c r="MB780" i="94"/>
  <c r="MJ780" i="94"/>
  <c r="MR780" i="94"/>
  <c r="GJ781" i="94"/>
  <c r="GR781" i="94"/>
  <c r="GZ781" i="94"/>
  <c r="HH781" i="94"/>
  <c r="HP781" i="94"/>
  <c r="HX781" i="94"/>
  <c r="IF781" i="94"/>
  <c r="IN781" i="94"/>
  <c r="IV781" i="94"/>
  <c r="JD781" i="94"/>
  <c r="JL781" i="94"/>
  <c r="JT781" i="94"/>
  <c r="KB781" i="94"/>
  <c r="KJ781" i="94"/>
  <c r="KR781" i="94"/>
  <c r="KZ781" i="94"/>
  <c r="LP781" i="94"/>
  <c r="LX781" i="94"/>
  <c r="MP782" i="94"/>
  <c r="MH782" i="94"/>
  <c r="LZ782" i="94"/>
  <c r="LR782" i="94"/>
  <c r="LB782" i="94"/>
  <c r="KT782" i="94"/>
  <c r="KL782" i="94"/>
  <c r="KD782" i="94"/>
  <c r="JV782" i="94"/>
  <c r="JN782" i="94"/>
  <c r="JF782" i="94"/>
  <c r="IX782" i="94"/>
  <c r="IP782" i="94"/>
  <c r="IH782" i="94"/>
  <c r="HZ782" i="94"/>
  <c r="HR782" i="94"/>
  <c r="HJ782" i="94"/>
  <c r="HB782" i="94"/>
  <c r="GT782" i="94"/>
  <c r="AB782" i="94"/>
  <c r="AJ782" i="94"/>
  <c r="AR782" i="94"/>
  <c r="AZ782" i="94"/>
  <c r="BH782" i="94"/>
  <c r="BP782" i="94"/>
  <c r="BX782" i="94"/>
  <c r="CF782" i="94"/>
  <c r="CN782" i="94"/>
  <c r="CV782" i="94"/>
  <c r="DD782" i="94"/>
  <c r="DL782" i="94"/>
  <c r="DT782" i="94"/>
  <c r="EB782" i="94"/>
  <c r="EJ782" i="94"/>
  <c r="ER782" i="94"/>
  <c r="EZ782" i="94"/>
  <c r="FH782" i="94"/>
  <c r="FP782" i="94"/>
  <c r="FX782" i="94"/>
  <c r="GF782" i="94"/>
  <c r="GN782" i="94"/>
  <c r="GW782" i="94"/>
  <c r="HF782" i="94"/>
  <c r="HO782" i="94"/>
  <c r="HX782" i="94"/>
  <c r="IG782" i="94"/>
  <c r="IQ782" i="94"/>
  <c r="IZ782" i="94"/>
  <c r="JI782" i="94"/>
  <c r="JR782" i="94"/>
  <c r="KA782" i="94"/>
  <c r="KJ782" i="94"/>
  <c r="KS782" i="94"/>
  <c r="LC782" i="94"/>
  <c r="LL782" i="94"/>
  <c r="LU782" i="94"/>
  <c r="MD782" i="94"/>
  <c r="MM782" i="94"/>
  <c r="MM783" i="94"/>
  <c r="ME783" i="94"/>
  <c r="LW783" i="94"/>
  <c r="LO783" i="94"/>
  <c r="KY783" i="94"/>
  <c r="KQ783" i="94"/>
  <c r="KI783" i="94"/>
  <c r="KA783" i="94"/>
  <c r="JS783" i="94"/>
  <c r="JK783" i="94"/>
  <c r="JC783" i="94"/>
  <c r="IU783" i="94"/>
  <c r="IM783" i="94"/>
  <c r="IE783" i="94"/>
  <c r="HW783" i="94"/>
  <c r="HO783" i="94"/>
  <c r="HG783" i="94"/>
  <c r="GY783" i="94"/>
  <c r="GQ783" i="94"/>
  <c r="ML783" i="94"/>
  <c r="MD783" i="94"/>
  <c r="LV783" i="94"/>
  <c r="LN783" i="94"/>
  <c r="KX783" i="94"/>
  <c r="KP783" i="94"/>
  <c r="KH783" i="94"/>
  <c r="JZ783" i="94"/>
  <c r="JR783" i="94"/>
  <c r="JJ783" i="94"/>
  <c r="JB783" i="94"/>
  <c r="IT783" i="94"/>
  <c r="IL783" i="94"/>
  <c r="ID783" i="94"/>
  <c r="HV783" i="94"/>
  <c r="HN783" i="94"/>
  <c r="HF783" i="94"/>
  <c r="GX783" i="94"/>
  <c r="GP783" i="94"/>
  <c r="GH783" i="94"/>
  <c r="FZ783" i="94"/>
  <c r="FR783" i="94"/>
  <c r="FJ783" i="94"/>
  <c r="FB783" i="94"/>
  <c r="ET783" i="94"/>
  <c r="EL783" i="94"/>
  <c r="ED783" i="94"/>
  <c r="DV783" i="94"/>
  <c r="DN783" i="94"/>
  <c r="DF783" i="94"/>
  <c r="CX783" i="94"/>
  <c r="CP783" i="94"/>
  <c r="CH783" i="94"/>
  <c r="BZ783" i="94"/>
  <c r="BR783" i="94"/>
  <c r="BJ783" i="94"/>
  <c r="BB783" i="94"/>
  <c r="AT783" i="94"/>
  <c r="AL783" i="94"/>
  <c r="AD783" i="94"/>
  <c r="AB783" i="94"/>
  <c r="AK783" i="94"/>
  <c r="AU783" i="94"/>
  <c r="BD783" i="94"/>
  <c r="BM783" i="94"/>
  <c r="BV783" i="94"/>
  <c r="CE783" i="94"/>
  <c r="CN783" i="94"/>
  <c r="CW783" i="94"/>
  <c r="DG783" i="94"/>
  <c r="DP783" i="94"/>
  <c r="DY783" i="94"/>
  <c r="EH783" i="94"/>
  <c r="EQ783" i="94"/>
  <c r="EZ783" i="94"/>
  <c r="FI783" i="94"/>
  <c r="FS783" i="94"/>
  <c r="GB783" i="94"/>
  <c r="GK783" i="94"/>
  <c r="GU783" i="94"/>
  <c r="HE783" i="94"/>
  <c r="HQ783" i="94"/>
  <c r="IA783" i="94"/>
  <c r="IK783" i="94"/>
  <c r="IW783" i="94"/>
  <c r="JG783" i="94"/>
  <c r="JQ783" i="94"/>
  <c r="KC783" i="94"/>
  <c r="KM783" i="94"/>
  <c r="KW783" i="94"/>
  <c r="LS783" i="94"/>
  <c r="MC783" i="94"/>
  <c r="MO783" i="94"/>
  <c r="A784" i="94"/>
  <c r="Z785" i="94"/>
  <c r="AJ785" i="94"/>
  <c r="AV785" i="94"/>
  <c r="BF785" i="94"/>
  <c r="BP785" i="94"/>
  <c r="CB785" i="94"/>
  <c r="CL785" i="94"/>
  <c r="CV785" i="94"/>
  <c r="DH785" i="94"/>
  <c r="DR785" i="94"/>
  <c r="EB785" i="94"/>
  <c r="EN785" i="94"/>
  <c r="EX785" i="94"/>
  <c r="FH785" i="94"/>
  <c r="FT785" i="94"/>
  <c r="GD785" i="94"/>
  <c r="GN785" i="94"/>
  <c r="GZ785" i="94"/>
  <c r="HJ785" i="94"/>
  <c r="HT785" i="94"/>
  <c r="IF785" i="94"/>
  <c r="IP785" i="94"/>
  <c r="IZ785" i="94"/>
  <c r="JL785" i="94"/>
  <c r="JV785" i="94"/>
  <c r="KF785" i="94"/>
  <c r="KR785" i="94"/>
  <c r="LB785" i="94"/>
  <c r="LL785" i="94"/>
  <c r="LX785" i="94"/>
  <c r="MH785" i="94"/>
  <c r="AD786" i="94"/>
  <c r="AN786" i="94"/>
  <c r="AZ786" i="94"/>
  <c r="BJ786" i="94"/>
  <c r="BT786" i="94"/>
  <c r="CF786" i="94"/>
  <c r="CP786" i="94"/>
  <c r="CZ786" i="94"/>
  <c r="DL786" i="94"/>
  <c r="DV786" i="94"/>
  <c r="EF786" i="94"/>
  <c r="ER786" i="94"/>
  <c r="FB786" i="94"/>
  <c r="FL786" i="94"/>
  <c r="FX786" i="94"/>
  <c r="GH786" i="94"/>
  <c r="GR786" i="94"/>
  <c r="HD786" i="94"/>
  <c r="HN786" i="94"/>
  <c r="HX786" i="94"/>
  <c r="IJ786" i="94"/>
  <c r="IT786" i="94"/>
  <c r="JD786" i="94"/>
  <c r="JP786" i="94"/>
  <c r="JZ786" i="94"/>
  <c r="KJ786" i="94"/>
  <c r="KV786" i="94"/>
  <c r="LF786" i="94"/>
  <c r="LP786" i="94"/>
  <c r="MB786" i="94"/>
  <c r="MM787" i="94"/>
  <c r="ME787" i="94"/>
  <c r="LW787" i="94"/>
  <c r="LO787" i="94"/>
  <c r="KY787" i="94"/>
  <c r="KQ787" i="94"/>
  <c r="KI787" i="94"/>
  <c r="KA787" i="94"/>
  <c r="JS787" i="94"/>
  <c r="JK787" i="94"/>
  <c r="JC787" i="94"/>
  <c r="IU787" i="94"/>
  <c r="IM787" i="94"/>
  <c r="IE787" i="94"/>
  <c r="HW787" i="94"/>
  <c r="HO787" i="94"/>
  <c r="HG787" i="94"/>
  <c r="GY787" i="94"/>
  <c r="GQ787" i="94"/>
  <c r="GI787" i="94"/>
  <c r="GA787" i="94"/>
  <c r="FS787" i="94"/>
  <c r="FK787" i="94"/>
  <c r="FC787" i="94"/>
  <c r="EU787" i="94"/>
  <c r="EM787" i="94"/>
  <c r="EE787" i="94"/>
  <c r="DW787" i="94"/>
  <c r="DO787" i="94"/>
  <c r="DG787" i="94"/>
  <c r="CY787" i="94"/>
  <c r="CQ787" i="94"/>
  <c r="CI787" i="94"/>
  <c r="CA787" i="94"/>
  <c r="BS787" i="94"/>
  <c r="BK787" i="94"/>
  <c r="BC787" i="94"/>
  <c r="AU787" i="94"/>
  <c r="AM787" i="94"/>
  <c r="AE787" i="94"/>
  <c r="W787" i="94"/>
  <c r="ML787" i="94"/>
  <c r="MD787" i="94"/>
  <c r="LV787" i="94"/>
  <c r="LN787" i="94"/>
  <c r="KX787" i="94"/>
  <c r="KP787" i="94"/>
  <c r="KH787" i="94"/>
  <c r="JZ787" i="94"/>
  <c r="JR787" i="94"/>
  <c r="JJ787" i="94"/>
  <c r="JB787" i="94"/>
  <c r="IT787" i="94"/>
  <c r="IL787" i="94"/>
  <c r="ID787" i="94"/>
  <c r="HV787" i="94"/>
  <c r="HN787" i="94"/>
  <c r="HF787" i="94"/>
  <c r="GX787" i="94"/>
  <c r="GP787" i="94"/>
  <c r="GH787" i="94"/>
  <c r="FZ787" i="94"/>
  <c r="FR787" i="94"/>
  <c r="FJ787" i="94"/>
  <c r="FB787" i="94"/>
  <c r="ET787" i="94"/>
  <c r="EL787" i="94"/>
  <c r="ED787" i="94"/>
  <c r="DV787" i="94"/>
  <c r="DN787" i="94"/>
  <c r="DF787" i="94"/>
  <c r="CX787" i="94"/>
  <c r="CP787" i="94"/>
  <c r="CH787" i="94"/>
  <c r="BZ787" i="94"/>
  <c r="BR787" i="94"/>
  <c r="BJ787" i="94"/>
  <c r="BB787" i="94"/>
  <c r="AT787" i="94"/>
  <c r="AL787" i="94"/>
  <c r="AD787" i="94"/>
  <c r="AC787" i="94"/>
  <c r="AO787" i="94"/>
  <c r="AY787" i="94"/>
  <c r="BI787" i="94"/>
  <c r="BU787" i="94"/>
  <c r="CE787" i="94"/>
  <c r="CO787" i="94"/>
  <c r="DA787" i="94"/>
  <c r="DK787" i="94"/>
  <c r="DU787" i="94"/>
  <c r="EG787" i="94"/>
  <c r="EQ787" i="94"/>
  <c r="FA787" i="94"/>
  <c r="FM787" i="94"/>
  <c r="FW787" i="94"/>
  <c r="GG787" i="94"/>
  <c r="GS787" i="94"/>
  <c r="HC787" i="94"/>
  <c r="HM787" i="94"/>
  <c r="HY787" i="94"/>
  <c r="II787" i="94"/>
  <c r="IS787" i="94"/>
  <c r="JE787" i="94"/>
  <c r="JO787" i="94"/>
  <c r="JY787" i="94"/>
  <c r="KK787" i="94"/>
  <c r="KU787" i="94"/>
  <c r="LE787" i="94"/>
  <c r="LQ787" i="94"/>
  <c r="MA787" i="94"/>
  <c r="MK787" i="94"/>
  <c r="MQ788" i="94"/>
  <c r="MI788" i="94"/>
  <c r="MA788" i="94"/>
  <c r="LS788" i="94"/>
  <c r="LK788" i="94"/>
  <c r="LC788" i="94"/>
  <c r="KU788" i="94"/>
  <c r="KM788" i="94"/>
  <c r="KE788" i="94"/>
  <c r="JW788" i="94"/>
  <c r="JO788" i="94"/>
  <c r="JG788" i="94"/>
  <c r="IY788" i="94"/>
  <c r="IQ788" i="94"/>
  <c r="II788" i="94"/>
  <c r="IA788" i="94"/>
  <c r="HS788" i="94"/>
  <c r="HK788" i="94"/>
  <c r="HC788" i="94"/>
  <c r="GU788" i="94"/>
  <c r="GM788" i="94"/>
  <c r="GE788" i="94"/>
  <c r="FW788" i="94"/>
  <c r="FO788" i="94"/>
  <c r="FG788" i="94"/>
  <c r="EY788" i="94"/>
  <c r="EQ788" i="94"/>
  <c r="EI788" i="94"/>
  <c r="EA788" i="94"/>
  <c r="DS788" i="94"/>
  <c r="DK788" i="94"/>
  <c r="DC788" i="94"/>
  <c r="CU788" i="94"/>
  <c r="CM788" i="94"/>
  <c r="CE788" i="94"/>
  <c r="BW788" i="94"/>
  <c r="BO788" i="94"/>
  <c r="BG788" i="94"/>
  <c r="AY788" i="94"/>
  <c r="AQ788" i="94"/>
  <c r="AI788" i="94"/>
  <c r="AA788" i="94"/>
  <c r="MP788" i="94"/>
  <c r="MH788" i="94"/>
  <c r="LZ788" i="94"/>
  <c r="LR788" i="94"/>
  <c r="LB788" i="94"/>
  <c r="KT788" i="94"/>
  <c r="KL788" i="94"/>
  <c r="KD788" i="94"/>
  <c r="JV788" i="94"/>
  <c r="JN788" i="94"/>
  <c r="JF788" i="94"/>
  <c r="IX788" i="94"/>
  <c r="IP788" i="94"/>
  <c r="IH788" i="94"/>
  <c r="HZ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Z788" i="94"/>
  <c r="W788" i="94"/>
  <c r="AG788" i="94"/>
  <c r="AS788" i="94"/>
  <c r="BC788" i="94"/>
  <c r="BM788" i="94"/>
  <c r="BY788" i="94"/>
  <c r="CI788" i="94"/>
  <c r="CS788" i="94"/>
  <c r="DE788" i="94"/>
  <c r="DO788" i="94"/>
  <c r="DY788" i="94"/>
  <c r="EK788" i="94"/>
  <c r="EU788" i="94"/>
  <c r="FE788" i="94"/>
  <c r="FQ788" i="94"/>
  <c r="GA788" i="94"/>
  <c r="GK788" i="94"/>
  <c r="GW788" i="94"/>
  <c r="HG788" i="94"/>
  <c r="HQ788" i="94"/>
  <c r="IC788" i="94"/>
  <c r="IM788" i="94"/>
  <c r="IW788" i="94"/>
  <c r="JI788" i="94"/>
  <c r="JS788" i="94"/>
  <c r="KC788" i="94"/>
  <c r="KO788" i="94"/>
  <c r="KY788" i="94"/>
  <c r="LI788" i="94"/>
  <c r="LU788" i="94"/>
  <c r="ME788" i="94"/>
  <c r="MO788" i="94"/>
  <c r="X789" i="94"/>
  <c r="AH789" i="94"/>
  <c r="AR789" i="94"/>
  <c r="BD789" i="94"/>
  <c r="BN789" i="94"/>
  <c r="BX789" i="94"/>
  <c r="CJ789" i="94"/>
  <c r="CT789" i="94"/>
  <c r="DD789" i="94"/>
  <c r="DP789" i="94"/>
  <c r="DZ789" i="94"/>
  <c r="EJ789" i="94"/>
  <c r="EV789" i="94"/>
  <c r="FF789" i="94"/>
  <c r="FP789" i="94"/>
  <c r="GB789" i="94"/>
  <c r="GL789" i="94"/>
  <c r="GV789" i="94"/>
  <c r="HH789" i="94"/>
  <c r="HR789" i="94"/>
  <c r="IB789" i="94"/>
  <c r="IN789" i="94"/>
  <c r="IX789" i="94"/>
  <c r="JH789" i="94"/>
  <c r="JT789" i="94"/>
  <c r="KD789" i="94"/>
  <c r="KN789" i="94"/>
  <c r="KZ789" i="94"/>
  <c r="LJ789" i="94"/>
  <c r="LT789" i="94"/>
  <c r="MF789" i="94"/>
  <c r="MP789" i="94"/>
  <c r="AB790" i="94"/>
  <c r="AL790" i="94"/>
  <c r="AV790" i="94"/>
  <c r="BH790" i="94"/>
  <c r="BR790" i="94"/>
  <c r="CB790" i="94"/>
  <c r="CN790" i="94"/>
  <c r="CX790" i="94"/>
  <c r="DH790" i="94"/>
  <c r="DT790" i="94"/>
  <c r="ED790" i="94"/>
  <c r="EN790" i="94"/>
  <c r="EZ790" i="94"/>
  <c r="FJ790" i="94"/>
  <c r="FT790" i="94"/>
  <c r="GF790" i="94"/>
  <c r="GP790" i="94"/>
  <c r="GZ790" i="94"/>
  <c r="HL790" i="94"/>
  <c r="HV790" i="94"/>
  <c r="IF790" i="94"/>
  <c r="IR790" i="94"/>
  <c r="JB790" i="94"/>
  <c r="JL790" i="94"/>
  <c r="JX790" i="94"/>
  <c r="KH790" i="94"/>
  <c r="KR790" i="94"/>
  <c r="LD790" i="94"/>
  <c r="LN790" i="94"/>
  <c r="LX790" i="94"/>
  <c r="MJ790" i="94"/>
  <c r="IJ792" i="94"/>
  <c r="JF792" i="94"/>
  <c r="JX792" i="94"/>
  <c r="KV792" i="94"/>
  <c r="MJ792" i="94"/>
  <c r="AL793" i="94"/>
  <c r="BD793" i="94"/>
  <c r="EL793" i="94"/>
  <c r="GX793" i="94"/>
  <c r="HV793" i="94"/>
  <c r="LV793" i="94"/>
  <c r="AP796" i="94"/>
  <c r="BN796" i="94"/>
  <c r="CM796" i="94"/>
  <c r="DK796" i="94"/>
  <c r="EJ796" i="94"/>
  <c r="FN796" i="94"/>
  <c r="GL796" i="94"/>
  <c r="HK796" i="94"/>
  <c r="II796" i="94"/>
  <c r="JH796" i="94"/>
  <c r="KL796" i="94"/>
  <c r="HC797" i="94"/>
  <c r="ID797" i="94"/>
  <c r="JD797" i="94"/>
  <c r="KB797" i="94"/>
  <c r="LC797" i="94"/>
  <c r="LX797" i="94"/>
  <c r="IR798" i="94"/>
  <c r="JX798" i="94"/>
  <c r="LD798" i="94"/>
  <c r="MM798" i="94"/>
  <c r="FV802" i="94"/>
  <c r="DJ802" i="94"/>
  <c r="CM802" i="94"/>
  <c r="BS802" i="94"/>
  <c r="EA802" i="94"/>
  <c r="DG802" i="94"/>
  <c r="CL802" i="94"/>
  <c r="BO802" i="94"/>
  <c r="DZ802" i="94"/>
  <c r="DC802" i="94"/>
  <c r="CI802" i="94"/>
  <c r="BN802" i="94"/>
  <c r="DR802" i="94"/>
  <c r="CU802" i="94"/>
  <c r="CA802" i="94"/>
  <c r="CY802" i="94"/>
  <c r="Z804" i="94"/>
  <c r="BO804" i="94"/>
  <c r="DL804" i="94"/>
  <c r="FE804" i="94"/>
  <c r="GT804" i="94"/>
  <c r="KW805" i="94"/>
  <c r="KS806" i="94"/>
  <c r="AV807" i="94"/>
  <c r="EB807" i="94"/>
  <c r="GO807" i="94"/>
  <c r="MM785" i="94"/>
  <c r="ME785" i="94"/>
  <c r="LW785" i="94"/>
  <c r="LO785" i="94"/>
  <c r="KY785" i="94"/>
  <c r="KQ785" i="94"/>
  <c r="KI785" i="94"/>
  <c r="KA785" i="94"/>
  <c r="JS785" i="94"/>
  <c r="JK785" i="94"/>
  <c r="JC785" i="94"/>
  <c r="IU785" i="94"/>
  <c r="IM785" i="94"/>
  <c r="IE785" i="94"/>
  <c r="HW785" i="94"/>
  <c r="HO785" i="94"/>
  <c r="HG785" i="94"/>
  <c r="GY785" i="94"/>
  <c r="GQ785" i="94"/>
  <c r="GI785" i="94"/>
  <c r="GA785" i="94"/>
  <c r="FS785" i="94"/>
  <c r="FK785" i="94"/>
  <c r="FC785" i="94"/>
  <c r="EU785" i="94"/>
  <c r="EM785" i="94"/>
  <c r="EE785" i="94"/>
  <c r="DW785" i="94"/>
  <c r="DO785" i="94"/>
  <c r="DG785" i="94"/>
  <c r="CY785" i="94"/>
  <c r="CQ785" i="94"/>
  <c r="CI785" i="94"/>
  <c r="CA785" i="94"/>
  <c r="BS785" i="94"/>
  <c r="BK785" i="94"/>
  <c r="BC785" i="94"/>
  <c r="AU785" i="94"/>
  <c r="AM785" i="94"/>
  <c r="AE785" i="94"/>
  <c r="W785" i="94"/>
  <c r="ML785" i="94"/>
  <c r="MD785" i="94"/>
  <c r="LV785" i="94"/>
  <c r="LN785" i="94"/>
  <c r="KX785" i="94"/>
  <c r="KP785" i="94"/>
  <c r="KH785" i="94"/>
  <c r="JZ785" i="94"/>
  <c r="JR785" i="94"/>
  <c r="JJ785" i="94"/>
  <c r="JB785" i="94"/>
  <c r="IT785" i="94"/>
  <c r="IL785" i="94"/>
  <c r="ID785" i="94"/>
  <c r="HV785" i="94"/>
  <c r="HN785" i="94"/>
  <c r="HF785" i="94"/>
  <c r="GX785" i="94"/>
  <c r="GP785" i="94"/>
  <c r="GH785" i="94"/>
  <c r="FZ785" i="94"/>
  <c r="FR785" i="94"/>
  <c r="FJ785" i="94"/>
  <c r="FB785" i="94"/>
  <c r="ET785" i="94"/>
  <c r="EL785" i="94"/>
  <c r="ED785" i="94"/>
  <c r="DV785" i="94"/>
  <c r="DN785" i="94"/>
  <c r="DF785" i="94"/>
  <c r="CX785" i="94"/>
  <c r="CP785" i="94"/>
  <c r="CH785" i="94"/>
  <c r="BZ785" i="94"/>
  <c r="BR785" i="94"/>
  <c r="BJ785" i="94"/>
  <c r="BB785" i="94"/>
  <c r="AT785" i="94"/>
  <c r="AL785" i="94"/>
  <c r="AD785" i="94"/>
  <c r="AC785" i="94"/>
  <c r="AO785" i="94"/>
  <c r="AY785" i="94"/>
  <c r="BI785" i="94"/>
  <c r="BU785" i="94"/>
  <c r="CE785" i="94"/>
  <c r="CO785" i="94"/>
  <c r="DA785" i="94"/>
  <c r="DK785" i="94"/>
  <c r="DU785" i="94"/>
  <c r="EG785" i="94"/>
  <c r="EQ785" i="94"/>
  <c r="FA785" i="94"/>
  <c r="FM785" i="94"/>
  <c r="FW785" i="94"/>
  <c r="GG785" i="94"/>
  <c r="GS785" i="94"/>
  <c r="HC785" i="94"/>
  <c r="HM785" i="94"/>
  <c r="HY785" i="94"/>
  <c r="II785" i="94"/>
  <c r="IS785" i="94"/>
  <c r="JE785" i="94"/>
  <c r="JO785" i="94"/>
  <c r="JY785" i="94"/>
  <c r="KK785" i="94"/>
  <c r="KU785" i="94"/>
  <c r="LE785" i="94"/>
  <c r="LQ785" i="94"/>
  <c r="MA785" i="94"/>
  <c r="MK785" i="94"/>
  <c r="MQ786" i="94"/>
  <c r="MI786" i="94"/>
  <c r="MA786" i="94"/>
  <c r="LS786" i="94"/>
  <c r="LK786" i="94"/>
  <c r="LC786" i="94"/>
  <c r="KU786" i="94"/>
  <c r="KM786" i="94"/>
  <c r="KE786" i="94"/>
  <c r="JW786" i="94"/>
  <c r="JO786" i="94"/>
  <c r="JG786" i="94"/>
  <c r="IY786" i="94"/>
  <c r="IQ786" i="94"/>
  <c r="II786" i="94"/>
  <c r="IA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MP786" i="94"/>
  <c r="MH786" i="94"/>
  <c r="LZ786" i="94"/>
  <c r="LR786" i="94"/>
  <c r="LB786" i="94"/>
  <c r="KT786" i="94"/>
  <c r="KL786" i="94"/>
  <c r="KD786" i="94"/>
  <c r="JV786" i="94"/>
  <c r="JN786" i="94"/>
  <c r="JF786" i="94"/>
  <c r="IX786" i="94"/>
  <c r="IP786" i="94"/>
  <c r="IH786" i="94"/>
  <c r="HZ786" i="94"/>
  <c r="HR786" i="94"/>
  <c r="HJ786" i="94"/>
  <c r="HB786" i="94"/>
  <c r="GT786" i="94"/>
  <c r="GL786" i="94"/>
  <c r="GD786" i="94"/>
  <c r="FV786" i="94"/>
  <c r="FN786" i="94"/>
  <c r="FF786" i="94"/>
  <c r="EX786" i="94"/>
  <c r="EP786" i="94"/>
  <c r="EH786" i="94"/>
  <c r="DZ786" i="94"/>
  <c r="DR786" i="94"/>
  <c r="DJ786" i="94"/>
  <c r="DB786" i="94"/>
  <c r="CT786" i="94"/>
  <c r="CL786" i="94"/>
  <c r="CD786" i="94"/>
  <c r="BV786" i="94"/>
  <c r="BN786" i="94"/>
  <c r="BF786" i="94"/>
  <c r="AX786" i="94"/>
  <c r="AP786" i="94"/>
  <c r="AH786" i="94"/>
  <c r="Z786" i="94"/>
  <c r="W786" i="94"/>
  <c r="AG786" i="94"/>
  <c r="AS786" i="94"/>
  <c r="BC786" i="94"/>
  <c r="BM786" i="94"/>
  <c r="BY786" i="94"/>
  <c r="CI786" i="94"/>
  <c r="CS786" i="94"/>
  <c r="DE786" i="94"/>
  <c r="DO786" i="94"/>
  <c r="DY786" i="94"/>
  <c r="EK786" i="94"/>
  <c r="EU786" i="94"/>
  <c r="FE786" i="94"/>
  <c r="FQ786" i="94"/>
  <c r="GA786" i="94"/>
  <c r="GK786" i="94"/>
  <c r="GW786" i="94"/>
  <c r="HG786" i="94"/>
  <c r="HQ786" i="94"/>
  <c r="IC786" i="94"/>
  <c r="IM786" i="94"/>
  <c r="IW786" i="94"/>
  <c r="JI786" i="94"/>
  <c r="JS786" i="94"/>
  <c r="KC786" i="94"/>
  <c r="KO786" i="94"/>
  <c r="KY786" i="94"/>
  <c r="LI786" i="94"/>
  <c r="LU786" i="94"/>
  <c r="ME786" i="94"/>
  <c r="MO786" i="94"/>
  <c r="GF788" i="94"/>
  <c r="GP788" i="94"/>
  <c r="GZ788" i="94"/>
  <c r="HL788" i="94"/>
  <c r="HV788" i="94"/>
  <c r="A789" i="94"/>
  <c r="AA789" i="94"/>
  <c r="AK789" i="94"/>
  <c r="AW789" i="94"/>
  <c r="BG789" i="94"/>
  <c r="BQ789" i="94"/>
  <c r="CC789" i="94"/>
  <c r="CM789" i="94"/>
  <c r="CW789" i="94"/>
  <c r="DI789" i="94"/>
  <c r="DS789" i="94"/>
  <c r="EC789" i="94"/>
  <c r="EO789" i="94"/>
  <c r="EY789" i="94"/>
  <c r="FI789" i="94"/>
  <c r="FU789" i="94"/>
  <c r="GE789" i="94"/>
  <c r="GO789" i="94"/>
  <c r="HA789" i="94"/>
  <c r="HK789" i="94"/>
  <c r="HU789" i="94"/>
  <c r="IG789" i="94"/>
  <c r="IQ789" i="94"/>
  <c r="JA789" i="94"/>
  <c r="JM789" i="94"/>
  <c r="JW789" i="94"/>
  <c r="KG789" i="94"/>
  <c r="KS789" i="94"/>
  <c r="LC789" i="94"/>
  <c r="LM789" i="94"/>
  <c r="LY789" i="94"/>
  <c r="MI789" i="94"/>
  <c r="MS789" i="94"/>
  <c r="AE790" i="94"/>
  <c r="AO790" i="94"/>
  <c r="BA790" i="94"/>
  <c r="BK790" i="94"/>
  <c r="BU790" i="94"/>
  <c r="CG790" i="94"/>
  <c r="CQ790" i="94"/>
  <c r="DA790" i="94"/>
  <c r="DM790" i="94"/>
  <c r="DW790" i="94"/>
  <c r="EG790" i="94"/>
  <c r="ES790" i="94"/>
  <c r="FC790" i="94"/>
  <c r="FM790" i="94"/>
  <c r="FY790" i="94"/>
  <c r="GI790" i="94"/>
  <c r="GS790" i="94"/>
  <c r="HE790" i="94"/>
  <c r="HO790" i="94"/>
  <c r="HY790" i="94"/>
  <c r="IK790" i="94"/>
  <c r="IU790" i="94"/>
  <c r="JE790" i="94"/>
  <c r="JQ790" i="94"/>
  <c r="KA790" i="94"/>
  <c r="KK790" i="94"/>
  <c r="KW790" i="94"/>
  <c r="LG790" i="94"/>
  <c r="LQ790" i="94"/>
  <c r="MC790" i="94"/>
  <c r="MM790" i="94"/>
  <c r="IQ792" i="94"/>
  <c r="JK792" i="94"/>
  <c r="KI792" i="94"/>
  <c r="LC792" i="94"/>
  <c r="LJ793" i="94"/>
  <c r="LI793" i="94"/>
  <c r="FU793" i="94"/>
  <c r="FM793" i="94"/>
  <c r="FE793" i="94"/>
  <c r="EW793" i="94"/>
  <c r="EO793" i="94"/>
  <c r="BE793" i="94"/>
  <c r="AW793" i="94"/>
  <c r="AO793" i="94"/>
  <c r="AG793" i="94"/>
  <c r="Y793" i="94"/>
  <c r="FQ793" i="94"/>
  <c r="FI793" i="94"/>
  <c r="FA793" i="94"/>
  <c r="ES793" i="94"/>
  <c r="EK793" i="94"/>
  <c r="BI793" i="94"/>
  <c r="BA793" i="94"/>
  <c r="AS793" i="94"/>
  <c r="AK793" i="94"/>
  <c r="AC793" i="94"/>
  <c r="LK793" i="94"/>
  <c r="FG793" i="94"/>
  <c r="EQ793" i="94"/>
  <c r="AY793" i="94"/>
  <c r="AI793" i="94"/>
  <c r="LH793" i="94"/>
  <c r="FT793" i="94"/>
  <c r="FD793" i="94"/>
  <c r="EN793" i="94"/>
  <c r="AV793" i="94"/>
  <c r="AF793" i="94"/>
  <c r="GC793" i="94"/>
  <c r="EG793" i="94"/>
  <c r="EC793" i="94"/>
  <c r="W793" i="94"/>
  <c r="AQ793" i="94"/>
  <c r="EU793" i="94"/>
  <c r="FO793" i="94"/>
  <c r="GI793" i="94"/>
  <c r="HG793" i="94"/>
  <c r="LG793" i="94"/>
  <c r="ME793" i="94"/>
  <c r="MN796" i="94"/>
  <c r="MF796" i="94"/>
  <c r="LX796" i="94"/>
  <c r="LP796" i="94"/>
  <c r="KZ796" i="94"/>
  <c r="KR796" i="94"/>
  <c r="KJ796" i="94"/>
  <c r="KB796" i="94"/>
  <c r="JT796" i="94"/>
  <c r="JL796" i="94"/>
  <c r="JD796" i="94"/>
  <c r="IV796" i="94"/>
  <c r="IN796" i="94"/>
  <c r="IF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L796" i="94"/>
  <c r="MD796" i="94"/>
  <c r="LV796" i="94"/>
  <c r="LN796" i="94"/>
  <c r="KX796" i="94"/>
  <c r="KP796" i="94"/>
  <c r="KH796" i="94"/>
  <c r="JZ796" i="94"/>
  <c r="JR796" i="94"/>
  <c r="JJ796" i="94"/>
  <c r="JB796" i="94"/>
  <c r="IT796" i="94"/>
  <c r="IL796" i="94"/>
  <c r="ID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S796" i="94"/>
  <c r="MK796" i="94"/>
  <c r="MC796" i="94"/>
  <c r="LU796" i="94"/>
  <c r="LM796" i="94"/>
  <c r="LE796" i="94"/>
  <c r="KW796" i="94"/>
  <c r="KO796" i="94"/>
  <c r="KG796" i="94"/>
  <c r="JY796" i="94"/>
  <c r="JQ796" i="94"/>
  <c r="JI796" i="94"/>
  <c r="JA796" i="94"/>
  <c r="IS796" i="94"/>
  <c r="IK796" i="94"/>
  <c r="IC796" i="94"/>
  <c r="HU796" i="94"/>
  <c r="HM796" i="94"/>
  <c r="HE796" i="94"/>
  <c r="GW796" i="94"/>
  <c r="GO796" i="94"/>
  <c r="GG796" i="94"/>
  <c r="FY796" i="94"/>
  <c r="FQ796" i="94"/>
  <c r="FI796" i="94"/>
  <c r="FA796" i="94"/>
  <c r="ES796" i="94"/>
  <c r="EK796" i="94"/>
  <c r="EC796" i="94"/>
  <c r="DU796" i="94"/>
  <c r="DM796" i="94"/>
  <c r="DE796" i="94"/>
  <c r="CW796" i="94"/>
  <c r="CO796" i="94"/>
  <c r="CG796" i="94"/>
  <c r="BY796" i="94"/>
  <c r="BQ796" i="94"/>
  <c r="BI796" i="94"/>
  <c r="BA796" i="94"/>
  <c r="AS796" i="94"/>
  <c r="AK796" i="94"/>
  <c r="AC796" i="94"/>
  <c r="MO796" i="94"/>
  <c r="MG796" i="94"/>
  <c r="LY796" i="94"/>
  <c r="LQ796" i="94"/>
  <c r="LA796" i="94"/>
  <c r="KS796" i="94"/>
  <c r="KK796" i="94"/>
  <c r="KC796" i="94"/>
  <c r="JU796" i="94"/>
  <c r="JM796" i="94"/>
  <c r="JE796" i="94"/>
  <c r="IW796" i="94"/>
  <c r="IO796" i="94"/>
  <c r="IG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E796" i="94"/>
  <c r="LO796" i="94"/>
  <c r="KY796" i="94"/>
  <c r="KI796" i="94"/>
  <c r="JS796" i="94"/>
  <c r="JC796" i="94"/>
  <c r="IM796" i="94"/>
  <c r="HW796" i="94"/>
  <c r="HG796" i="94"/>
  <c r="GQ796" i="94"/>
  <c r="GA796" i="94"/>
  <c r="FK796" i="94"/>
  <c r="EU796" i="94"/>
  <c r="EE796" i="94"/>
  <c r="DO796" i="94"/>
  <c r="CY796" i="94"/>
  <c r="CI796" i="94"/>
  <c r="BS796" i="94"/>
  <c r="BC796" i="94"/>
  <c r="AM796" i="94"/>
  <c r="W796" i="94"/>
  <c r="MR796" i="94"/>
  <c r="MB796" i="94"/>
  <c r="LL796" i="94"/>
  <c r="KV796" i="94"/>
  <c r="KF796" i="94"/>
  <c r="JP796" i="94"/>
  <c r="IZ796" i="94"/>
  <c r="IJ796" i="94"/>
  <c r="HT796" i="94"/>
  <c r="HD796" i="94"/>
  <c r="GN796" i="94"/>
  <c r="FX796" i="94"/>
  <c r="FH796" i="94"/>
  <c r="ER796" i="94"/>
  <c r="EB796" i="94"/>
  <c r="DL796" i="94"/>
  <c r="CV796" i="94"/>
  <c r="CF796" i="94"/>
  <c r="BP796" i="94"/>
  <c r="AZ796" i="94"/>
  <c r="AJ796" i="94"/>
  <c r="MM796" i="94"/>
  <c r="LW796" i="94"/>
  <c r="KQ796" i="94"/>
  <c r="KA796" i="94"/>
  <c r="JK796" i="94"/>
  <c r="IU796" i="94"/>
  <c r="IE796" i="94"/>
  <c r="HO796" i="94"/>
  <c r="GY796" i="94"/>
  <c r="GI796" i="94"/>
  <c r="FS796" i="94"/>
  <c r="FC796" i="94"/>
  <c r="EM796" i="94"/>
  <c r="DW796" i="94"/>
  <c r="DG796" i="94"/>
  <c r="CQ796" i="94"/>
  <c r="CA796" i="94"/>
  <c r="BK796" i="94"/>
  <c r="AU796" i="94"/>
  <c r="AE796" i="94"/>
  <c r="Z796" i="94"/>
  <c r="AX796" i="94"/>
  <c r="BW796" i="94"/>
  <c r="CU796" i="94"/>
  <c r="DT796" i="94"/>
  <c r="EX796" i="94"/>
  <c r="FV796" i="94"/>
  <c r="GU796" i="94"/>
  <c r="HS796" i="94"/>
  <c r="IR796" i="94"/>
  <c r="JV796" i="94"/>
  <c r="KT796" i="94"/>
  <c r="LS796" i="94"/>
  <c r="MQ796" i="94"/>
  <c r="GM797" i="94"/>
  <c r="HN797" i="94"/>
  <c r="IN797" i="94"/>
  <c r="JL797" i="94"/>
  <c r="KM797" i="94"/>
  <c r="ML797" i="94"/>
  <c r="IA798" i="94"/>
  <c r="JG798" i="94"/>
  <c r="KM798" i="94"/>
  <c r="DY801" i="94"/>
  <c r="DQ801" i="94"/>
  <c r="DI801" i="94"/>
  <c r="DA801" i="94"/>
  <c r="CS801" i="94"/>
  <c r="CK801" i="94"/>
  <c r="CC801" i="94"/>
  <c r="BU801" i="94"/>
  <c r="BM801" i="94"/>
  <c r="DX801" i="94"/>
  <c r="DP801" i="94"/>
  <c r="DH801" i="94"/>
  <c r="CZ801" i="94"/>
  <c r="CR801" i="94"/>
  <c r="CJ801" i="94"/>
  <c r="CB801" i="94"/>
  <c r="BT801" i="94"/>
  <c r="BL801" i="94"/>
  <c r="FY801" i="94"/>
  <c r="DU801" i="94"/>
  <c r="DM801" i="94"/>
  <c r="DE801" i="94"/>
  <c r="CW801" i="94"/>
  <c r="CO801" i="94"/>
  <c r="CG801" i="94"/>
  <c r="BY801" i="94"/>
  <c r="BQ801" i="94"/>
  <c r="FW801" i="94"/>
  <c r="DK801" i="94"/>
  <c r="CP801" i="94"/>
  <c r="BS801" i="94"/>
  <c r="DG801" i="94"/>
  <c r="CM801" i="94"/>
  <c r="BR801" i="94"/>
  <c r="EA801" i="94"/>
  <c r="DF801" i="94"/>
  <c r="CI801" i="94"/>
  <c r="BO801" i="94"/>
  <c r="DS801" i="94"/>
  <c r="CX801" i="94"/>
  <c r="CA801" i="94"/>
  <c r="BZ801" i="94"/>
  <c r="DO801" i="94"/>
  <c r="BW802" i="94"/>
  <c r="DO802" i="94"/>
  <c r="AQ804" i="94"/>
  <c r="CJ804" i="94"/>
  <c r="FX804" i="94"/>
  <c r="HQ804" i="94"/>
  <c r="LI804" i="94"/>
  <c r="JD805" i="94"/>
  <c r="JC806" i="94"/>
  <c r="BY807" i="94"/>
  <c r="FG807" i="94"/>
  <c r="HU807" i="94"/>
  <c r="LJ807" i="94"/>
  <c r="AB777" i="94"/>
  <c r="AJ777" i="94"/>
  <c r="AR777" i="94"/>
  <c r="AZ777" i="94"/>
  <c r="BH777" i="94"/>
  <c r="BP777" i="94"/>
  <c r="BX777" i="94"/>
  <c r="CF777" i="94"/>
  <c r="CN777" i="94"/>
  <c r="CV777" i="94"/>
  <c r="DD777" i="94"/>
  <c r="DL777" i="94"/>
  <c r="DT777" i="94"/>
  <c r="EB777" i="94"/>
  <c r="EJ777" i="94"/>
  <c r="ER777" i="94"/>
  <c r="EZ777" i="94"/>
  <c r="FH777" i="94"/>
  <c r="FP777" i="94"/>
  <c r="FX777" i="94"/>
  <c r="GF777" i="94"/>
  <c r="GN777" i="94"/>
  <c r="GV777" i="94"/>
  <c r="HD777" i="94"/>
  <c r="HL777" i="94"/>
  <c r="HT777" i="94"/>
  <c r="IB777" i="94"/>
  <c r="IJ777" i="94"/>
  <c r="IR777" i="94"/>
  <c r="IZ777" i="94"/>
  <c r="JH777" i="94"/>
  <c r="JP777" i="94"/>
  <c r="JX777" i="94"/>
  <c r="KF777" i="94"/>
  <c r="KN777" i="94"/>
  <c r="KV777" i="94"/>
  <c r="LD777" i="94"/>
  <c r="LL777" i="94"/>
  <c r="LT777" i="94"/>
  <c r="MB777" i="94"/>
  <c r="MJ777" i="94"/>
  <c r="AB779" i="94"/>
  <c r="AJ779" i="94"/>
  <c r="AR779" i="94"/>
  <c r="AZ779" i="94"/>
  <c r="BH779" i="94"/>
  <c r="BP779" i="94"/>
  <c r="BX779" i="94"/>
  <c r="CF779" i="94"/>
  <c r="CN779" i="94"/>
  <c r="CV779" i="94"/>
  <c r="DD779" i="94"/>
  <c r="DL779" i="94"/>
  <c r="DT779" i="94"/>
  <c r="EB779" i="94"/>
  <c r="EJ779" i="94"/>
  <c r="ER779" i="94"/>
  <c r="EZ779" i="94"/>
  <c r="FH779" i="94"/>
  <c r="FP779" i="94"/>
  <c r="FX779" i="94"/>
  <c r="GF779" i="94"/>
  <c r="GN779" i="94"/>
  <c r="GV779" i="94"/>
  <c r="HD779" i="94"/>
  <c r="HL779" i="94"/>
  <c r="HT779" i="94"/>
  <c r="IB779" i="94"/>
  <c r="IJ779" i="94"/>
  <c r="IR779" i="94"/>
  <c r="IZ779" i="94"/>
  <c r="JH779" i="94"/>
  <c r="JP779" i="94"/>
  <c r="JX779" i="94"/>
  <c r="KF779" i="94"/>
  <c r="KN779" i="94"/>
  <c r="KV779" i="94"/>
  <c r="LD779" i="94"/>
  <c r="LL779" i="94"/>
  <c r="LT779" i="94"/>
  <c r="MB779" i="94"/>
  <c r="MJ779" i="94"/>
  <c r="X780" i="94"/>
  <c r="AF780" i="94"/>
  <c r="AN780" i="94"/>
  <c r="AV780" i="94"/>
  <c r="BD780" i="94"/>
  <c r="BL780" i="94"/>
  <c r="BT780" i="94"/>
  <c r="CB780" i="94"/>
  <c r="CJ780" i="94"/>
  <c r="CR780" i="94"/>
  <c r="CZ780" i="94"/>
  <c r="DH780" i="94"/>
  <c r="DP780" i="94"/>
  <c r="DX780" i="94"/>
  <c r="EF780" i="94"/>
  <c r="EN780" i="94"/>
  <c r="EV780" i="94"/>
  <c r="FD780" i="94"/>
  <c r="FL780" i="94"/>
  <c r="FT780" i="94"/>
  <c r="GB780" i="94"/>
  <c r="GJ780" i="94"/>
  <c r="GR780" i="94"/>
  <c r="GZ780" i="94"/>
  <c r="HH780" i="94"/>
  <c r="HP780" i="94"/>
  <c r="HX780" i="94"/>
  <c r="IF780" i="94"/>
  <c r="IN780" i="94"/>
  <c r="IV780" i="94"/>
  <c r="JD780" i="94"/>
  <c r="JL780" i="94"/>
  <c r="JT780" i="94"/>
  <c r="KB780" i="94"/>
  <c r="KJ780" i="94"/>
  <c r="KR780" i="94"/>
  <c r="KZ780" i="94"/>
  <c r="LP780" i="94"/>
  <c r="LX780" i="94"/>
  <c r="MF780" i="94"/>
  <c r="MN780" i="94"/>
  <c r="AB781" i="94"/>
  <c r="AJ781" i="94"/>
  <c r="AR781" i="94"/>
  <c r="AZ781" i="94"/>
  <c r="BH781" i="94"/>
  <c r="BP781" i="94"/>
  <c r="BX781" i="94"/>
  <c r="CF781" i="94"/>
  <c r="CN781" i="94"/>
  <c r="CV781" i="94"/>
  <c r="DD781" i="94"/>
  <c r="DL781" i="94"/>
  <c r="DT781" i="94"/>
  <c r="EB781" i="94"/>
  <c r="EJ781" i="94"/>
  <c r="ER781" i="94"/>
  <c r="EZ781" i="94"/>
  <c r="FH781" i="94"/>
  <c r="FP781" i="94"/>
  <c r="FX781" i="94"/>
  <c r="GF781" i="94"/>
  <c r="GN781" i="94"/>
  <c r="GV781" i="94"/>
  <c r="HD781" i="94"/>
  <c r="HL781" i="94"/>
  <c r="HT781" i="94"/>
  <c r="IB781" i="94"/>
  <c r="IJ781" i="94"/>
  <c r="IR781" i="94"/>
  <c r="IZ781" i="94"/>
  <c r="JH781" i="94"/>
  <c r="JP781" i="94"/>
  <c r="JX781" i="94"/>
  <c r="KF781" i="94"/>
  <c r="KN781" i="94"/>
  <c r="KV781" i="94"/>
  <c r="LD781" i="94"/>
  <c r="LL781" i="94"/>
  <c r="LT781" i="94"/>
  <c r="MB781" i="94"/>
  <c r="MJ781" i="94"/>
  <c r="X782" i="94"/>
  <c r="AF782" i="94"/>
  <c r="AN782" i="94"/>
  <c r="AV782" i="94"/>
  <c r="BD782" i="94"/>
  <c r="BL782" i="94"/>
  <c r="BT782" i="94"/>
  <c r="CB782" i="94"/>
  <c r="CJ782" i="94"/>
  <c r="CR782" i="94"/>
  <c r="CZ782" i="94"/>
  <c r="DH782" i="94"/>
  <c r="DP782" i="94"/>
  <c r="DX782" i="94"/>
  <c r="EF782" i="94"/>
  <c r="EN782" i="94"/>
  <c r="EV782" i="94"/>
  <c r="FD782" i="94"/>
  <c r="FL782" i="94"/>
  <c r="FT782" i="94"/>
  <c r="GB782" i="94"/>
  <c r="GJ782" i="94"/>
  <c r="GR782" i="94"/>
  <c r="HA782" i="94"/>
  <c r="HK782" i="94"/>
  <c r="HT782" i="94"/>
  <c r="IC782" i="94"/>
  <c r="IL782" i="94"/>
  <c r="IU782" i="94"/>
  <c r="JD782" i="94"/>
  <c r="JM782" i="94"/>
  <c r="JW782" i="94"/>
  <c r="KF782" i="94"/>
  <c r="KO782" i="94"/>
  <c r="KX782" i="94"/>
  <c r="LP782" i="94"/>
  <c r="LY782" i="94"/>
  <c r="MI782" i="94"/>
  <c r="MR782" i="94"/>
  <c r="X783" i="94"/>
  <c r="AG783" i="94"/>
  <c r="AP783" i="94"/>
  <c r="AY783" i="94"/>
  <c r="BH783" i="94"/>
  <c r="BQ783" i="94"/>
  <c r="CA783" i="94"/>
  <c r="CJ783" i="94"/>
  <c r="CS783" i="94"/>
  <c r="DB783" i="94"/>
  <c r="DK783" i="94"/>
  <c r="DT783" i="94"/>
  <c r="EC783" i="94"/>
  <c r="EM783" i="94"/>
  <c r="EV783" i="94"/>
  <c r="FE783" i="94"/>
  <c r="FN783" i="94"/>
  <c r="FW783" i="94"/>
  <c r="GF783" i="94"/>
  <c r="GO783" i="94"/>
  <c r="HA783" i="94"/>
  <c r="HK783" i="94"/>
  <c r="HU783" i="94"/>
  <c r="IG783" i="94"/>
  <c r="IQ783" i="94"/>
  <c r="JA783" i="94"/>
  <c r="JM783" i="94"/>
  <c r="JW783" i="94"/>
  <c r="KG783" i="94"/>
  <c r="KS783" i="94"/>
  <c r="LC783" i="94"/>
  <c r="LM783" i="94"/>
  <c r="LY783" i="94"/>
  <c r="MI783" i="94"/>
  <c r="MS783" i="94"/>
  <c r="AF785" i="94"/>
  <c r="AP785" i="94"/>
  <c r="AZ785" i="94"/>
  <c r="BL785" i="94"/>
  <c r="BV785" i="94"/>
  <c r="CF785" i="94"/>
  <c r="CR785" i="94"/>
  <c r="DB785" i="94"/>
  <c r="DL785" i="94"/>
  <c r="DX785" i="94"/>
  <c r="EH785" i="94"/>
  <c r="ER785" i="94"/>
  <c r="FD785" i="94"/>
  <c r="FN785" i="94"/>
  <c r="FX785" i="94"/>
  <c r="GJ785" i="94"/>
  <c r="GT785" i="94"/>
  <c r="HD785" i="94"/>
  <c r="HP785" i="94"/>
  <c r="HZ785" i="94"/>
  <c r="IJ785" i="94"/>
  <c r="IV785" i="94"/>
  <c r="JF785" i="94"/>
  <c r="JP785" i="94"/>
  <c r="KB785" i="94"/>
  <c r="KL785" i="94"/>
  <c r="KV785" i="94"/>
  <c r="LR785" i="94"/>
  <c r="MB785" i="94"/>
  <c r="MN785" i="94"/>
  <c r="X786" i="94"/>
  <c r="AJ786" i="94"/>
  <c r="AT786" i="94"/>
  <c r="BD786" i="94"/>
  <c r="BP786" i="94"/>
  <c r="BZ786" i="94"/>
  <c r="CJ786" i="94"/>
  <c r="CV786" i="94"/>
  <c r="DF786" i="94"/>
  <c r="DP786" i="94"/>
  <c r="EB786" i="94"/>
  <c r="EL786" i="94"/>
  <c r="EV786" i="94"/>
  <c r="FH786" i="94"/>
  <c r="FR786" i="94"/>
  <c r="GB786" i="94"/>
  <c r="GN786" i="94"/>
  <c r="GX786" i="94"/>
  <c r="HH786" i="94"/>
  <c r="HT786" i="94"/>
  <c r="ID786" i="94"/>
  <c r="IN786" i="94"/>
  <c r="IZ786" i="94"/>
  <c r="JJ786" i="94"/>
  <c r="JT786" i="94"/>
  <c r="KF786" i="94"/>
  <c r="KP786" i="94"/>
  <c r="KZ786" i="94"/>
  <c r="LL786" i="94"/>
  <c r="LV786" i="94"/>
  <c r="MF786" i="94"/>
  <c r="MR786" i="94"/>
  <c r="Y787" i="94"/>
  <c r="AI787" i="94"/>
  <c r="AS787" i="94"/>
  <c r="BE787" i="94"/>
  <c r="BO787" i="94"/>
  <c r="BY787" i="94"/>
  <c r="CK787" i="94"/>
  <c r="CU787" i="94"/>
  <c r="DE787" i="94"/>
  <c r="DQ787" i="94"/>
  <c r="EA787" i="94"/>
  <c r="EK787" i="94"/>
  <c r="EW787" i="94"/>
  <c r="FG787" i="94"/>
  <c r="FQ787" i="94"/>
  <c r="GC787" i="94"/>
  <c r="GM787" i="94"/>
  <c r="GW787" i="94"/>
  <c r="HI787" i="94"/>
  <c r="HS787" i="94"/>
  <c r="IC787" i="94"/>
  <c r="IO787" i="94"/>
  <c r="IY787" i="94"/>
  <c r="JI787" i="94"/>
  <c r="JU787" i="94"/>
  <c r="KE787" i="94"/>
  <c r="KO787" i="94"/>
  <c r="LA787" i="94"/>
  <c r="LK787" i="94"/>
  <c r="LU787" i="94"/>
  <c r="MG787" i="94"/>
  <c r="MQ787" i="94"/>
  <c r="AC788" i="94"/>
  <c r="AM788" i="94"/>
  <c r="AW788" i="94"/>
  <c r="BI788" i="94"/>
  <c r="BS788" i="94"/>
  <c r="CC788" i="94"/>
  <c r="CO788" i="94"/>
  <c r="CY788" i="94"/>
  <c r="DI788" i="94"/>
  <c r="DU788" i="94"/>
  <c r="EE788" i="94"/>
  <c r="EO788" i="94"/>
  <c r="FA788" i="94"/>
  <c r="FK788" i="94"/>
  <c r="FU788" i="94"/>
  <c r="GG788" i="94"/>
  <c r="GQ788" i="94"/>
  <c r="HA788" i="94"/>
  <c r="HM788" i="94"/>
  <c r="HW788" i="94"/>
  <c r="IG788" i="94"/>
  <c r="IS788" i="94"/>
  <c r="JC788" i="94"/>
  <c r="JM788" i="94"/>
  <c r="JY788" i="94"/>
  <c r="KI788" i="94"/>
  <c r="KS788" i="94"/>
  <c r="LE788" i="94"/>
  <c r="LO788" i="94"/>
  <c r="LY788" i="94"/>
  <c r="MK788" i="94"/>
  <c r="LG789" i="94"/>
  <c r="LF789" i="94"/>
  <c r="AB789" i="94"/>
  <c r="AN789" i="94"/>
  <c r="AX789" i="94"/>
  <c r="BH789" i="94"/>
  <c r="BT789" i="94"/>
  <c r="CD789" i="94"/>
  <c r="CN789" i="94"/>
  <c r="CZ789" i="94"/>
  <c r="DJ789" i="94"/>
  <c r="DT789" i="94"/>
  <c r="EF789" i="94"/>
  <c r="EP789" i="94"/>
  <c r="EZ789" i="94"/>
  <c r="FL789" i="94"/>
  <c r="FV789" i="94"/>
  <c r="GF789" i="94"/>
  <c r="GR789" i="94"/>
  <c r="HB789" i="94"/>
  <c r="HL789" i="94"/>
  <c r="HX789" i="94"/>
  <c r="IH789" i="94"/>
  <c r="IR789" i="94"/>
  <c r="JD789" i="94"/>
  <c r="JN789" i="94"/>
  <c r="JX789" i="94"/>
  <c r="KJ789" i="94"/>
  <c r="KT789" i="94"/>
  <c r="LD789" i="94"/>
  <c r="LP789" i="94"/>
  <c r="LZ789" i="94"/>
  <c r="LJ790" i="94"/>
  <c r="AF790" i="94"/>
  <c r="AR790" i="94"/>
  <c r="BB790" i="94"/>
  <c r="BL790" i="94"/>
  <c r="BX790" i="94"/>
  <c r="CH790" i="94"/>
  <c r="CR790" i="94"/>
  <c r="DD790" i="94"/>
  <c r="DN790" i="94"/>
  <c r="DX790" i="94"/>
  <c r="EJ790" i="94"/>
  <c r="ET790" i="94"/>
  <c r="FD790" i="94"/>
  <c r="FP790" i="94"/>
  <c r="FZ790" i="94"/>
  <c r="GJ790" i="94"/>
  <c r="GV790" i="94"/>
  <c r="HF790" i="94"/>
  <c r="HP790" i="94"/>
  <c r="IB790" i="94"/>
  <c r="IL790" i="94"/>
  <c r="IV790" i="94"/>
  <c r="JH790" i="94"/>
  <c r="JR790" i="94"/>
  <c r="KB790" i="94"/>
  <c r="KN790" i="94"/>
  <c r="KX790" i="94"/>
  <c r="LH790" i="94"/>
  <c r="LT790" i="94"/>
  <c r="MD790" i="94"/>
  <c r="MP792" i="94"/>
  <c r="HZ792" i="94"/>
  <c r="IR792" i="94"/>
  <c r="JP792" i="94"/>
  <c r="KL792" i="94"/>
  <c r="LD792" i="94"/>
  <c r="MR793" i="94"/>
  <c r="KU793" i="94"/>
  <c r="KE793" i="94"/>
  <c r="JO793" i="94"/>
  <c r="IY793" i="94"/>
  <c r="II793" i="94"/>
  <c r="KR793" i="94"/>
  <c r="KB793" i="94"/>
  <c r="JL793" i="94"/>
  <c r="IV793" i="94"/>
  <c r="IF793" i="94"/>
  <c r="X793" i="94"/>
  <c r="AT793" i="94"/>
  <c r="ED793" i="94"/>
  <c r="EV793" i="94"/>
  <c r="FR793" i="94"/>
  <c r="GP793" i="94"/>
  <c r="ID793" i="94"/>
  <c r="JB793" i="94"/>
  <c r="JT793" i="94"/>
  <c r="KP793" i="94"/>
  <c r="LN793" i="94"/>
  <c r="MI795" i="94"/>
  <c r="AA796" i="94"/>
  <c r="AY796" i="94"/>
  <c r="BX796" i="94"/>
  <c r="DB796" i="94"/>
  <c r="DZ796" i="94"/>
  <c r="EY796" i="94"/>
  <c r="FW796" i="94"/>
  <c r="GV796" i="94"/>
  <c r="HZ796" i="94"/>
  <c r="IX796" i="94"/>
  <c r="JW796" i="94"/>
  <c r="KU796" i="94"/>
  <c r="LT796" i="94"/>
  <c r="GR797" i="94"/>
  <c r="IQ797" i="94"/>
  <c r="JO797" i="94"/>
  <c r="IB798" i="94"/>
  <c r="JH798" i="94"/>
  <c r="KN798" i="94"/>
  <c r="CE801" i="94"/>
  <c r="DV801" i="94"/>
  <c r="CD802" i="94"/>
  <c r="DS802" i="94"/>
  <c r="ML803" i="94"/>
  <c r="AU804" i="94"/>
  <c r="HU804" i="94"/>
  <c r="JN805" i="94"/>
  <c r="FT807" i="94"/>
  <c r="A808" i="94"/>
  <c r="MN808" i="94"/>
  <c r="MK808" i="94"/>
  <c r="ML808" i="94"/>
  <c r="MM789" i="94"/>
  <c r="ME789" i="94"/>
  <c r="LW789" i="94"/>
  <c r="LO789" i="94"/>
  <c r="KY789" i="94"/>
  <c r="KQ789" i="94"/>
  <c r="KI789" i="94"/>
  <c r="KA789" i="94"/>
  <c r="JS789" i="94"/>
  <c r="JK789" i="94"/>
  <c r="JC789" i="94"/>
  <c r="IU789" i="94"/>
  <c r="IM789" i="94"/>
  <c r="IE789" i="94"/>
  <c r="HW789" i="94"/>
  <c r="HO789" i="94"/>
  <c r="HG789" i="94"/>
  <c r="GY789" i="94"/>
  <c r="GQ789" i="94"/>
  <c r="GI789" i="94"/>
  <c r="GA789" i="94"/>
  <c r="FS789" i="94"/>
  <c r="FK789" i="94"/>
  <c r="FC789" i="94"/>
  <c r="EU789" i="94"/>
  <c r="EM789" i="94"/>
  <c r="EE789" i="94"/>
  <c r="DW789" i="94"/>
  <c r="DO789" i="94"/>
  <c r="DG789" i="94"/>
  <c r="CY789" i="94"/>
  <c r="CQ789" i="94"/>
  <c r="CI789" i="94"/>
  <c r="CA789" i="94"/>
  <c r="BS789" i="94"/>
  <c r="BK789" i="94"/>
  <c r="BC789" i="94"/>
  <c r="AU789" i="94"/>
  <c r="AM789" i="94"/>
  <c r="AE789" i="94"/>
  <c r="W789" i="94"/>
  <c r="ML789" i="94"/>
  <c r="MD789" i="94"/>
  <c r="LV789" i="94"/>
  <c r="LN789" i="94"/>
  <c r="KX789" i="94"/>
  <c r="KP789" i="94"/>
  <c r="KH789" i="94"/>
  <c r="JZ789" i="94"/>
  <c r="JR789" i="94"/>
  <c r="JJ789" i="94"/>
  <c r="JB789" i="94"/>
  <c r="IT789" i="94"/>
  <c r="IL789" i="94"/>
  <c r="ID789" i="94"/>
  <c r="HV789" i="94"/>
  <c r="HN789" i="94"/>
  <c r="HF789" i="94"/>
  <c r="GX789" i="94"/>
  <c r="GP789" i="94"/>
  <c r="GH789" i="94"/>
  <c r="FZ789" i="94"/>
  <c r="FR789" i="94"/>
  <c r="FJ789" i="94"/>
  <c r="FB789" i="94"/>
  <c r="ET789" i="94"/>
  <c r="EL789" i="94"/>
  <c r="ED789" i="94"/>
  <c r="DV789" i="94"/>
  <c r="DN789" i="94"/>
  <c r="DF789" i="94"/>
  <c r="CX789" i="94"/>
  <c r="CP789" i="94"/>
  <c r="CH789" i="94"/>
  <c r="BZ789" i="94"/>
  <c r="BR789" i="94"/>
  <c r="BJ789" i="94"/>
  <c r="BB789" i="94"/>
  <c r="AT789" i="94"/>
  <c r="AL789" i="94"/>
  <c r="AD789" i="94"/>
  <c r="AC789" i="94"/>
  <c r="AO789" i="94"/>
  <c r="AY789" i="94"/>
  <c r="BI789" i="94"/>
  <c r="BU789" i="94"/>
  <c r="CE789" i="94"/>
  <c r="CO789" i="94"/>
  <c r="DA789" i="94"/>
  <c r="DK789" i="94"/>
  <c r="DU789" i="94"/>
  <c r="EG789" i="94"/>
  <c r="EQ789" i="94"/>
  <c r="FA789" i="94"/>
  <c r="FM789" i="94"/>
  <c r="FW789" i="94"/>
  <c r="GG789" i="94"/>
  <c r="GS789" i="94"/>
  <c r="HC789" i="94"/>
  <c r="HM789" i="94"/>
  <c r="HY789" i="94"/>
  <c r="II789" i="94"/>
  <c r="IS789" i="94"/>
  <c r="JE789" i="94"/>
  <c r="JO789" i="94"/>
  <c r="JY789" i="94"/>
  <c r="KK789" i="94"/>
  <c r="KU789" i="94"/>
  <c r="LE789" i="94"/>
  <c r="LQ789" i="94"/>
  <c r="MA789" i="94"/>
  <c r="MK789" i="94"/>
  <c r="MQ790" i="94"/>
  <c r="MI790" i="94"/>
  <c r="MA790" i="94"/>
  <c r="LS790" i="94"/>
  <c r="LK790" i="94"/>
  <c r="LC790" i="94"/>
  <c r="KU790" i="94"/>
  <c r="KM790" i="94"/>
  <c r="KE790" i="94"/>
  <c r="JW790" i="94"/>
  <c r="JO790" i="94"/>
  <c r="JG790" i="94"/>
  <c r="IY790" i="94"/>
  <c r="IQ790" i="94"/>
  <c r="II790" i="94"/>
  <c r="IA790" i="94"/>
  <c r="HS790" i="94"/>
  <c r="HK790" i="94"/>
  <c r="HC790" i="94"/>
  <c r="GU790" i="94"/>
  <c r="GM790" i="94"/>
  <c r="GE790" i="94"/>
  <c r="FW790" i="94"/>
  <c r="FO790" i="94"/>
  <c r="FG790" i="94"/>
  <c r="EY790" i="94"/>
  <c r="EQ790" i="94"/>
  <c r="EI790" i="94"/>
  <c r="EA790" i="94"/>
  <c r="DS790" i="94"/>
  <c r="DK790" i="94"/>
  <c r="DC790" i="94"/>
  <c r="CU790" i="94"/>
  <c r="CM790" i="94"/>
  <c r="CE790" i="94"/>
  <c r="BW790" i="94"/>
  <c r="BO790" i="94"/>
  <c r="BG790" i="94"/>
  <c r="AY790" i="94"/>
  <c r="AQ790" i="94"/>
  <c r="AI790" i="94"/>
  <c r="AA790" i="94"/>
  <c r="MP790" i="94"/>
  <c r="MH790" i="94"/>
  <c r="LZ790" i="94"/>
  <c r="LR790" i="94"/>
  <c r="LB790" i="94"/>
  <c r="KT790" i="94"/>
  <c r="KL790" i="94"/>
  <c r="KD790" i="94"/>
  <c r="JV790" i="94"/>
  <c r="JN790" i="94"/>
  <c r="JF790" i="94"/>
  <c r="IX790" i="94"/>
  <c r="IP790" i="94"/>
  <c r="IH790" i="94"/>
  <c r="HZ790" i="94"/>
  <c r="HR790" i="94"/>
  <c r="HJ790" i="94"/>
  <c r="HB790" i="94"/>
  <c r="GT790" i="94"/>
  <c r="GL790" i="94"/>
  <c r="GD790" i="94"/>
  <c r="FV790" i="94"/>
  <c r="FN790" i="94"/>
  <c r="FF790" i="94"/>
  <c r="EX790" i="94"/>
  <c r="EP790" i="94"/>
  <c r="EH790" i="94"/>
  <c r="DZ790" i="94"/>
  <c r="DR790" i="94"/>
  <c r="DJ790" i="94"/>
  <c r="DB790" i="94"/>
  <c r="CT790" i="94"/>
  <c r="CL790" i="94"/>
  <c r="CD790" i="94"/>
  <c r="BV790" i="94"/>
  <c r="BN790" i="94"/>
  <c r="BF790" i="94"/>
  <c r="AX790" i="94"/>
  <c r="AP790" i="94"/>
  <c r="AH790" i="94"/>
  <c r="Z790" i="94"/>
  <c r="W790" i="94"/>
  <c r="AG790" i="94"/>
  <c r="AS790" i="94"/>
  <c r="BC790" i="94"/>
  <c r="BM790" i="94"/>
  <c r="BY790" i="94"/>
  <c r="CI790" i="94"/>
  <c r="CS790" i="94"/>
  <c r="DE790" i="94"/>
  <c r="DO790" i="94"/>
  <c r="DY790" i="94"/>
  <c r="EK790" i="94"/>
  <c r="EU790" i="94"/>
  <c r="FE790" i="94"/>
  <c r="FQ790" i="94"/>
  <c r="GA790" i="94"/>
  <c r="GK790" i="94"/>
  <c r="GW790" i="94"/>
  <c r="HG790" i="94"/>
  <c r="HQ790" i="94"/>
  <c r="IC790" i="94"/>
  <c r="IM790" i="94"/>
  <c r="IW790" i="94"/>
  <c r="JI790" i="94"/>
  <c r="JS790" i="94"/>
  <c r="KC790" i="94"/>
  <c r="KO790" i="94"/>
  <c r="KY790" i="94"/>
  <c r="LI790" i="94"/>
  <c r="LU790" i="94"/>
  <c r="ME790" i="94"/>
  <c r="MO790" i="94"/>
  <c r="IA792" i="94"/>
  <c r="IU792" i="94"/>
  <c r="JS792" i="94"/>
  <c r="KM792" i="94"/>
  <c r="ME792" i="94"/>
  <c r="HQ793" i="94"/>
  <c r="HI793" i="94"/>
  <c r="HA793" i="94"/>
  <c r="GS793" i="94"/>
  <c r="GK793" i="94"/>
  <c r="HU793" i="94"/>
  <c r="HM793" i="94"/>
  <c r="HE793" i="94"/>
  <c r="GW793" i="94"/>
  <c r="GO793" i="94"/>
  <c r="GG793" i="94"/>
  <c r="MA793" i="94"/>
  <c r="HS793" i="94"/>
  <c r="HC793" i="94"/>
  <c r="GM793" i="94"/>
  <c r="LX793" i="94"/>
  <c r="HP793" i="94"/>
  <c r="GZ793" i="94"/>
  <c r="GJ793" i="94"/>
  <c r="GQ793" i="94"/>
  <c r="HK793" i="94"/>
  <c r="MI793" i="94"/>
  <c r="LA797" i="94"/>
  <c r="KS797" i="94"/>
  <c r="KK797" i="94"/>
  <c r="KC797" i="94"/>
  <c r="JU797" i="94"/>
  <c r="JM797" i="94"/>
  <c r="JE797" i="94"/>
  <c r="IW797" i="94"/>
  <c r="IO797" i="94"/>
  <c r="IG797" i="94"/>
  <c r="HY797" i="94"/>
  <c r="LE797" i="94"/>
  <c r="KW797" i="94"/>
  <c r="KO797" i="94"/>
  <c r="KG797" i="94"/>
  <c r="JY797" i="94"/>
  <c r="JQ797" i="94"/>
  <c r="JI797" i="94"/>
  <c r="JA797" i="94"/>
  <c r="IS797" i="94"/>
  <c r="IK797" i="94"/>
  <c r="IC797" i="94"/>
  <c r="KY797" i="94"/>
  <c r="KI797" i="94"/>
  <c r="JS797" i="94"/>
  <c r="JC797" i="94"/>
  <c r="IM797" i="94"/>
  <c r="KX797" i="94"/>
  <c r="KH797" i="94"/>
  <c r="JR797" i="94"/>
  <c r="JB797" i="94"/>
  <c r="IL797" i="94"/>
  <c r="KQ797" i="94"/>
  <c r="KA797" i="94"/>
  <c r="JK797" i="94"/>
  <c r="IU797" i="94"/>
  <c r="IE797" i="94"/>
  <c r="IT797" i="94"/>
  <c r="JT797" i="94"/>
  <c r="KR797" i="94"/>
  <c r="MQ797" i="94"/>
  <c r="AF789" i="94"/>
  <c r="AP789" i="94"/>
  <c r="AZ789" i="94"/>
  <c r="BL789" i="94"/>
  <c r="BV789" i="94"/>
  <c r="CF789" i="94"/>
  <c r="CR789" i="94"/>
  <c r="DB789" i="94"/>
  <c r="DL789" i="94"/>
  <c r="DX789" i="94"/>
  <c r="EH789" i="94"/>
  <c r="ER789" i="94"/>
  <c r="FD789" i="94"/>
  <c r="FN789" i="94"/>
  <c r="FX789" i="94"/>
  <c r="GJ789" i="94"/>
  <c r="GT789" i="94"/>
  <c r="HD789" i="94"/>
  <c r="HP789" i="94"/>
  <c r="HZ789" i="94"/>
  <c r="IJ789" i="94"/>
  <c r="IV789" i="94"/>
  <c r="JF789" i="94"/>
  <c r="JP789" i="94"/>
  <c r="KB789" i="94"/>
  <c r="KL789" i="94"/>
  <c r="KV789" i="94"/>
  <c r="LH789" i="94"/>
  <c r="LR789" i="94"/>
  <c r="MB789" i="94"/>
  <c r="MN789" i="94"/>
  <c r="X790" i="94"/>
  <c r="AJ790" i="94"/>
  <c r="AT790" i="94"/>
  <c r="BD790" i="94"/>
  <c r="BP790" i="94"/>
  <c r="BZ790" i="94"/>
  <c r="CJ790" i="94"/>
  <c r="CV790" i="94"/>
  <c r="DF790" i="94"/>
  <c r="DP790" i="94"/>
  <c r="EB790" i="94"/>
  <c r="EL790" i="94"/>
  <c r="EV790" i="94"/>
  <c r="FH790" i="94"/>
  <c r="FR790" i="94"/>
  <c r="GB790" i="94"/>
  <c r="GN790" i="94"/>
  <c r="GX790" i="94"/>
  <c r="HH790" i="94"/>
  <c r="HT790" i="94"/>
  <c r="ID790" i="94"/>
  <c r="IN790" i="94"/>
  <c r="IZ790" i="94"/>
  <c r="JJ790" i="94"/>
  <c r="JT790" i="94"/>
  <c r="KF790" i="94"/>
  <c r="KP790" i="94"/>
  <c r="KZ790" i="94"/>
  <c r="LL790" i="94"/>
  <c r="LV790" i="94"/>
  <c r="MF790" i="94"/>
  <c r="MR790" i="94"/>
  <c r="IB792" i="94"/>
  <c r="IZ792" i="94"/>
  <c r="JV792" i="94"/>
  <c r="KN792" i="94"/>
  <c r="MH792" i="94"/>
  <c r="A793" i="94"/>
  <c r="MQ793" i="94"/>
  <c r="MN793" i="94"/>
  <c r="GR793" i="94"/>
  <c r="HN793" i="94"/>
  <c r="LP793" i="94"/>
  <c r="ML793" i="94"/>
  <c r="LY797" i="94"/>
  <c r="LQ797" i="94"/>
  <c r="HQ797" i="94"/>
  <c r="HI797" i="94"/>
  <c r="HA797" i="94"/>
  <c r="GS797" i="94"/>
  <c r="GK797" i="94"/>
  <c r="MC797" i="94"/>
  <c r="LU797" i="94"/>
  <c r="HU797" i="94"/>
  <c r="HM797" i="94"/>
  <c r="HE797" i="94"/>
  <c r="GW797" i="94"/>
  <c r="GO797" i="94"/>
  <c r="GG797" i="94"/>
  <c r="HW797" i="94"/>
  <c r="HG797" i="94"/>
  <c r="GQ797" i="94"/>
  <c r="MD797" i="94"/>
  <c r="HV797" i="94"/>
  <c r="HF797" i="94"/>
  <c r="GP797" i="94"/>
  <c r="LW797" i="94"/>
  <c r="HO797" i="94"/>
  <c r="GY797" i="94"/>
  <c r="GI797" i="94"/>
  <c r="GX797" i="94"/>
  <c r="HX797" i="94"/>
  <c r="IV797" i="94"/>
  <c r="JW797" i="94"/>
  <c r="KU797" i="94"/>
  <c r="LS797" i="94"/>
  <c r="MS805" i="94"/>
  <c r="MJ805" i="94"/>
  <c r="MN805" i="94"/>
  <c r="MH805" i="94"/>
  <c r="MQ805" i="94"/>
  <c r="MO806" i="94"/>
  <c r="KI806" i="94"/>
  <c r="JI806" i="94"/>
  <c r="IF806" i="94"/>
  <c r="LE806" i="94"/>
  <c r="KC806" i="94"/>
  <c r="JB806" i="94"/>
  <c r="JY806" i="94"/>
  <c r="IW806" i="94"/>
  <c r="KO806" i="94"/>
  <c r="JL806" i="94"/>
  <c r="IG806" i="94"/>
  <c r="KH806" i="94"/>
  <c r="CW807" i="94"/>
  <c r="BT807" i="94"/>
  <c r="DX807" i="94"/>
  <c r="CS807" i="94"/>
  <c r="BM807" i="94"/>
  <c r="DT807" i="94"/>
  <c r="CL807" i="94"/>
  <c r="DQ807" i="94"/>
  <c r="CK807" i="94"/>
  <c r="DD807" i="94"/>
  <c r="BX807" i="94"/>
  <c r="DI807" i="94"/>
  <c r="GI779" i="94"/>
  <c r="GQ779" i="94"/>
  <c r="GY779" i="94"/>
  <c r="HG779" i="94"/>
  <c r="HO779" i="94"/>
  <c r="HW779" i="94"/>
  <c r="IE779" i="94"/>
  <c r="IM779" i="94"/>
  <c r="IU779" i="94"/>
  <c r="JC779" i="94"/>
  <c r="JK779" i="94"/>
  <c r="JS779" i="94"/>
  <c r="KA779" i="94"/>
  <c r="KI779" i="94"/>
  <c r="KQ779"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IA780" i="94"/>
  <c r="II780" i="94"/>
  <c r="IQ780" i="94"/>
  <c r="IY780" i="94"/>
  <c r="JG780" i="94"/>
  <c r="JO780" i="94"/>
  <c r="JW780" i="94"/>
  <c r="KE780" i="94"/>
  <c r="KM780" i="94"/>
  <c r="KU780" i="94"/>
  <c r="LC780" i="94"/>
  <c r="LK780" i="94"/>
  <c r="LS780" i="94"/>
  <c r="MA780" i="94"/>
  <c r="MI780" i="94"/>
  <c r="GI781" i="94"/>
  <c r="GQ781" i="94"/>
  <c r="GY781" i="94"/>
  <c r="HG781" i="94"/>
  <c r="HO781" i="94"/>
  <c r="HW781" i="94"/>
  <c r="IE781" i="94"/>
  <c r="IM781" i="94"/>
  <c r="IU781" i="94"/>
  <c r="JC781" i="94"/>
  <c r="JK781" i="94"/>
  <c r="JS781" i="94"/>
  <c r="KA781" i="94"/>
  <c r="KI781" i="94"/>
  <c r="KQ781" i="94"/>
  <c r="LJ782" i="94"/>
  <c r="AA782" i="94"/>
  <c r="AI782" i="94"/>
  <c r="AQ782" i="94"/>
  <c r="AY782" i="94"/>
  <c r="BG782" i="94"/>
  <c r="BO782" i="94"/>
  <c r="BW782" i="94"/>
  <c r="CE782" i="94"/>
  <c r="CM782" i="94"/>
  <c r="CU782" i="94"/>
  <c r="DC782" i="94"/>
  <c r="DK782" i="94"/>
  <c r="DS782" i="94"/>
  <c r="EA782" i="94"/>
  <c r="EI782" i="94"/>
  <c r="EQ782" i="94"/>
  <c r="EY782" i="94"/>
  <c r="FG782" i="94"/>
  <c r="FO782" i="94"/>
  <c r="FW782" i="94"/>
  <c r="GE782" i="94"/>
  <c r="GM782" i="94"/>
  <c r="GV782" i="94"/>
  <c r="HE782" i="94"/>
  <c r="HN782" i="94"/>
  <c r="HW782" i="94"/>
  <c r="IF782" i="94"/>
  <c r="IO782" i="94"/>
  <c r="IY782" i="94"/>
  <c r="JH782" i="94"/>
  <c r="JQ782" i="94"/>
  <c r="JZ782" i="94"/>
  <c r="KI782" i="94"/>
  <c r="KR782" i="94"/>
  <c r="LA782" i="94"/>
  <c r="LK782" i="94"/>
  <c r="LT782" i="94"/>
  <c r="MC782" i="94"/>
  <c r="ML782" i="94"/>
  <c r="LG783" i="94"/>
  <c r="LF783" i="94"/>
  <c r="AA783" i="94"/>
  <c r="AJ783" i="94"/>
  <c r="AS783" i="94"/>
  <c r="BC783" i="94"/>
  <c r="BL783" i="94"/>
  <c r="BU783" i="94"/>
  <c r="CD783" i="94"/>
  <c r="CM783" i="94"/>
  <c r="CV783" i="94"/>
  <c r="DE783" i="94"/>
  <c r="DO783" i="94"/>
  <c r="DX783" i="94"/>
  <c r="EG783" i="94"/>
  <c r="EP783" i="94"/>
  <c r="EY783" i="94"/>
  <c r="FH783" i="94"/>
  <c r="FQ783" i="94"/>
  <c r="GA783" i="94"/>
  <c r="GJ783" i="94"/>
  <c r="GT783" i="94"/>
  <c r="HD783" i="94"/>
  <c r="HP783" i="94"/>
  <c r="HZ783" i="94"/>
  <c r="IJ783" i="94"/>
  <c r="IV783" i="94"/>
  <c r="JF783" i="94"/>
  <c r="JP783" i="94"/>
  <c r="KB783" i="94"/>
  <c r="KL783" i="94"/>
  <c r="KV783" i="94"/>
  <c r="LH783" i="94"/>
  <c r="LR783" i="94"/>
  <c r="MB783" i="94"/>
  <c r="MN783" i="94"/>
  <c r="Y785" i="94"/>
  <c r="AI785" i="94"/>
  <c r="AS785" i="94"/>
  <c r="BE785" i="94"/>
  <c r="BO785" i="94"/>
  <c r="BY785" i="94"/>
  <c r="CK785" i="94"/>
  <c r="CU785" i="94"/>
  <c r="DE785" i="94"/>
  <c r="DQ785" i="94"/>
  <c r="EA785" i="94"/>
  <c r="EK785" i="94"/>
  <c r="EW785" i="94"/>
  <c r="FG785" i="94"/>
  <c r="FQ785" i="94"/>
  <c r="GC785" i="94"/>
  <c r="GM785" i="94"/>
  <c r="GW785" i="94"/>
  <c r="HI785" i="94"/>
  <c r="HS785" i="94"/>
  <c r="IC785" i="94"/>
  <c r="IO785" i="94"/>
  <c r="IY785" i="94"/>
  <c r="JI785" i="94"/>
  <c r="JU785" i="94"/>
  <c r="KE785" i="94"/>
  <c r="KO785" i="94"/>
  <c r="LA785" i="94"/>
  <c r="LK785" i="94"/>
  <c r="LU785" i="94"/>
  <c r="MG785" i="94"/>
  <c r="MQ785" i="94"/>
  <c r="AC786" i="94"/>
  <c r="AM786" i="94"/>
  <c r="AW786" i="94"/>
  <c r="BI786" i="94"/>
  <c r="BS786" i="94"/>
  <c r="CC786" i="94"/>
  <c r="CO786" i="94"/>
  <c r="CY786" i="94"/>
  <c r="DI786" i="94"/>
  <c r="DU786" i="94"/>
  <c r="EE786" i="94"/>
  <c r="EO786" i="94"/>
  <c r="FA786" i="94"/>
  <c r="FK786" i="94"/>
  <c r="FU786" i="94"/>
  <c r="GG786" i="94"/>
  <c r="GQ786" i="94"/>
  <c r="HA786" i="94"/>
  <c r="HM786" i="94"/>
  <c r="HW786" i="94"/>
  <c r="IG786" i="94"/>
  <c r="IS786" i="94"/>
  <c r="JC786" i="94"/>
  <c r="JM786" i="94"/>
  <c r="JY786" i="94"/>
  <c r="KI786" i="94"/>
  <c r="KS786" i="94"/>
  <c r="LE786" i="94"/>
  <c r="LO786" i="94"/>
  <c r="LY786" i="94"/>
  <c r="MK786" i="94"/>
  <c r="LG787" i="94"/>
  <c r="LF787" i="94"/>
  <c r="AB787" i="94"/>
  <c r="AN787" i="94"/>
  <c r="AX787" i="94"/>
  <c r="BH787" i="94"/>
  <c r="BT787" i="94"/>
  <c r="CD787" i="94"/>
  <c r="CN787" i="94"/>
  <c r="CZ787" i="94"/>
  <c r="DJ787" i="94"/>
  <c r="DT787" i="94"/>
  <c r="EF787" i="94"/>
  <c r="EP787" i="94"/>
  <c r="EZ787" i="94"/>
  <c r="FL787" i="94"/>
  <c r="FV787" i="94"/>
  <c r="GF787" i="94"/>
  <c r="GR787" i="94"/>
  <c r="HB787" i="94"/>
  <c r="HL787" i="94"/>
  <c r="HX787" i="94"/>
  <c r="IH787" i="94"/>
  <c r="IR787" i="94"/>
  <c r="JD787" i="94"/>
  <c r="JN787" i="94"/>
  <c r="JX787" i="94"/>
  <c r="KJ787" i="94"/>
  <c r="KT787" i="94"/>
  <c r="LD787" i="94"/>
  <c r="LP787" i="94"/>
  <c r="LZ787" i="94"/>
  <c r="MJ787" i="94"/>
  <c r="LJ788" i="94"/>
  <c r="AF788" i="94"/>
  <c r="AR788" i="94"/>
  <c r="BB788" i="94"/>
  <c r="BL788" i="94"/>
  <c r="BX788" i="94"/>
  <c r="CH788" i="94"/>
  <c r="CR788" i="94"/>
  <c r="DD788" i="94"/>
  <c r="DN788" i="94"/>
  <c r="DX788" i="94"/>
  <c r="EJ788" i="94"/>
  <c r="ET788" i="94"/>
  <c r="FD788" i="94"/>
  <c r="FP788" i="94"/>
  <c r="FZ788" i="94"/>
  <c r="GJ788" i="94"/>
  <c r="GV788" i="94"/>
  <c r="HF788" i="94"/>
  <c r="HP788" i="94"/>
  <c r="IB788" i="94"/>
  <c r="IL788" i="94"/>
  <c r="IV788" i="94"/>
  <c r="JH788" i="94"/>
  <c r="JR788" i="94"/>
  <c r="KB788" i="94"/>
  <c r="KN788" i="94"/>
  <c r="KX788" i="94"/>
  <c r="LH788" i="94"/>
  <c r="LT788" i="94"/>
  <c r="MD788" i="94"/>
  <c r="MN788" i="94"/>
  <c r="AG789" i="94"/>
  <c r="AQ789" i="94"/>
  <c r="BA789" i="94"/>
  <c r="BM789" i="94"/>
  <c r="BW789" i="94"/>
  <c r="CG789" i="94"/>
  <c r="CS789" i="94"/>
  <c r="DC789" i="94"/>
  <c r="DM789" i="94"/>
  <c r="DY789" i="94"/>
  <c r="EI789" i="94"/>
  <c r="ES789" i="94"/>
  <c r="FE789" i="94"/>
  <c r="FO789" i="94"/>
  <c r="FY789" i="94"/>
  <c r="GK789" i="94"/>
  <c r="GU789" i="94"/>
  <c r="HE789" i="94"/>
  <c r="HQ789" i="94"/>
  <c r="IA789" i="94"/>
  <c r="IK789" i="94"/>
  <c r="IW789" i="94"/>
  <c r="JG789" i="94"/>
  <c r="JQ789" i="94"/>
  <c r="KC789" i="94"/>
  <c r="KM789" i="94"/>
  <c r="KW789" i="94"/>
  <c r="LI789" i="94"/>
  <c r="LS789" i="94"/>
  <c r="MC789" i="94"/>
  <c r="MO789" i="94"/>
  <c r="A790" i="94"/>
  <c r="Y790" i="94"/>
  <c r="AK790" i="94"/>
  <c r="AU790" i="94"/>
  <c r="BE790" i="94"/>
  <c r="BQ790" i="94"/>
  <c r="CA790" i="94"/>
  <c r="CK790" i="94"/>
  <c r="CW790" i="94"/>
  <c r="DG790" i="94"/>
  <c r="DQ790" i="94"/>
  <c r="EC790" i="94"/>
  <c r="EM790" i="94"/>
  <c r="EW790" i="94"/>
  <c r="FI790" i="94"/>
  <c r="FS790" i="94"/>
  <c r="GC790" i="94"/>
  <c r="GO790" i="94"/>
  <c r="GY790" i="94"/>
  <c r="HI790" i="94"/>
  <c r="HU790" i="94"/>
  <c r="IE790" i="94"/>
  <c r="IO790" i="94"/>
  <c r="JA790" i="94"/>
  <c r="JK790" i="94"/>
  <c r="JU790" i="94"/>
  <c r="KG790" i="94"/>
  <c r="KQ790" i="94"/>
  <c r="LA790" i="94"/>
  <c r="LM790" i="94"/>
  <c r="LW790" i="94"/>
  <c r="MG790" i="94"/>
  <c r="MS790" i="94"/>
  <c r="IE792" i="94"/>
  <c r="JC792" i="94"/>
  <c r="JW792" i="94"/>
  <c r="KQ792" i="94"/>
  <c r="AE793" i="94"/>
  <c r="BC793" i="94"/>
  <c r="EI793" i="94"/>
  <c r="FC793" i="94"/>
  <c r="GA793" i="94"/>
  <c r="GU793" i="94"/>
  <c r="HO793" i="94"/>
  <c r="LS793" i="94"/>
  <c r="MM793" i="94"/>
  <c r="AI796" i="94"/>
  <c r="BH796" i="94"/>
  <c r="CL796" i="94"/>
  <c r="DJ796" i="94"/>
  <c r="EI796" i="94"/>
  <c r="FG796" i="94"/>
  <c r="GF796" i="94"/>
  <c r="HJ796" i="94"/>
  <c r="IH796" i="94"/>
  <c r="JG796" i="94"/>
  <c r="KE796" i="94"/>
  <c r="LD796" i="94"/>
  <c r="MH796" i="94"/>
  <c r="A797" i="94"/>
  <c r="MO797" i="94"/>
  <c r="MG797" i="94"/>
  <c r="MS797" i="94"/>
  <c r="MK797" i="94"/>
  <c r="MF797" i="94"/>
  <c r="ME797" i="94"/>
  <c r="MM797" i="94"/>
  <c r="GZ797" i="94"/>
  <c r="IA797" i="94"/>
  <c r="IY797" i="94"/>
  <c r="JZ797" i="94"/>
  <c r="KZ797" i="94"/>
  <c r="LV797" i="94"/>
  <c r="IQ798" i="94"/>
  <c r="JW798" i="94"/>
  <c r="LC798" i="94"/>
  <c r="A801" i="94"/>
  <c r="MO801" i="94"/>
  <c r="MG801" i="94"/>
  <c r="MN801" i="94"/>
  <c r="MF801" i="94"/>
  <c r="MS801" i="94"/>
  <c r="MK801" i="94"/>
  <c r="ML801" i="94"/>
  <c r="MI801" i="94"/>
  <c r="ME801" i="94"/>
  <c r="MM801" i="94"/>
  <c r="CT802" i="94"/>
  <c r="FW802" i="94"/>
  <c r="LF804" i="94"/>
  <c r="LJ804" i="94"/>
  <c r="LG804" i="94"/>
  <c r="LH804" i="94"/>
  <c r="HM804" i="94"/>
  <c r="GP804" i="94"/>
  <c r="FR804" i="94"/>
  <c r="ER804" i="94"/>
  <c r="BC804" i="94"/>
  <c r="AH804" i="94"/>
  <c r="MB804" i="94"/>
  <c r="HL804" i="94"/>
  <c r="GK804" i="94"/>
  <c r="FN804" i="94"/>
  <c r="EP804" i="94"/>
  <c r="AY804" i="94"/>
  <c r="AE804" i="94"/>
  <c r="LZ804" i="94"/>
  <c r="HH804" i="94"/>
  <c r="GJ804" i="94"/>
  <c r="FJ804" i="94"/>
  <c r="EM804" i="94"/>
  <c r="AX804" i="94"/>
  <c r="AA804" i="94"/>
  <c r="LQ804" i="94"/>
  <c r="HV804" i="94"/>
  <c r="GY804" i="94"/>
  <c r="FA804" i="94"/>
  <c r="AP804" i="94"/>
  <c r="DU804" i="94"/>
  <c r="CW804" i="94"/>
  <c r="BW804" i="94"/>
  <c r="DP804" i="94"/>
  <c r="CS804" i="94"/>
  <c r="BV804" i="94"/>
  <c r="DO804" i="94"/>
  <c r="CO804" i="94"/>
  <c r="BS804" i="94"/>
  <c r="DF804" i="94"/>
  <c r="CF804" i="94"/>
  <c r="BK804" i="94"/>
  <c r="W804" i="94"/>
  <c r="BN804" i="94"/>
  <c r="DG804" i="94"/>
  <c r="EZ804" i="94"/>
  <c r="GS804" i="94"/>
  <c r="KZ805" i="94"/>
  <c r="KP805" i="94"/>
  <c r="KG805" i="94"/>
  <c r="JX805" i="94"/>
  <c r="JO805" i="94"/>
  <c r="JF805" i="94"/>
  <c r="IW805" i="94"/>
  <c r="IN805" i="94"/>
  <c r="ID805" i="94"/>
  <c r="KO805" i="94"/>
  <c r="JR805" i="94"/>
  <c r="IT805" i="94"/>
  <c r="KK805" i="94"/>
  <c r="JM805" i="94"/>
  <c r="IL805" i="94"/>
  <c r="KF805" i="94"/>
  <c r="JI805" i="94"/>
  <c r="IK805" i="94"/>
  <c r="LC805" i="94"/>
  <c r="KE805" i="94"/>
  <c r="JE805" i="94"/>
  <c r="IH805" i="94"/>
  <c r="KT805" i="94"/>
  <c r="JV805" i="94"/>
  <c r="IV805" i="94"/>
  <c r="KN805" i="94"/>
  <c r="KR806" i="94"/>
  <c r="LF807" i="94"/>
  <c r="LG807" i="94"/>
  <c r="LH807" i="94"/>
  <c r="LI807" i="94"/>
  <c r="LK807" i="94"/>
  <c r="GR807" i="94"/>
  <c r="FN807" i="94"/>
  <c r="EH807" i="94"/>
  <c r="AN807" i="94"/>
  <c r="HQ807" i="94"/>
  <c r="GL807" i="94"/>
  <c r="FF807" i="94"/>
  <c r="AB807" i="94"/>
  <c r="HP807" i="94"/>
  <c r="EZ807" i="94"/>
  <c r="BG807" i="94"/>
  <c r="AA807" i="94"/>
  <c r="HJ807" i="94"/>
  <c r="EV807" i="94"/>
  <c r="BA807" i="94"/>
  <c r="X807" i="94"/>
  <c r="LT807" i="94"/>
  <c r="GW807" i="94"/>
  <c r="FQ807" i="94"/>
  <c r="EI807" i="94"/>
  <c r="AP807" i="94"/>
  <c r="A807" i="94"/>
  <c r="AI807" i="94"/>
  <c r="DJ807" i="94"/>
  <c r="DY795" i="94"/>
  <c r="DQ795" i="94"/>
  <c r="DI795" i="94"/>
  <c r="DA795" i="94"/>
  <c r="CS795" i="94"/>
  <c r="CK795" i="94"/>
  <c r="CC795" i="94"/>
  <c r="BU795" i="94"/>
  <c r="BM795" i="94"/>
  <c r="FY795" i="94"/>
  <c r="DU795" i="94"/>
  <c r="DM795" i="94"/>
  <c r="DE795" i="94"/>
  <c r="CW795" i="94"/>
  <c r="CO795" i="94"/>
  <c r="CG795" i="94"/>
  <c r="BY795" i="94"/>
  <c r="BQ795" i="94"/>
  <c r="BR795" i="94"/>
  <c r="CH795" i="94"/>
  <c r="CX795" i="94"/>
  <c r="DN795" i="94"/>
  <c r="FZ795" i="94"/>
  <c r="Z798" i="94"/>
  <c r="AP798" i="94"/>
  <c r="BF798" i="94"/>
  <c r="BV798" i="94"/>
  <c r="CL798" i="94"/>
  <c r="DB798" i="94"/>
  <c r="DR798" i="94"/>
  <c r="EH798" i="94"/>
  <c r="EX798" i="94"/>
  <c r="FN798" i="94"/>
  <c r="GD798" i="94"/>
  <c r="GT798" i="94"/>
  <c r="HJ798" i="94"/>
  <c r="HZ798" i="94"/>
  <c r="IP798" i="94"/>
  <c r="JF798" i="94"/>
  <c r="JV798" i="94"/>
  <c r="KL798" i="94"/>
  <c r="LB798" i="94"/>
  <c r="LR798" i="94"/>
  <c r="MH798" i="94"/>
  <c r="A799" i="94"/>
  <c r="MO799" i="94"/>
  <c r="MG799" i="94"/>
  <c r="MN799" i="94"/>
  <c r="MF799" i="94"/>
  <c r="MS799" i="94"/>
  <c r="MK799" i="94"/>
  <c r="AE799" i="94"/>
  <c r="BB799" i="94"/>
  <c r="BW799" i="94"/>
  <c r="CQ799" i="94"/>
  <c r="DN799" i="94"/>
  <c r="EI799" i="94"/>
  <c r="FC799" i="94"/>
  <c r="GU799" i="94"/>
  <c r="HO799" i="94"/>
  <c r="LS799" i="94"/>
  <c r="MM799" i="94"/>
  <c r="II800" i="94"/>
  <c r="JF800" i="94"/>
  <c r="KA800" i="94"/>
  <c r="KU800" i="94"/>
  <c r="MM800" i="94"/>
  <c r="DY803" i="94"/>
  <c r="DQ803" i="94"/>
  <c r="DI803" i="94"/>
  <c r="DA803" i="94"/>
  <c r="CS803" i="94"/>
  <c r="CK803" i="94"/>
  <c r="CC803" i="94"/>
  <c r="BU803" i="94"/>
  <c r="BM803" i="94"/>
  <c r="DX803" i="94"/>
  <c r="DP803" i="94"/>
  <c r="DH803" i="94"/>
  <c r="CZ803" i="94"/>
  <c r="CR803" i="94"/>
  <c r="CJ803" i="94"/>
  <c r="CB803" i="94"/>
  <c r="BT803" i="94"/>
  <c r="BL803" i="94"/>
  <c r="FY803" i="94"/>
  <c r="DU803" i="94"/>
  <c r="DM803" i="94"/>
  <c r="DE803" i="94"/>
  <c r="CW803" i="94"/>
  <c r="CO803" i="94"/>
  <c r="CG803" i="94"/>
  <c r="BY803" i="94"/>
  <c r="BQ803" i="94"/>
  <c r="BK803" i="94"/>
  <c r="CH803" i="94"/>
  <c r="DC803" i="94"/>
  <c r="DW803" i="94"/>
  <c r="MR804" i="94"/>
  <c r="GF806" i="94"/>
  <c r="HG806" i="94"/>
  <c r="HL808" i="94"/>
  <c r="GZ808" i="94"/>
  <c r="GP808" i="94"/>
  <c r="GF808" i="94"/>
  <c r="HU808" i="94"/>
  <c r="HI808" i="94"/>
  <c r="GY808" i="94"/>
  <c r="GO808" i="94"/>
  <c r="MD808" i="94"/>
  <c r="LT808" i="94"/>
  <c r="HP808" i="94"/>
  <c r="HF808" i="94"/>
  <c r="GV808" i="94"/>
  <c r="MB808" i="94"/>
  <c r="HD808" i="94"/>
  <c r="LY808" i="94"/>
  <c r="HA808" i="94"/>
  <c r="LP808" i="94"/>
  <c r="GR808" i="94"/>
  <c r="GQ808" i="94"/>
  <c r="HX808" i="94"/>
  <c r="GJ808" i="94"/>
  <c r="HM808" i="94"/>
  <c r="LF809" i="94"/>
  <c r="LJ809" i="94"/>
  <c r="LG809" i="94"/>
  <c r="A809" i="94"/>
  <c r="LI809" i="94"/>
  <c r="LH809" i="94"/>
  <c r="HI809" i="94"/>
  <c r="EK809" i="94"/>
  <c r="AO809" i="94"/>
  <c r="BH809" i="94"/>
  <c r="LH792" i="94"/>
  <c r="LF792" i="94"/>
  <c r="LI792" i="94"/>
  <c r="AH792" i="94"/>
  <c r="AX792" i="94"/>
  <c r="BN792" i="94"/>
  <c r="CD792" i="94"/>
  <c r="CT792" i="94"/>
  <c r="DJ792" i="94"/>
  <c r="DZ792" i="94"/>
  <c r="EP792" i="94"/>
  <c r="FF792" i="94"/>
  <c r="FV792" i="94"/>
  <c r="GL792" i="94"/>
  <c r="HB792" i="94"/>
  <c r="HR792" i="94"/>
  <c r="IH792" i="94"/>
  <c r="IX792" i="94"/>
  <c r="JN792" i="94"/>
  <c r="KD792" i="94"/>
  <c r="KT792" i="94"/>
  <c r="LJ792" i="94"/>
  <c r="LZ792" i="94"/>
  <c r="LY795" i="94"/>
  <c r="LQ795" i="94"/>
  <c r="HQ795" i="94"/>
  <c r="HI795" i="94"/>
  <c r="HA795" i="94"/>
  <c r="GS795" i="94"/>
  <c r="GK795" i="94"/>
  <c r="MC795" i="94"/>
  <c r="LU795" i="94"/>
  <c r="HU795" i="94"/>
  <c r="HM795" i="94"/>
  <c r="HE795" i="94"/>
  <c r="GW795" i="94"/>
  <c r="GO795" i="94"/>
  <c r="GG795" i="94"/>
  <c r="BW795" i="94"/>
  <c r="CM795" i="94"/>
  <c r="DC795" i="94"/>
  <c r="DS795" i="94"/>
  <c r="GU795" i="94"/>
  <c r="HK795" i="94"/>
  <c r="LS795" i="94"/>
  <c r="DY797" i="94"/>
  <c r="DQ797" i="94"/>
  <c r="DI797" i="94"/>
  <c r="DA797" i="94"/>
  <c r="CS797" i="94"/>
  <c r="CK797" i="94"/>
  <c r="CC797" i="94"/>
  <c r="BU797" i="94"/>
  <c r="BM797" i="94"/>
  <c r="FY797" i="94"/>
  <c r="DU797" i="94"/>
  <c r="DM797" i="94"/>
  <c r="DE797" i="94"/>
  <c r="CW797" i="94"/>
  <c r="CO797" i="94"/>
  <c r="CG797" i="94"/>
  <c r="BY797" i="94"/>
  <c r="BQ797" i="94"/>
  <c r="AL797" i="94"/>
  <c r="BB797" i="94"/>
  <c r="BR797" i="94"/>
  <c r="CH797" i="94"/>
  <c r="CX797" i="94"/>
  <c r="DN797" i="94"/>
  <c r="ET797" i="94"/>
  <c r="FJ797" i="94"/>
  <c r="FZ797" i="94"/>
  <c r="A798" i="94"/>
  <c r="AE798" i="94"/>
  <c r="AU798" i="94"/>
  <c r="BK798" i="94"/>
  <c r="CA798" i="94"/>
  <c r="CQ798" i="94"/>
  <c r="DG798" i="94"/>
  <c r="DW798" i="94"/>
  <c r="EM798" i="94"/>
  <c r="FC798" i="94"/>
  <c r="FS798" i="94"/>
  <c r="GI798" i="94"/>
  <c r="GY798" i="94"/>
  <c r="HO798" i="94"/>
  <c r="IE798" i="94"/>
  <c r="IU798" i="94"/>
  <c r="JK798" i="94"/>
  <c r="KA798" i="94"/>
  <c r="KQ798" i="94"/>
  <c r="LW798" i="94"/>
  <c r="MP798" i="94"/>
  <c r="AM799" i="94"/>
  <c r="BJ799" i="94"/>
  <c r="CE799" i="94"/>
  <c r="CY799" i="94"/>
  <c r="EQ799" i="94"/>
  <c r="FK799" i="94"/>
  <c r="GH799" i="94"/>
  <c r="HC799" i="94"/>
  <c r="HW799" i="94"/>
  <c r="LF799" i="94"/>
  <c r="MA799" i="94"/>
  <c r="LH800" i="94"/>
  <c r="LF800" i="94"/>
  <c r="LI800" i="94"/>
  <c r="AM800" i="94"/>
  <c r="BG800" i="94"/>
  <c r="CD800" i="94"/>
  <c r="CY800" i="94"/>
  <c r="EP800" i="94"/>
  <c r="FK800" i="94"/>
  <c r="HB800" i="94"/>
  <c r="HW800" i="94"/>
  <c r="IQ800" i="94"/>
  <c r="JN800" i="94"/>
  <c r="KI800" i="94"/>
  <c r="LC800" i="94"/>
  <c r="LZ800" i="94"/>
  <c r="LJ801" i="94"/>
  <c r="LI801" i="94"/>
  <c r="FU801" i="94"/>
  <c r="FM801" i="94"/>
  <c r="FE801" i="94"/>
  <c r="EW801" i="94"/>
  <c r="EO801" i="94"/>
  <c r="BE801" i="94"/>
  <c r="AW801" i="94"/>
  <c r="AO801" i="94"/>
  <c r="AG801" i="94"/>
  <c r="Y801" i="94"/>
  <c r="LH801" i="94"/>
  <c r="FT801" i="94"/>
  <c r="FL801" i="94"/>
  <c r="FD801" i="94"/>
  <c r="EV801" i="94"/>
  <c r="EN801" i="94"/>
  <c r="BD801" i="94"/>
  <c r="AV801" i="94"/>
  <c r="AN801" i="94"/>
  <c r="AF801" i="94"/>
  <c r="X801" i="94"/>
  <c r="LM801" i="94"/>
  <c r="FQ801" i="94"/>
  <c r="FI801" i="94"/>
  <c r="FA801" i="94"/>
  <c r="ES801" i="94"/>
  <c r="EK801" i="94"/>
  <c r="BI801" i="94"/>
  <c r="BA801" i="94"/>
  <c r="AS801" i="94"/>
  <c r="AK801" i="94"/>
  <c r="AC801" i="94"/>
  <c r="GC801" i="94"/>
  <c r="EG801" i="94"/>
  <c r="GB801" i="94"/>
  <c r="EF801" i="94"/>
  <c r="EC801" i="94"/>
  <c r="W801" i="94"/>
  <c r="AT801" i="94"/>
  <c r="EU801" i="94"/>
  <c r="FR801" i="94"/>
  <c r="GM801" i="94"/>
  <c r="HG801" i="94"/>
  <c r="ID801" i="94"/>
  <c r="IY801" i="94"/>
  <c r="JS801" i="94"/>
  <c r="LK801" i="94"/>
  <c r="IA802" i="94"/>
  <c r="IX802" i="94"/>
  <c r="JS802" i="94"/>
  <c r="KM802" i="94"/>
  <c r="LY803" i="94"/>
  <c r="BS803" i="94"/>
  <c r="CP803" i="94"/>
  <c r="DK803" i="94"/>
  <c r="FW803" i="94"/>
  <c r="BI805" i="94"/>
  <c r="DY805" i="94"/>
  <c r="AS805" i="94"/>
  <c r="BT805" i="94"/>
  <c r="CR805" i="94"/>
  <c r="DN805" i="94"/>
  <c r="EO805" i="94"/>
  <c r="FM805" i="94"/>
  <c r="GJ805" i="94"/>
  <c r="HJ805" i="94"/>
  <c r="LZ805" i="94"/>
  <c r="MP806" i="94"/>
  <c r="MH806" i="94"/>
  <c r="LZ806" i="94"/>
  <c r="LR806" i="94"/>
  <c r="LJ806" i="94"/>
  <c r="LB806" i="94"/>
  <c r="KT806" i="94"/>
  <c r="KL806" i="94"/>
  <c r="KD806" i="94"/>
  <c r="JV806" i="94"/>
  <c r="JN806" i="94"/>
  <c r="JF806" i="94"/>
  <c r="IX806" i="94"/>
  <c r="IP806" i="94"/>
  <c r="IH806" i="94"/>
  <c r="HZ806" i="94"/>
  <c r="HR806" i="94"/>
  <c r="HJ806" i="94"/>
  <c r="HB806" i="94"/>
  <c r="GT806" i="94"/>
  <c r="GL806" i="94"/>
  <c r="GD806" i="94"/>
  <c r="FV806" i="94"/>
  <c r="FN806" i="94"/>
  <c r="FF806" i="94"/>
  <c r="EX806" i="94"/>
  <c r="EP806" i="94"/>
  <c r="EH806" i="94"/>
  <c r="DZ806" i="94"/>
  <c r="DR806" i="94"/>
  <c r="DJ806" i="94"/>
  <c r="DB806" i="94"/>
  <c r="CT806" i="94"/>
  <c r="CL806" i="94"/>
  <c r="CD806" i="94"/>
  <c r="BV806" i="94"/>
  <c r="BN806" i="94"/>
  <c r="BF806" i="94"/>
  <c r="AX806" i="94"/>
  <c r="AP806" i="94"/>
  <c r="AH806" i="94"/>
  <c r="Z806" i="94"/>
  <c r="MQ806" i="94"/>
  <c r="MI806" i="94"/>
  <c r="MA806" i="94"/>
  <c r="LS806" i="94"/>
  <c r="LK806" i="94"/>
  <c r="LC806" i="94"/>
  <c r="KU806" i="94"/>
  <c r="KM806" i="94"/>
  <c r="KE806" i="94"/>
  <c r="JW806" i="94"/>
  <c r="JO806" i="94"/>
  <c r="JG806" i="94"/>
  <c r="IY806" i="94"/>
  <c r="IQ806" i="94"/>
  <c r="II806" i="94"/>
  <c r="IA806" i="94"/>
  <c r="HS806" i="94"/>
  <c r="HK806" i="94"/>
  <c r="HC806" i="94"/>
  <c r="GU806" i="94"/>
  <c r="GM806" i="94"/>
  <c r="GE806" i="94"/>
  <c r="FW806" i="94"/>
  <c r="FO806" i="94"/>
  <c r="FG806" i="94"/>
  <c r="EY806" i="94"/>
  <c r="EQ806" i="94"/>
  <c r="EI806" i="94"/>
  <c r="EA806" i="94"/>
  <c r="DS806" i="94"/>
  <c r="DK806" i="94"/>
  <c r="DC806" i="94"/>
  <c r="CU806" i="94"/>
  <c r="CM806" i="94"/>
  <c r="CE806" i="94"/>
  <c r="BW806" i="94"/>
  <c r="BO806" i="94"/>
  <c r="BG806" i="94"/>
  <c r="AY806" i="94"/>
  <c r="AQ806" i="94"/>
  <c r="AI806" i="94"/>
  <c r="AA806" i="94"/>
  <c r="MR806" i="94"/>
  <c r="MF806" i="94"/>
  <c r="LV806" i="94"/>
  <c r="LL806" i="94"/>
  <c r="KZ806" i="94"/>
  <c r="KP806" i="94"/>
  <c r="KF806" i="94"/>
  <c r="JT806" i="94"/>
  <c r="JJ806" i="94"/>
  <c r="IZ806" i="94"/>
  <c r="IN806" i="94"/>
  <c r="ID806" i="94"/>
  <c r="HT806" i="94"/>
  <c r="HH806" i="94"/>
  <c r="GX806" i="94"/>
  <c r="GN806" i="94"/>
  <c r="GB806" i="94"/>
  <c r="FR806" i="94"/>
  <c r="FH806" i="94"/>
  <c r="EV806" i="94"/>
  <c r="EL806" i="94"/>
  <c r="EB806" i="94"/>
  <c r="DP806" i="94"/>
  <c r="DF806" i="94"/>
  <c r="CV806" i="94"/>
  <c r="CJ806" i="94"/>
  <c r="BZ806" i="94"/>
  <c r="BP806" i="94"/>
  <c r="BD806" i="94"/>
  <c r="AT806" i="94"/>
  <c r="AJ806" i="94"/>
  <c r="X806" i="94"/>
  <c r="MN806" i="94"/>
  <c r="MD806" i="94"/>
  <c r="LT806" i="94"/>
  <c r="LH806" i="94"/>
  <c r="KX806" i="94"/>
  <c r="KN806" i="94"/>
  <c r="KB806" i="94"/>
  <c r="JR806" i="94"/>
  <c r="JH806" i="94"/>
  <c r="IV806" i="94"/>
  <c r="IL806" i="94"/>
  <c r="IB806" i="94"/>
  <c r="HP806" i="94"/>
  <c r="HF806" i="94"/>
  <c r="GV806" i="94"/>
  <c r="GJ806" i="94"/>
  <c r="FZ806" i="94"/>
  <c r="FP806" i="94"/>
  <c r="FD806" i="94"/>
  <c r="ET806" i="94"/>
  <c r="EJ806" i="94"/>
  <c r="DX806" i="94"/>
  <c r="DN806" i="94"/>
  <c r="DD806" i="94"/>
  <c r="CR806" i="94"/>
  <c r="CH806" i="94"/>
  <c r="BX806" i="94"/>
  <c r="BL806" i="94"/>
  <c r="BB806" i="94"/>
  <c r="AR806" i="94"/>
  <c r="AF806" i="94"/>
  <c r="MM806" i="94"/>
  <c r="MC806" i="94"/>
  <c r="LQ806" i="94"/>
  <c r="LG806" i="94"/>
  <c r="KW806" i="94"/>
  <c r="KK806" i="94"/>
  <c r="KA806" i="94"/>
  <c r="JQ806" i="94"/>
  <c r="JE806" i="94"/>
  <c r="IU806" i="94"/>
  <c r="IK806" i="94"/>
  <c r="HY806" i="94"/>
  <c r="HO806" i="94"/>
  <c r="HE806" i="94"/>
  <c r="GS806" i="94"/>
  <c r="GI806" i="94"/>
  <c r="FY806" i="94"/>
  <c r="FM806" i="94"/>
  <c r="FC806" i="94"/>
  <c r="ES806" i="94"/>
  <c r="EG806" i="94"/>
  <c r="DW806" i="94"/>
  <c r="DM806" i="94"/>
  <c r="DA806" i="94"/>
  <c r="CQ806" i="94"/>
  <c r="CG806" i="94"/>
  <c r="BU806" i="94"/>
  <c r="BK806" i="94"/>
  <c r="BA806" i="94"/>
  <c r="AO806" i="94"/>
  <c r="AE806" i="94"/>
  <c r="A806" i="94"/>
  <c r="ML806" i="94"/>
  <c r="MB806" i="94"/>
  <c r="LP806" i="94"/>
  <c r="LF806" i="94"/>
  <c r="KV806" i="94"/>
  <c r="KJ806" i="94"/>
  <c r="JZ806" i="94"/>
  <c r="JP806" i="94"/>
  <c r="JD806" i="94"/>
  <c r="IT806" i="94"/>
  <c r="IJ806" i="94"/>
  <c r="HX806" i="94"/>
  <c r="HN806" i="94"/>
  <c r="HD806" i="94"/>
  <c r="GR806" i="94"/>
  <c r="GH806" i="94"/>
  <c r="FX806" i="94"/>
  <c r="FL806" i="94"/>
  <c r="FB806" i="94"/>
  <c r="ER806" i="94"/>
  <c r="EF806" i="94"/>
  <c r="DV806" i="94"/>
  <c r="DL806" i="94"/>
  <c r="CZ806" i="94"/>
  <c r="CP806" i="94"/>
  <c r="CF806" i="94"/>
  <c r="BT806" i="94"/>
  <c r="BJ806" i="94"/>
  <c r="AZ806" i="94"/>
  <c r="AN806" i="94"/>
  <c r="AD806" i="94"/>
  <c r="MS806" i="94"/>
  <c r="MG806" i="94"/>
  <c r="LW806" i="94"/>
  <c r="LM806" i="94"/>
  <c r="LA806" i="94"/>
  <c r="KQ806" i="94"/>
  <c r="KG806" i="94"/>
  <c r="JU806" i="94"/>
  <c r="JK806" i="94"/>
  <c r="JA806" i="94"/>
  <c r="IO806" i="94"/>
  <c r="IE806" i="94"/>
  <c r="HU806" i="94"/>
  <c r="HI806" i="94"/>
  <c r="GY806" i="94"/>
  <c r="GO806" i="94"/>
  <c r="GC806" i="94"/>
  <c r="FS806" i="94"/>
  <c r="FI806" i="94"/>
  <c r="EW806" i="94"/>
  <c r="EM806" i="94"/>
  <c r="EC806" i="94"/>
  <c r="DQ806" i="94"/>
  <c r="DG806" i="94"/>
  <c r="CW806" i="94"/>
  <c r="CK806" i="94"/>
  <c r="CA806" i="94"/>
  <c r="BQ806" i="94"/>
  <c r="BE806" i="94"/>
  <c r="AU806" i="94"/>
  <c r="AK806" i="94"/>
  <c r="Y806" i="94"/>
  <c r="AB806" i="94"/>
  <c r="BC806" i="94"/>
  <c r="CC806" i="94"/>
  <c r="DH806" i="94"/>
  <c r="EK806" i="94"/>
  <c r="FK806" i="94"/>
  <c r="GP806" i="94"/>
  <c r="HQ806" i="94"/>
  <c r="IS806" i="94"/>
  <c r="JX806" i="94"/>
  <c r="KY806" i="94"/>
  <c r="LY806" i="94"/>
  <c r="GG808" i="94"/>
  <c r="DE809" i="94"/>
  <c r="MN792" i="94"/>
  <c r="MF792" i="94"/>
  <c r="LX792" i="94"/>
  <c r="LP792" i="94"/>
  <c r="KZ792" i="94"/>
  <c r="KR792" i="94"/>
  <c r="KJ792" i="94"/>
  <c r="KB792" i="94"/>
  <c r="JT792" i="94"/>
  <c r="JL792" i="94"/>
  <c r="JD792" i="94"/>
  <c r="IV792" i="94"/>
  <c r="IN792" i="94"/>
  <c r="IF792" i="94"/>
  <c r="HX792" i="94"/>
  <c r="HP792" i="94"/>
  <c r="HH792" i="94"/>
  <c r="GZ792" i="94"/>
  <c r="GR792" i="94"/>
  <c r="GJ792" i="94"/>
  <c r="GB792" i="94"/>
  <c r="FT792" i="94"/>
  <c r="FL792" i="94"/>
  <c r="FD792" i="94"/>
  <c r="EV792" i="94"/>
  <c r="EN792" i="94"/>
  <c r="EF792" i="94"/>
  <c r="DX792" i="94"/>
  <c r="DP792" i="94"/>
  <c r="DH792" i="94"/>
  <c r="CZ792" i="94"/>
  <c r="CR792" i="94"/>
  <c r="CJ792" i="94"/>
  <c r="CB792" i="94"/>
  <c r="BT792" i="94"/>
  <c r="BL792" i="94"/>
  <c r="BD792" i="94"/>
  <c r="AV792" i="94"/>
  <c r="AN792" i="94"/>
  <c r="AF792" i="94"/>
  <c r="X792" i="94"/>
  <c r="ML792" i="94"/>
  <c r="MD792" i="94"/>
  <c r="LV792" i="94"/>
  <c r="LN792" i="94"/>
  <c r="KX792" i="94"/>
  <c r="KP792" i="94"/>
  <c r="KH792" i="94"/>
  <c r="JZ792" i="94"/>
  <c r="JR792" i="94"/>
  <c r="JJ792" i="94"/>
  <c r="JB792" i="94"/>
  <c r="IT792" i="94"/>
  <c r="IL792" i="94"/>
  <c r="ID792" i="94"/>
  <c r="HV792" i="94"/>
  <c r="HN792" i="94"/>
  <c r="HF792" i="94"/>
  <c r="GX792" i="94"/>
  <c r="GP792" i="94"/>
  <c r="GH792" i="94"/>
  <c r="FZ792" i="94"/>
  <c r="FR792" i="94"/>
  <c r="FJ792" i="94"/>
  <c r="FB792" i="94"/>
  <c r="ET792" i="94"/>
  <c r="EL792" i="94"/>
  <c r="ED792" i="94"/>
  <c r="DV792" i="94"/>
  <c r="DN792" i="94"/>
  <c r="DF792" i="94"/>
  <c r="CX792" i="94"/>
  <c r="CP792" i="94"/>
  <c r="CH792" i="94"/>
  <c r="BZ792" i="94"/>
  <c r="BR792" i="94"/>
  <c r="BJ792" i="94"/>
  <c r="BB792" i="94"/>
  <c r="AT792" i="94"/>
  <c r="AL792" i="94"/>
  <c r="AD792" i="94"/>
  <c r="MS792" i="94"/>
  <c r="MK792" i="94"/>
  <c r="MC792" i="94"/>
  <c r="LU792" i="94"/>
  <c r="LM792" i="94"/>
  <c r="LE792" i="94"/>
  <c r="KW792" i="94"/>
  <c r="KO792" i="94"/>
  <c r="KG792" i="94"/>
  <c r="JY792" i="94"/>
  <c r="JQ792" i="94"/>
  <c r="JI792" i="94"/>
  <c r="JA792" i="94"/>
  <c r="IS792" i="94"/>
  <c r="IK792" i="94"/>
  <c r="IC792" i="94"/>
  <c r="HU792" i="94"/>
  <c r="HM792" i="94"/>
  <c r="HE792" i="94"/>
  <c r="GW792" i="94"/>
  <c r="GO792" i="94"/>
  <c r="GG792" i="94"/>
  <c r="FY792" i="94"/>
  <c r="FQ792" i="94"/>
  <c r="FI792" i="94"/>
  <c r="FA792" i="94"/>
  <c r="ES792" i="94"/>
  <c r="EK792" i="94"/>
  <c r="EC792" i="94"/>
  <c r="DU792" i="94"/>
  <c r="DM792" i="94"/>
  <c r="DE792" i="94"/>
  <c r="CW792" i="94"/>
  <c r="CO792" i="94"/>
  <c r="CG792" i="94"/>
  <c r="BY792" i="94"/>
  <c r="BQ792" i="94"/>
  <c r="BI792" i="94"/>
  <c r="BA792" i="94"/>
  <c r="AS792" i="94"/>
  <c r="AK792" i="94"/>
  <c r="AC792" i="94"/>
  <c r="MO792" i="94"/>
  <c r="MG792" i="94"/>
  <c r="LY792" i="94"/>
  <c r="LQ792" i="94"/>
  <c r="LA792" i="94"/>
  <c r="KS792" i="94"/>
  <c r="KK792" i="94"/>
  <c r="KC792" i="94"/>
  <c r="JU792" i="94"/>
  <c r="JM792" i="94"/>
  <c r="JE792" i="94"/>
  <c r="IW792" i="94"/>
  <c r="IO792" i="94"/>
  <c r="IG792" i="94"/>
  <c r="HY792" i="94"/>
  <c r="HQ792" i="94"/>
  <c r="HI792" i="94"/>
  <c r="HA792" i="94"/>
  <c r="GS792" i="94"/>
  <c r="GK792" i="94"/>
  <c r="GC792" i="94"/>
  <c r="FU792" i="94"/>
  <c r="FM792" i="94"/>
  <c r="FE792" i="94"/>
  <c r="EW792" i="94"/>
  <c r="EO792" i="94"/>
  <c r="EG792" i="94"/>
  <c r="DY792" i="94"/>
  <c r="DQ792" i="94"/>
  <c r="DI792" i="94"/>
  <c r="DA792" i="94"/>
  <c r="CS792" i="94"/>
  <c r="CK792" i="94"/>
  <c r="CC792" i="94"/>
  <c r="BU792" i="94"/>
  <c r="BM792" i="94"/>
  <c r="BE792" i="94"/>
  <c r="AW792" i="94"/>
  <c r="AO792" i="94"/>
  <c r="AG792" i="94"/>
  <c r="Y792" i="94"/>
  <c r="AI792" i="94"/>
  <c r="AY792" i="94"/>
  <c r="BO792" i="94"/>
  <c r="CE792" i="94"/>
  <c r="CU792" i="94"/>
  <c r="DK792" i="94"/>
  <c r="EA792" i="94"/>
  <c r="EQ792" i="94"/>
  <c r="FG792" i="94"/>
  <c r="FW792" i="94"/>
  <c r="GM792" i="94"/>
  <c r="HC792" i="94"/>
  <c r="HS792" i="94"/>
  <c r="II792" i="94"/>
  <c r="IY792" i="94"/>
  <c r="JO792" i="94"/>
  <c r="KE792" i="94"/>
  <c r="KU792" i="94"/>
  <c r="LK792" i="94"/>
  <c r="MA792" i="94"/>
  <c r="MQ792" i="94"/>
  <c r="A795" i="94"/>
  <c r="MO795" i="94"/>
  <c r="MG795" i="94"/>
  <c r="MS795" i="94"/>
  <c r="MK795" i="94"/>
  <c r="BZ795" i="94"/>
  <c r="CP795" i="94"/>
  <c r="DF795" i="94"/>
  <c r="DV795" i="94"/>
  <c r="ML795" i="94"/>
  <c r="LJ797" i="94"/>
  <c r="LI797" i="94"/>
  <c r="FU797" i="94"/>
  <c r="FM797" i="94"/>
  <c r="FE797" i="94"/>
  <c r="EW797" i="94"/>
  <c r="EO797" i="94"/>
  <c r="BE797" i="94"/>
  <c r="AW797" i="94"/>
  <c r="AO797" i="94"/>
  <c r="AG797" i="94"/>
  <c r="Y797" i="94"/>
  <c r="LM797" i="94"/>
  <c r="FQ797" i="94"/>
  <c r="FI797" i="94"/>
  <c r="FA797" i="94"/>
  <c r="ES797" i="94"/>
  <c r="EK797" i="94"/>
  <c r="BI797" i="94"/>
  <c r="BA797" i="94"/>
  <c r="AS797" i="94"/>
  <c r="AK797" i="94"/>
  <c r="AC797" i="94"/>
  <c r="GC797" i="94"/>
  <c r="EG797" i="94"/>
  <c r="EC797" i="94"/>
  <c r="W797" i="94"/>
  <c r="AM797" i="94"/>
  <c r="BC797" i="94"/>
  <c r="BS797" i="94"/>
  <c r="CI797" i="94"/>
  <c r="CY797" i="94"/>
  <c r="DO797" i="94"/>
  <c r="EE797" i="94"/>
  <c r="EU797" i="94"/>
  <c r="FK797" i="94"/>
  <c r="GA797" i="94"/>
  <c r="LO797" i="94"/>
  <c r="LH798" i="94"/>
  <c r="LF798" i="94"/>
  <c r="LI798" i="94"/>
  <c r="AH798" i="94"/>
  <c r="AX798" i="94"/>
  <c r="BN798" i="94"/>
  <c r="CD798" i="94"/>
  <c r="CT798" i="94"/>
  <c r="DJ798" i="94"/>
  <c r="DZ798" i="94"/>
  <c r="EP798" i="94"/>
  <c r="FF798" i="94"/>
  <c r="FV798" i="94"/>
  <c r="GL798" i="94"/>
  <c r="HB798" i="94"/>
  <c r="HR798" i="94"/>
  <c r="IH798" i="94"/>
  <c r="IX798" i="94"/>
  <c r="JN798" i="94"/>
  <c r="KD798" i="94"/>
  <c r="KT798" i="94"/>
  <c r="LJ798" i="94"/>
  <c r="LZ798" i="94"/>
  <c r="DY799" i="94"/>
  <c r="DQ799" i="94"/>
  <c r="DI799" i="94"/>
  <c r="DA799" i="94"/>
  <c r="CS799" i="94"/>
  <c r="CK799" i="94"/>
  <c r="CC799" i="94"/>
  <c r="BU799" i="94"/>
  <c r="BM799" i="94"/>
  <c r="DX799" i="94"/>
  <c r="DP799" i="94"/>
  <c r="DH799" i="94"/>
  <c r="CZ799" i="94"/>
  <c r="CR799" i="94"/>
  <c r="CJ799" i="94"/>
  <c r="CB799" i="94"/>
  <c r="BT799" i="94"/>
  <c r="BL799" i="94"/>
  <c r="FY799" i="94"/>
  <c r="DU799" i="94"/>
  <c r="DM799" i="94"/>
  <c r="DE799" i="94"/>
  <c r="CW799" i="94"/>
  <c r="CO799" i="94"/>
  <c r="CG799" i="94"/>
  <c r="BY799" i="94"/>
  <c r="BQ799" i="94"/>
  <c r="AQ799" i="94"/>
  <c r="BK799" i="94"/>
  <c r="CH799" i="94"/>
  <c r="DC799" i="94"/>
  <c r="DW799" i="94"/>
  <c r="ET799" i="94"/>
  <c r="FO799" i="94"/>
  <c r="GI799" i="94"/>
  <c r="HF799" i="94"/>
  <c r="LG799" i="94"/>
  <c r="MN800" i="94"/>
  <c r="HZ800" i="94"/>
  <c r="IU800" i="94"/>
  <c r="JO800" i="94"/>
  <c r="KL800" i="94"/>
  <c r="MR801" i="94"/>
  <c r="LA801" i="94"/>
  <c r="KS801" i="94"/>
  <c r="KK801" i="94"/>
  <c r="KC801" i="94"/>
  <c r="JU801" i="94"/>
  <c r="JM801" i="94"/>
  <c r="JE801" i="94"/>
  <c r="IW801" i="94"/>
  <c r="IO801" i="94"/>
  <c r="IG801" i="94"/>
  <c r="HY801" i="94"/>
  <c r="KZ801" i="94"/>
  <c r="KR801" i="94"/>
  <c r="KJ801" i="94"/>
  <c r="KB801" i="94"/>
  <c r="JT801" i="94"/>
  <c r="JL801" i="94"/>
  <c r="JD801" i="94"/>
  <c r="IV801" i="94"/>
  <c r="IN801" i="94"/>
  <c r="IF801" i="94"/>
  <c r="LE801" i="94"/>
  <c r="KW801" i="94"/>
  <c r="KO801" i="94"/>
  <c r="KG801" i="94"/>
  <c r="JY801" i="94"/>
  <c r="JQ801" i="94"/>
  <c r="JI801" i="94"/>
  <c r="JA801" i="94"/>
  <c r="IS801" i="94"/>
  <c r="IK801" i="94"/>
  <c r="IC801" i="94"/>
  <c r="IE801" i="94"/>
  <c r="JB801" i="94"/>
  <c r="JW801" i="94"/>
  <c r="KQ801" i="94"/>
  <c r="A803" i="94"/>
  <c r="MO803" i="94"/>
  <c r="MG803" i="94"/>
  <c r="MN803" i="94"/>
  <c r="MF803" i="94"/>
  <c r="MS803" i="94"/>
  <c r="MK803" i="94"/>
  <c r="BW803" i="94"/>
  <c r="CQ803" i="94"/>
  <c r="DN803" i="94"/>
  <c r="FZ803" i="94"/>
  <c r="MM803" i="94"/>
  <c r="MP805" i="94"/>
  <c r="Z805" i="94"/>
  <c r="AX805" i="94"/>
  <c r="BU805" i="94"/>
  <c r="CU805" i="94"/>
  <c r="DS805" i="94"/>
  <c r="EP805" i="94"/>
  <c r="FP805" i="94"/>
  <c r="GN805" i="94"/>
  <c r="HK805" i="94"/>
  <c r="LF805" i="94"/>
  <c r="MD805" i="94"/>
  <c r="GQ806" i="94"/>
  <c r="HV806" i="94"/>
  <c r="LD806" i="94"/>
  <c r="ME806" i="94"/>
  <c r="GH808" i="94"/>
  <c r="FN809" i="94"/>
  <c r="MN798" i="94"/>
  <c r="MF798" i="94"/>
  <c r="LX798" i="94"/>
  <c r="LP798" i="94"/>
  <c r="KZ798" i="94"/>
  <c r="KR798" i="94"/>
  <c r="KJ798" i="94"/>
  <c r="KB798" i="94"/>
  <c r="JT798" i="94"/>
  <c r="JL798" i="94"/>
  <c r="JD798" i="94"/>
  <c r="IV798" i="94"/>
  <c r="IN798" i="94"/>
  <c r="IF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ML798" i="94"/>
  <c r="MD798" i="94"/>
  <c r="LV798" i="94"/>
  <c r="LN798" i="94"/>
  <c r="KX798" i="94"/>
  <c r="KP798" i="94"/>
  <c r="KH798" i="94"/>
  <c r="JZ798" i="94"/>
  <c r="JR798" i="94"/>
  <c r="JJ798" i="94"/>
  <c r="JB798" i="94"/>
  <c r="IT798" i="94"/>
  <c r="IL798" i="94"/>
  <c r="ID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MS798" i="94"/>
  <c r="MK798" i="94"/>
  <c r="MC798" i="94"/>
  <c r="LU798" i="94"/>
  <c r="LM798" i="94"/>
  <c r="LE798" i="94"/>
  <c r="KW798" i="94"/>
  <c r="KO798" i="94"/>
  <c r="KG798" i="94"/>
  <c r="JY798" i="94"/>
  <c r="JQ798" i="94"/>
  <c r="JI798" i="94"/>
  <c r="JA798" i="94"/>
  <c r="IS798" i="94"/>
  <c r="IK798" i="94"/>
  <c r="IC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MR798" i="94"/>
  <c r="MJ798" i="94"/>
  <c r="MO798" i="94"/>
  <c r="MG798" i="94"/>
  <c r="LY798" i="94"/>
  <c r="LQ798" i="94"/>
  <c r="LA798" i="94"/>
  <c r="KS798" i="94"/>
  <c r="KK798" i="94"/>
  <c r="KC798" i="94"/>
  <c r="JU798" i="94"/>
  <c r="JM798" i="94"/>
  <c r="JE798" i="94"/>
  <c r="IW798" i="94"/>
  <c r="IO798" i="94"/>
  <c r="IG798" i="94"/>
  <c r="HY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AI798" i="94"/>
  <c r="AY798" i="94"/>
  <c r="BO798" i="94"/>
  <c r="CE798" i="94"/>
  <c r="CU798" i="94"/>
  <c r="DK798" i="94"/>
  <c r="EA798" i="94"/>
  <c r="EQ798" i="94"/>
  <c r="FG798" i="94"/>
  <c r="FW798" i="94"/>
  <c r="GM798" i="94"/>
  <c r="HC798" i="94"/>
  <c r="HS798" i="94"/>
  <c r="II798" i="94"/>
  <c r="IY798" i="94"/>
  <c r="JO798" i="94"/>
  <c r="KE798" i="94"/>
  <c r="KU798" i="94"/>
  <c r="LK798" i="94"/>
  <c r="MA798" i="94"/>
  <c r="LJ799" i="94"/>
  <c r="LI799" i="94"/>
  <c r="FU799" i="94"/>
  <c r="FM799" i="94"/>
  <c r="FE799" i="94"/>
  <c r="EW799" i="94"/>
  <c r="EO799" i="94"/>
  <c r="BE799" i="94"/>
  <c r="AW799" i="94"/>
  <c r="AO799" i="94"/>
  <c r="AG799" i="94"/>
  <c r="Y799" i="94"/>
  <c r="LH799" i="94"/>
  <c r="FT799" i="94"/>
  <c r="FL799" i="94"/>
  <c r="FD799" i="94"/>
  <c r="EV799" i="94"/>
  <c r="EN799" i="94"/>
  <c r="BD799" i="94"/>
  <c r="AV799" i="94"/>
  <c r="AN799" i="94"/>
  <c r="AF799" i="94"/>
  <c r="X799" i="94"/>
  <c r="LM799" i="94"/>
  <c r="FQ799" i="94"/>
  <c r="FI799" i="94"/>
  <c r="FA799" i="94"/>
  <c r="ES799" i="94"/>
  <c r="EK799" i="94"/>
  <c r="BI799" i="94"/>
  <c r="BA799" i="94"/>
  <c r="AS799" i="94"/>
  <c r="AK799" i="94"/>
  <c r="AC799" i="94"/>
  <c r="GC799" i="94"/>
  <c r="EG799" i="94"/>
  <c r="GB799" i="94"/>
  <c r="EF799" i="94"/>
  <c r="EC799" i="94"/>
  <c r="W799" i="94"/>
  <c r="AT799" i="94"/>
  <c r="BO799" i="94"/>
  <c r="CI799" i="94"/>
  <c r="DF799" i="94"/>
  <c r="EA799" i="94"/>
  <c r="EU799" i="94"/>
  <c r="FR799" i="94"/>
  <c r="GM799" i="94"/>
  <c r="HG799" i="94"/>
  <c r="LK799" i="94"/>
  <c r="IA800" i="94"/>
  <c r="IX800" i="94"/>
  <c r="JS800" i="94"/>
  <c r="KM800" i="94"/>
  <c r="GW806" i="94"/>
  <c r="HW806" i="94"/>
  <c r="HN808" i="94"/>
  <c r="FT809" i="94"/>
  <c r="IC793" i="94"/>
  <c r="IK793" i="94"/>
  <c r="IS793" i="94"/>
  <c r="JA793" i="94"/>
  <c r="JI793" i="94"/>
  <c r="JQ793" i="94"/>
  <c r="JY793" i="94"/>
  <c r="KG793" i="94"/>
  <c r="KO793" i="94"/>
  <c r="KW793" i="94"/>
  <c r="LE793" i="94"/>
  <c r="LM793" i="94"/>
  <c r="LU793" i="94"/>
  <c r="MC793" i="94"/>
  <c r="MK793" i="94"/>
  <c r="MS793" i="94"/>
  <c r="GG799" i="94"/>
  <c r="GO799" i="94"/>
  <c r="GW799" i="94"/>
  <c r="HE799" i="94"/>
  <c r="HM799" i="94"/>
  <c r="HU799" i="94"/>
  <c r="LU799" i="94"/>
  <c r="MC799" i="94"/>
  <c r="Y800" i="94"/>
  <c r="AG800" i="94"/>
  <c r="AO800" i="94"/>
  <c r="AW800" i="94"/>
  <c r="BE800" i="94"/>
  <c r="BM800" i="94"/>
  <c r="BU800" i="94"/>
  <c r="CC800" i="94"/>
  <c r="CK800" i="94"/>
  <c r="CS800" i="94"/>
  <c r="DA800" i="94"/>
  <c r="DI800" i="94"/>
  <c r="DQ800" i="94"/>
  <c r="DY800" i="94"/>
  <c r="EG800" i="94"/>
  <c r="EO800" i="94"/>
  <c r="EW800" i="94"/>
  <c r="FE800" i="94"/>
  <c r="FM800" i="94"/>
  <c r="FU800" i="94"/>
  <c r="GC800" i="94"/>
  <c r="GK800" i="94"/>
  <c r="GS800" i="94"/>
  <c r="HA800" i="94"/>
  <c r="HI800" i="94"/>
  <c r="HQ800" i="94"/>
  <c r="HY800" i="94"/>
  <c r="IG800" i="94"/>
  <c r="IO800" i="94"/>
  <c r="IW800" i="94"/>
  <c r="JE800" i="94"/>
  <c r="JM800" i="94"/>
  <c r="JU800" i="94"/>
  <c r="KC800" i="94"/>
  <c r="KK800" i="94"/>
  <c r="KS800" i="94"/>
  <c r="LA800" i="94"/>
  <c r="LQ800" i="94"/>
  <c r="LY800" i="94"/>
  <c r="MG800" i="94"/>
  <c r="MO800" i="94"/>
  <c r="GG801" i="94"/>
  <c r="GO801" i="94"/>
  <c r="GW801" i="94"/>
  <c r="HE801" i="94"/>
  <c r="HM801" i="94"/>
  <c r="HU801" i="94"/>
  <c r="LU801" i="94"/>
  <c r="MC801" i="94"/>
  <c r="Y802" i="94"/>
  <c r="AG802" i="94"/>
  <c r="AO802" i="94"/>
  <c r="AW802" i="94"/>
  <c r="BE802" i="94"/>
  <c r="BM802" i="94"/>
  <c r="BU802" i="94"/>
  <c r="CC802" i="94"/>
  <c r="CK802" i="94"/>
  <c r="CS802" i="94"/>
  <c r="DA802" i="94"/>
  <c r="DI802" i="94"/>
  <c r="DQ802" i="94"/>
  <c r="DY802" i="94"/>
  <c r="EG802" i="94"/>
  <c r="EO802" i="94"/>
  <c r="EW802" i="94"/>
  <c r="FE802" i="94"/>
  <c r="FM802" i="94"/>
  <c r="FU802" i="94"/>
  <c r="GC802" i="94"/>
  <c r="GK802" i="94"/>
  <c r="GS802" i="94"/>
  <c r="HA802" i="94"/>
  <c r="HI802" i="94"/>
  <c r="HQ802" i="94"/>
  <c r="HY802" i="94"/>
  <c r="IG802" i="94"/>
  <c r="IO802" i="94"/>
  <c r="IW802" i="94"/>
  <c r="JE802" i="94"/>
  <c r="JM802" i="94"/>
  <c r="JU802" i="94"/>
  <c r="KC802" i="94"/>
  <c r="KK802" i="94"/>
  <c r="KS802" i="94"/>
  <c r="LA802" i="94"/>
  <c r="LQ802" i="94"/>
  <c r="LY802" i="94"/>
  <c r="MG802" i="94"/>
  <c r="MO802" i="94"/>
  <c r="GG803" i="94"/>
  <c r="GO803" i="94"/>
  <c r="GW803" i="94"/>
  <c r="HE803" i="94"/>
  <c r="HM803" i="94"/>
  <c r="HU803" i="94"/>
  <c r="LU803" i="94"/>
  <c r="MC803" i="94"/>
  <c r="Y804" i="94"/>
  <c r="AG804" i="94"/>
  <c r="AO804" i="94"/>
  <c r="AW804" i="94"/>
  <c r="BE804" i="94"/>
  <c r="BM804" i="94"/>
  <c r="BU804" i="94"/>
  <c r="CC804" i="94"/>
  <c r="CL804" i="94"/>
  <c r="CV804" i="94"/>
  <c r="DE804" i="94"/>
  <c r="DN804" i="94"/>
  <c r="DW804" i="94"/>
  <c r="EF804" i="94"/>
  <c r="EO804" i="94"/>
  <c r="EX804" i="94"/>
  <c r="FH804" i="94"/>
  <c r="FQ804" i="94"/>
  <c r="FZ804" i="94"/>
  <c r="GI804" i="94"/>
  <c r="GR804" i="94"/>
  <c r="HA804" i="94"/>
  <c r="HJ804" i="94"/>
  <c r="HT804" i="94"/>
  <c r="IC804" i="94"/>
  <c r="IL804" i="94"/>
  <c r="IU804" i="94"/>
  <c r="JD804" i="94"/>
  <c r="JM804" i="94"/>
  <c r="JV804" i="94"/>
  <c r="KF804" i="94"/>
  <c r="KO804" i="94"/>
  <c r="KX804" i="94"/>
  <c r="LP804" i="94"/>
  <c r="LY804" i="94"/>
  <c r="MH804" i="94"/>
  <c r="Y805" i="94"/>
  <c r="AH805" i="94"/>
  <c r="AQ805" i="94"/>
  <c r="AZ805" i="94"/>
  <c r="BR805" i="94"/>
  <c r="CB805" i="94"/>
  <c r="CK805" i="94"/>
  <c r="CT805" i="94"/>
  <c r="DC805" i="94"/>
  <c r="DL805" i="94"/>
  <c r="DU805" i="94"/>
  <c r="ED805" i="94"/>
  <c r="EN805" i="94"/>
  <c r="EW805" i="94"/>
  <c r="FF805" i="94"/>
  <c r="FO805" i="94"/>
  <c r="FX805" i="94"/>
  <c r="GG805" i="94"/>
  <c r="GP805" i="94"/>
  <c r="GZ805" i="94"/>
  <c r="HI805" i="94"/>
  <c r="HR805" i="94"/>
  <c r="IA805" i="94"/>
  <c r="IJ805" i="94"/>
  <c r="IS805" i="94"/>
  <c r="JB805" i="94"/>
  <c r="JL805" i="94"/>
  <c r="JU805" i="94"/>
  <c r="KD805" i="94"/>
  <c r="KM805" i="94"/>
  <c r="KV805" i="94"/>
  <c r="LE805" i="94"/>
  <c r="LN805" i="94"/>
  <c r="LX805" i="94"/>
  <c r="MG805" i="94"/>
  <c r="Z807" i="94"/>
  <c r="AK807" i="94"/>
  <c r="AX807" i="94"/>
  <c r="BL807" i="94"/>
  <c r="BW807" i="94"/>
  <c r="CJ807" i="94"/>
  <c r="CU807" i="94"/>
  <c r="DH807" i="94"/>
  <c r="DS807" i="94"/>
  <c r="EF807" i="94"/>
  <c r="ER807" i="94"/>
  <c r="FE807" i="94"/>
  <c r="FP807" i="94"/>
  <c r="GC807" i="94"/>
  <c r="GN807" i="94"/>
  <c r="HA807" i="94"/>
  <c r="HL807" i="94"/>
  <c r="IA807" i="94"/>
  <c r="IP807" i="94"/>
  <c r="JH807" i="94"/>
  <c r="JX807" i="94"/>
  <c r="KO807" i="94"/>
  <c r="LX807" i="94"/>
  <c r="JC808" i="94"/>
  <c r="KS808" i="94"/>
  <c r="AY809" i="94"/>
  <c r="CS809" i="94"/>
  <c r="FA809" i="94"/>
  <c r="IF809" i="94"/>
  <c r="GJ799" i="94"/>
  <c r="GR799" i="94"/>
  <c r="GZ799" i="94"/>
  <c r="HH799" i="94"/>
  <c r="HP799" i="94"/>
  <c r="HX799" i="94"/>
  <c r="LP799" i="94"/>
  <c r="LX799" i="94"/>
  <c r="AB800" i="94"/>
  <c r="AJ800" i="94"/>
  <c r="AR800" i="94"/>
  <c r="AZ800" i="94"/>
  <c r="BH800" i="94"/>
  <c r="BP800" i="94"/>
  <c r="BX800" i="94"/>
  <c r="CF800" i="94"/>
  <c r="CN800" i="94"/>
  <c r="CV800" i="94"/>
  <c r="DD800" i="94"/>
  <c r="DL800" i="94"/>
  <c r="DT800" i="94"/>
  <c r="EB800" i="94"/>
  <c r="EJ800" i="94"/>
  <c r="ER800" i="94"/>
  <c r="EZ800" i="94"/>
  <c r="FH800" i="94"/>
  <c r="FP800" i="94"/>
  <c r="FX800" i="94"/>
  <c r="GF800" i="94"/>
  <c r="GN800" i="94"/>
  <c r="GV800" i="94"/>
  <c r="HD800" i="94"/>
  <c r="HL800" i="94"/>
  <c r="HT800" i="94"/>
  <c r="IB800" i="94"/>
  <c r="IJ800" i="94"/>
  <c r="IR800" i="94"/>
  <c r="IZ800" i="94"/>
  <c r="JH800" i="94"/>
  <c r="JP800" i="94"/>
  <c r="JX800" i="94"/>
  <c r="KF800" i="94"/>
  <c r="KN800" i="94"/>
  <c r="KV800" i="94"/>
  <c r="LD800" i="94"/>
  <c r="LL800" i="94"/>
  <c r="LT800" i="94"/>
  <c r="MB800" i="94"/>
  <c r="MJ800" i="94"/>
  <c r="MR800" i="94"/>
  <c r="GJ801" i="94"/>
  <c r="GR801" i="94"/>
  <c r="GZ801" i="94"/>
  <c r="HH801" i="94"/>
  <c r="HP801" i="94"/>
  <c r="HX801" i="94"/>
  <c r="LP801" i="94"/>
  <c r="LX801" i="94"/>
  <c r="AB802" i="94"/>
  <c r="AJ802" i="94"/>
  <c r="AR802" i="94"/>
  <c r="AZ802" i="94"/>
  <c r="BH802" i="94"/>
  <c r="BP802" i="94"/>
  <c r="BX802" i="94"/>
  <c r="CF802" i="94"/>
  <c r="CN802" i="94"/>
  <c r="CV802" i="94"/>
  <c r="DD802" i="94"/>
  <c r="DL802" i="94"/>
  <c r="DT802" i="94"/>
  <c r="EB802" i="94"/>
  <c r="EJ802" i="94"/>
  <c r="ER802" i="94"/>
  <c r="EZ802" i="94"/>
  <c r="FH802" i="94"/>
  <c r="FP802" i="94"/>
  <c r="FX802" i="94"/>
  <c r="GF802" i="94"/>
  <c r="GN802" i="94"/>
  <c r="GV802" i="94"/>
  <c r="HD802" i="94"/>
  <c r="HL802" i="94"/>
  <c r="HT802" i="94"/>
  <c r="IB802" i="94"/>
  <c r="IJ802" i="94"/>
  <c r="IR802" i="94"/>
  <c r="IZ802" i="94"/>
  <c r="JH802" i="94"/>
  <c r="JP802" i="94"/>
  <c r="JX802" i="94"/>
  <c r="KF802" i="94"/>
  <c r="KN802" i="94"/>
  <c r="KV802" i="94"/>
  <c r="LD802" i="94"/>
  <c r="LL802" i="94"/>
  <c r="LT802" i="94"/>
  <c r="MB802" i="94"/>
  <c r="MJ802" i="94"/>
  <c r="MR802" i="94"/>
  <c r="GJ803" i="94"/>
  <c r="GR803" i="94"/>
  <c r="GZ803" i="94"/>
  <c r="HH803" i="94"/>
  <c r="HP803" i="94"/>
  <c r="HX803" i="94"/>
  <c r="LP803" i="94"/>
  <c r="LX803" i="94"/>
  <c r="MQ804" i="94"/>
  <c r="MI804" i="94"/>
  <c r="MA804" i="94"/>
  <c r="LS804" i="94"/>
  <c r="LK804" i="94"/>
  <c r="LC804" i="94"/>
  <c r="KU804" i="94"/>
  <c r="KM804" i="94"/>
  <c r="KE804" i="94"/>
  <c r="JW804" i="94"/>
  <c r="JO804" i="94"/>
  <c r="JG804" i="94"/>
  <c r="IY804" i="94"/>
  <c r="IQ804" i="94"/>
  <c r="II804" i="94"/>
  <c r="IA804" i="94"/>
  <c r="HS804" i="94"/>
  <c r="HK804" i="94"/>
  <c r="HC804" i="94"/>
  <c r="GU804" i="94"/>
  <c r="GM804" i="94"/>
  <c r="GE804" i="94"/>
  <c r="FW804" i="94"/>
  <c r="FO804" i="94"/>
  <c r="FG804" i="94"/>
  <c r="EY804" i="94"/>
  <c r="EQ804" i="94"/>
  <c r="EI804" i="94"/>
  <c r="EA804" i="94"/>
  <c r="DS804" i="94"/>
  <c r="DK804" i="94"/>
  <c r="DC804" i="94"/>
  <c r="CU804" i="94"/>
  <c r="CM804" i="94"/>
  <c r="CE804" i="94"/>
  <c r="AB804" i="94"/>
  <c r="AJ804" i="94"/>
  <c r="AR804" i="94"/>
  <c r="AZ804" i="94"/>
  <c r="BH804" i="94"/>
  <c r="BP804" i="94"/>
  <c r="BX804" i="94"/>
  <c r="CG804" i="94"/>
  <c r="CP804" i="94"/>
  <c r="CY804" i="94"/>
  <c r="DH804" i="94"/>
  <c r="DQ804" i="94"/>
  <c r="DZ804" i="94"/>
  <c r="EJ804" i="94"/>
  <c r="ES804" i="94"/>
  <c r="FB804" i="94"/>
  <c r="FK804" i="94"/>
  <c r="FT804" i="94"/>
  <c r="GC804" i="94"/>
  <c r="GL804" i="94"/>
  <c r="GV804" i="94"/>
  <c r="HE804" i="94"/>
  <c r="HN804" i="94"/>
  <c r="HW804" i="94"/>
  <c r="IF804" i="94"/>
  <c r="IO804" i="94"/>
  <c r="IX804" i="94"/>
  <c r="JH804" i="94"/>
  <c r="JQ804" i="94"/>
  <c r="JZ804" i="94"/>
  <c r="KI804" i="94"/>
  <c r="KR804" i="94"/>
  <c r="LA804" i="94"/>
  <c r="LT804" i="94"/>
  <c r="MC804" i="94"/>
  <c r="ML804" i="94"/>
  <c r="LG805" i="94"/>
  <c r="AB805" i="94"/>
  <c r="AK805" i="94"/>
  <c r="AT805" i="94"/>
  <c r="BD805" i="94"/>
  <c r="BM805" i="94"/>
  <c r="BV805" i="94"/>
  <c r="CE805" i="94"/>
  <c r="CN805" i="94"/>
  <c r="CW805" i="94"/>
  <c r="DF805" i="94"/>
  <c r="DP805" i="94"/>
  <c r="EH805" i="94"/>
  <c r="EQ805" i="94"/>
  <c r="EZ805" i="94"/>
  <c r="FI805" i="94"/>
  <c r="FR805" i="94"/>
  <c r="GK805" i="94"/>
  <c r="GT805" i="94"/>
  <c r="HC805" i="94"/>
  <c r="HL805" i="94"/>
  <c r="HU805" i="94"/>
  <c r="LI805" i="94"/>
  <c r="LR805" i="94"/>
  <c r="MA805" i="94"/>
  <c r="ML807" i="94"/>
  <c r="MD807" i="94"/>
  <c r="LV807" i="94"/>
  <c r="LN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M807" i="94"/>
  <c r="ME807" i="94"/>
  <c r="LW807" i="94"/>
  <c r="LO807" i="94"/>
  <c r="KY807" i="94"/>
  <c r="KQ807" i="94"/>
  <c r="KI807" i="94"/>
  <c r="KA807" i="94"/>
  <c r="JS807" i="94"/>
  <c r="JK807" i="94"/>
  <c r="JC807" i="94"/>
  <c r="IU807" i="94"/>
  <c r="IM807" i="94"/>
  <c r="IE807" i="94"/>
  <c r="HW807" i="94"/>
  <c r="HO807" i="94"/>
  <c r="HG807" i="94"/>
  <c r="GY807" i="94"/>
  <c r="GQ807" i="94"/>
  <c r="GI807" i="94"/>
  <c r="GA807" i="94"/>
  <c r="FS807" i="94"/>
  <c r="FK807" i="94"/>
  <c r="FC807" i="94"/>
  <c r="EU807" i="94"/>
  <c r="EM807" i="94"/>
  <c r="EE807" i="94"/>
  <c r="DW807" i="94"/>
  <c r="DO807" i="94"/>
  <c r="DG807" i="94"/>
  <c r="CY807" i="94"/>
  <c r="CQ807" i="94"/>
  <c r="CI807" i="94"/>
  <c r="CA807" i="94"/>
  <c r="BS807" i="94"/>
  <c r="BK807" i="94"/>
  <c r="BC807" i="94"/>
  <c r="AU807" i="94"/>
  <c r="AM807" i="94"/>
  <c r="AE807" i="94"/>
  <c r="W807" i="94"/>
  <c r="MN807" i="94"/>
  <c r="MB807" i="94"/>
  <c r="LR807" i="94"/>
  <c r="KV807" i="94"/>
  <c r="KL807" i="94"/>
  <c r="KB807" i="94"/>
  <c r="JP807" i="94"/>
  <c r="JF807" i="94"/>
  <c r="IV807" i="94"/>
  <c r="IJ807" i="94"/>
  <c r="HZ807" i="94"/>
  <c r="MK807" i="94"/>
  <c r="MA807" i="94"/>
  <c r="LQ807" i="94"/>
  <c r="LE807" i="94"/>
  <c r="KU807" i="94"/>
  <c r="KK807" i="94"/>
  <c r="JY807" i="94"/>
  <c r="JO807" i="94"/>
  <c r="JE807" i="94"/>
  <c r="IS807" i="94"/>
  <c r="II807" i="94"/>
  <c r="HY807" i="94"/>
  <c r="HM807" i="94"/>
  <c r="HC807" i="94"/>
  <c r="GS807" i="94"/>
  <c r="GG807" i="94"/>
  <c r="FW807" i="94"/>
  <c r="FM807" i="94"/>
  <c r="FA807" i="94"/>
  <c r="EQ807" i="94"/>
  <c r="EG807" i="94"/>
  <c r="DU807" i="94"/>
  <c r="DK807" i="94"/>
  <c r="DA807" i="94"/>
  <c r="CO807" i="94"/>
  <c r="CE807" i="94"/>
  <c r="BU807" i="94"/>
  <c r="BI807" i="94"/>
  <c r="AY807" i="94"/>
  <c r="AO807" i="94"/>
  <c r="AC807" i="94"/>
  <c r="MS807" i="94"/>
  <c r="MI807" i="94"/>
  <c r="LY807" i="94"/>
  <c r="LM807" i="94"/>
  <c r="LC807" i="94"/>
  <c r="KS807" i="94"/>
  <c r="KG807" i="94"/>
  <c r="JW807" i="94"/>
  <c r="JM807" i="94"/>
  <c r="JA807" i="94"/>
  <c r="IQ807" i="94"/>
  <c r="IG807" i="94"/>
  <c r="AF807" i="94"/>
  <c r="AQ807" i="94"/>
  <c r="BD807" i="94"/>
  <c r="BO807" i="94"/>
  <c r="CB807" i="94"/>
  <c r="CM807" i="94"/>
  <c r="CZ807" i="94"/>
  <c r="DL807" i="94"/>
  <c r="DY807" i="94"/>
  <c r="EJ807" i="94"/>
  <c r="EW807" i="94"/>
  <c r="FH807" i="94"/>
  <c r="FU807" i="94"/>
  <c r="GF807" i="94"/>
  <c r="GT807" i="94"/>
  <c r="HE807" i="94"/>
  <c r="HR807" i="94"/>
  <c r="IF807" i="94"/>
  <c r="IX807" i="94"/>
  <c r="JN807" i="94"/>
  <c r="KE807" i="94"/>
  <c r="KW807" i="94"/>
  <c r="LL807" i="94"/>
  <c r="MF807" i="94"/>
  <c r="JP808" i="94"/>
  <c r="ML809" i="94"/>
  <c r="MD809" i="94"/>
  <c r="LV809" i="94"/>
  <c r="LN809" i="94"/>
  <c r="KX809" i="94"/>
  <c r="KP809" i="94"/>
  <c r="KH809" i="94"/>
  <c r="JZ809" i="94"/>
  <c r="JR809" i="94"/>
  <c r="JJ809" i="94"/>
  <c r="JB809" i="94"/>
  <c r="IT809" i="94"/>
  <c r="IL809" i="94"/>
  <c r="ID809" i="94"/>
  <c r="HV809" i="94"/>
  <c r="HN809" i="94"/>
  <c r="HF809" i="94"/>
  <c r="GX809" i="94"/>
  <c r="GP809" i="94"/>
  <c r="GH809" i="94"/>
  <c r="FZ809" i="94"/>
  <c r="FR809" i="94"/>
  <c r="FJ809" i="94"/>
  <c r="FB809" i="94"/>
  <c r="ET809" i="94"/>
  <c r="EL809" i="94"/>
  <c r="ED809" i="94"/>
  <c r="DV809" i="94"/>
  <c r="DN809" i="94"/>
  <c r="DF809" i="94"/>
  <c r="CX809" i="94"/>
  <c r="CP809" i="94"/>
  <c r="CH809" i="94"/>
  <c r="BZ809" i="94"/>
  <c r="BR809" i="94"/>
  <c r="BJ809" i="94"/>
  <c r="BB809" i="94"/>
  <c r="AT809" i="94"/>
  <c r="AL809" i="94"/>
  <c r="AD809" i="94"/>
  <c r="MS809" i="94"/>
  <c r="MK809" i="94"/>
  <c r="MC809" i="94"/>
  <c r="LU809" i="94"/>
  <c r="LM809" i="94"/>
  <c r="LE809" i="94"/>
  <c r="KW809" i="94"/>
  <c r="KO809" i="94"/>
  <c r="KG809" i="94"/>
  <c r="JY809" i="94"/>
  <c r="JQ809" i="94"/>
  <c r="JI809" i="94"/>
  <c r="JA809" i="94"/>
  <c r="IS809" i="94"/>
  <c r="IK809" i="94"/>
  <c r="IC809" i="94"/>
  <c r="HU809" i="94"/>
  <c r="HM809" i="94"/>
  <c r="HE809" i="94"/>
  <c r="GW809" i="94"/>
  <c r="GO809" i="94"/>
  <c r="GG809" i="94"/>
  <c r="FY809" i="94"/>
  <c r="FQ809" i="94"/>
  <c r="MR809" i="94"/>
  <c r="MJ809" i="94"/>
  <c r="MB809" i="94"/>
  <c r="LT809" i="94"/>
  <c r="LL809" i="94"/>
  <c r="LD809" i="94"/>
  <c r="KV809" i="94"/>
  <c r="KN809" i="94"/>
  <c r="KF809" i="94"/>
  <c r="JX809" i="94"/>
  <c r="JP809" i="94"/>
  <c r="JH809" i="94"/>
  <c r="IZ809" i="94"/>
  <c r="IR809" i="94"/>
  <c r="IJ809" i="94"/>
  <c r="IB809" i="94"/>
  <c r="HT809" i="94"/>
  <c r="HL809" i="94"/>
  <c r="HD809" i="94"/>
  <c r="GV809" i="94"/>
  <c r="GN809" i="94"/>
  <c r="GF809" i="94"/>
  <c r="FX809" i="94"/>
  <c r="FP809" i="94"/>
  <c r="FH809" i="94"/>
  <c r="EZ809" i="94"/>
  <c r="ER809" i="94"/>
  <c r="EJ809" i="94"/>
  <c r="EB809" i="94"/>
  <c r="DT809" i="94"/>
  <c r="DL809" i="94"/>
  <c r="MQ809" i="94"/>
  <c r="MI809" i="94"/>
  <c r="MA809" i="94"/>
  <c r="LS809" i="94"/>
  <c r="LK809" i="94"/>
  <c r="LC809" i="94"/>
  <c r="KU809" i="94"/>
  <c r="KM809" i="94"/>
  <c r="KE809" i="94"/>
  <c r="JW809" i="94"/>
  <c r="JO809" i="94"/>
  <c r="JG809" i="94"/>
  <c r="IY809" i="94"/>
  <c r="IQ809" i="94"/>
  <c r="II809" i="94"/>
  <c r="IA809" i="94"/>
  <c r="HS809" i="94"/>
  <c r="HK809" i="94"/>
  <c r="HC809" i="94"/>
  <c r="GU809" i="94"/>
  <c r="GM809" i="94"/>
  <c r="GE809" i="94"/>
  <c r="FW809" i="94"/>
  <c r="FO809" i="94"/>
  <c r="FG809" i="94"/>
  <c r="EY809" i="94"/>
  <c r="EQ809" i="94"/>
  <c r="EI809" i="94"/>
  <c r="EA809" i="94"/>
  <c r="DS809" i="94"/>
  <c r="DK809" i="94"/>
  <c r="DC809" i="94"/>
  <c r="CU809" i="94"/>
  <c r="CM809" i="94"/>
  <c r="CE809" i="94"/>
  <c r="MP809" i="94"/>
  <c r="MH809" i="94"/>
  <c r="LZ809" i="94"/>
  <c r="LR809" i="94"/>
  <c r="LB809" i="94"/>
  <c r="KT809" i="94"/>
  <c r="KL809" i="94"/>
  <c r="KD809" i="94"/>
  <c r="JV809" i="94"/>
  <c r="MM809" i="94"/>
  <c r="ME809" i="94"/>
  <c r="LW809" i="94"/>
  <c r="LO809" i="94"/>
  <c r="KY809" i="94"/>
  <c r="KQ809" i="94"/>
  <c r="KI809" i="94"/>
  <c r="KA809" i="94"/>
  <c r="JS809" i="94"/>
  <c r="JK809" i="94"/>
  <c r="JC809" i="94"/>
  <c r="IU809" i="94"/>
  <c r="IM809" i="94"/>
  <c r="IE809" i="94"/>
  <c r="HW809" i="94"/>
  <c r="HO809" i="94"/>
  <c r="HG809" i="94"/>
  <c r="GY809" i="94"/>
  <c r="GQ809" i="94"/>
  <c r="GI809" i="94"/>
  <c r="GA809" i="94"/>
  <c r="FS809" i="94"/>
  <c r="FK809" i="94"/>
  <c r="FC809" i="94"/>
  <c r="EU809" i="94"/>
  <c r="EM809" i="94"/>
  <c r="EE809" i="94"/>
  <c r="DW809" i="94"/>
  <c r="DO809" i="94"/>
  <c r="DG809" i="94"/>
  <c r="CY809" i="94"/>
  <c r="CQ809" i="94"/>
  <c r="CI809" i="94"/>
  <c r="CA809" i="94"/>
  <c r="BS809" i="94"/>
  <c r="BK809" i="94"/>
  <c r="BC809" i="94"/>
  <c r="AU809" i="94"/>
  <c r="AM809" i="94"/>
  <c r="AE809" i="94"/>
  <c r="W809" i="94"/>
  <c r="LY809" i="94"/>
  <c r="KS809" i="94"/>
  <c r="JN809" i="94"/>
  <c r="IV809" i="94"/>
  <c r="HY809" i="94"/>
  <c r="HB809" i="94"/>
  <c r="GJ809" i="94"/>
  <c r="FM809" i="94"/>
  <c r="EW809" i="94"/>
  <c r="EG809" i="94"/>
  <c r="DQ809" i="94"/>
  <c r="DB809" i="94"/>
  <c r="CO809" i="94"/>
  <c r="CC809" i="94"/>
  <c r="BQ809" i="94"/>
  <c r="BG809" i="94"/>
  <c r="AW809" i="94"/>
  <c r="AK809" i="94"/>
  <c r="AA809" i="94"/>
  <c r="LX809" i="94"/>
  <c r="KR809" i="94"/>
  <c r="JM809" i="94"/>
  <c r="IP809" i="94"/>
  <c r="HX809" i="94"/>
  <c r="HA809" i="94"/>
  <c r="GD809" i="94"/>
  <c r="FL809" i="94"/>
  <c r="EV809" i="94"/>
  <c r="EF809" i="94"/>
  <c r="DP809" i="94"/>
  <c r="DA809" i="94"/>
  <c r="CN809" i="94"/>
  <c r="CB809" i="94"/>
  <c r="BP809" i="94"/>
  <c r="BF809" i="94"/>
  <c r="AV809" i="94"/>
  <c r="AJ809" i="94"/>
  <c r="Z809" i="94"/>
  <c r="LQ809" i="94"/>
  <c r="KK809" i="94"/>
  <c r="JL809" i="94"/>
  <c r="IO809" i="94"/>
  <c r="HR809" i="94"/>
  <c r="GZ809" i="94"/>
  <c r="GC809" i="94"/>
  <c r="FI809" i="94"/>
  <c r="ES809" i="94"/>
  <c r="EC809" i="94"/>
  <c r="DM809" i="94"/>
  <c r="CZ809" i="94"/>
  <c r="CL809" i="94"/>
  <c r="BY809" i="94"/>
  <c r="BO809" i="94"/>
  <c r="BE809" i="94"/>
  <c r="AS809" i="94"/>
  <c r="AI809" i="94"/>
  <c r="Y809" i="94"/>
  <c r="LP809" i="94"/>
  <c r="KJ809" i="94"/>
  <c r="JF809" i="94"/>
  <c r="IN809" i="94"/>
  <c r="HQ809" i="94"/>
  <c r="GT809" i="94"/>
  <c r="GB809" i="94"/>
  <c r="FF809" i="94"/>
  <c r="EP809" i="94"/>
  <c r="DZ809" i="94"/>
  <c r="DJ809" i="94"/>
  <c r="CW809" i="94"/>
  <c r="CK809" i="94"/>
  <c r="BX809" i="94"/>
  <c r="BN809" i="94"/>
  <c r="BD809" i="94"/>
  <c r="AR809" i="94"/>
  <c r="AH809" i="94"/>
  <c r="X809" i="94"/>
  <c r="MO809" i="94"/>
  <c r="KC809" i="94"/>
  <c r="JE809" i="94"/>
  <c r="IH809" i="94"/>
  <c r="HP809" i="94"/>
  <c r="GS809" i="94"/>
  <c r="FV809" i="94"/>
  <c r="FE809" i="94"/>
  <c r="EO809" i="94"/>
  <c r="DY809" i="94"/>
  <c r="DI809" i="94"/>
  <c r="CV809" i="94"/>
  <c r="CJ809" i="94"/>
  <c r="BW809" i="94"/>
  <c r="BM809" i="94"/>
  <c r="BA809" i="94"/>
  <c r="AQ809" i="94"/>
  <c r="AG809" i="94"/>
  <c r="MN809" i="94"/>
  <c r="KB809" i="94"/>
  <c r="JD809" i="94"/>
  <c r="IG809" i="94"/>
  <c r="HJ809" i="94"/>
  <c r="GR809" i="94"/>
  <c r="FU809" i="94"/>
  <c r="FD809" i="94"/>
  <c r="EN809" i="94"/>
  <c r="DX809" i="94"/>
  <c r="DH809" i="94"/>
  <c r="CT809" i="94"/>
  <c r="CG809" i="94"/>
  <c r="BV809" i="94"/>
  <c r="BL809" i="94"/>
  <c r="AZ809" i="94"/>
  <c r="AP809" i="94"/>
  <c r="AF809" i="94"/>
  <c r="AB809" i="94"/>
  <c r="BT809" i="94"/>
  <c r="DR809" i="94"/>
  <c r="GK809" i="94"/>
  <c r="JT809" i="94"/>
  <c r="HY793" i="94"/>
  <c r="IG793" i="94"/>
  <c r="IO793" i="94"/>
  <c r="IW793" i="94"/>
  <c r="JE793" i="94"/>
  <c r="JM793" i="94"/>
  <c r="JU793" i="94"/>
  <c r="KC793" i="94"/>
  <c r="KK793" i="94"/>
  <c r="KS793" i="94"/>
  <c r="LA793" i="94"/>
  <c r="LQ793" i="94"/>
  <c r="LY793" i="94"/>
  <c r="MG793" i="94"/>
  <c r="MO793" i="94"/>
  <c r="GK799" i="94"/>
  <c r="GS799" i="94"/>
  <c r="HA799" i="94"/>
  <c r="HI799" i="94"/>
  <c r="HQ799" i="94"/>
  <c r="LQ799" i="94"/>
  <c r="AC800" i="94"/>
  <c r="AK800" i="94"/>
  <c r="AS800" i="94"/>
  <c r="BA800" i="94"/>
  <c r="BI800" i="94"/>
  <c r="BQ800" i="94"/>
  <c r="BY800" i="94"/>
  <c r="CG800" i="94"/>
  <c r="CO800" i="94"/>
  <c r="CW800" i="94"/>
  <c r="DE800" i="94"/>
  <c r="DM800" i="94"/>
  <c r="DU800" i="94"/>
  <c r="EC800" i="94"/>
  <c r="EK800" i="94"/>
  <c r="ES800" i="94"/>
  <c r="FA800" i="94"/>
  <c r="FI800" i="94"/>
  <c r="FQ800" i="94"/>
  <c r="FY800" i="94"/>
  <c r="GG800" i="94"/>
  <c r="GO800" i="94"/>
  <c r="GW800" i="94"/>
  <c r="HE800" i="94"/>
  <c r="HM800" i="94"/>
  <c r="HU800" i="94"/>
  <c r="IC800" i="94"/>
  <c r="IK800" i="94"/>
  <c r="IS800" i="94"/>
  <c r="JA800" i="94"/>
  <c r="JI800" i="94"/>
  <c r="JQ800" i="94"/>
  <c r="JY800" i="94"/>
  <c r="KG800" i="94"/>
  <c r="KO800" i="94"/>
  <c r="KW800" i="94"/>
  <c r="LE800" i="94"/>
  <c r="LM800" i="94"/>
  <c r="LU800" i="94"/>
  <c r="MC800" i="94"/>
  <c r="MK800" i="94"/>
  <c r="MS800" i="94"/>
  <c r="GK801" i="94"/>
  <c r="GS801" i="94"/>
  <c r="HA801" i="94"/>
  <c r="HI801" i="94"/>
  <c r="HQ801" i="94"/>
  <c r="LQ801" i="94"/>
  <c r="AC802" i="94"/>
  <c r="AK802" i="94"/>
  <c r="AS802" i="94"/>
  <c r="BA802" i="94"/>
  <c r="BI802" i="94"/>
  <c r="BQ802" i="94"/>
  <c r="BY802" i="94"/>
  <c r="CG802" i="94"/>
  <c r="CO802" i="94"/>
  <c r="CW802" i="94"/>
  <c r="DE802" i="94"/>
  <c r="DM802" i="94"/>
  <c r="DU802" i="94"/>
  <c r="EC802" i="94"/>
  <c r="EK802" i="94"/>
  <c r="ES802" i="94"/>
  <c r="FA802" i="94"/>
  <c r="FI802" i="94"/>
  <c r="FQ802" i="94"/>
  <c r="FY802" i="94"/>
  <c r="GG802" i="94"/>
  <c r="GO802" i="94"/>
  <c r="GW802" i="94"/>
  <c r="HE802" i="94"/>
  <c r="HM802" i="94"/>
  <c r="HU802" i="94"/>
  <c r="IC802" i="94"/>
  <c r="IK802" i="94"/>
  <c r="IS802" i="94"/>
  <c r="JA802" i="94"/>
  <c r="JI802" i="94"/>
  <c r="JQ802" i="94"/>
  <c r="JY802" i="94"/>
  <c r="KG802" i="94"/>
  <c r="KO802" i="94"/>
  <c r="KW802" i="94"/>
  <c r="LE802" i="94"/>
  <c r="LM802" i="94"/>
  <c r="LU802" i="94"/>
  <c r="MC802" i="94"/>
  <c r="MK802" i="94"/>
  <c r="MS802" i="94"/>
  <c r="GK803" i="94"/>
  <c r="GS803" i="94"/>
  <c r="HA803" i="94"/>
  <c r="HI803" i="94"/>
  <c r="HQ803" i="94"/>
  <c r="LQ803" i="94"/>
  <c r="AC804" i="94"/>
  <c r="AK804" i="94"/>
  <c r="AS804" i="94"/>
  <c r="BA804" i="94"/>
  <c r="BI804" i="94"/>
  <c r="BQ804" i="94"/>
  <c r="BY804" i="94"/>
  <c r="CH804" i="94"/>
  <c r="CQ804" i="94"/>
  <c r="CZ804" i="94"/>
  <c r="DI804" i="94"/>
  <c r="DR804" i="94"/>
  <c r="EB804" i="94"/>
  <c r="EK804" i="94"/>
  <c r="ET804" i="94"/>
  <c r="FC804" i="94"/>
  <c r="FL804" i="94"/>
  <c r="FU804" i="94"/>
  <c r="GD804" i="94"/>
  <c r="GN804" i="94"/>
  <c r="GW804" i="94"/>
  <c r="HF804" i="94"/>
  <c r="HO804" i="94"/>
  <c r="HX804" i="94"/>
  <c r="IG804" i="94"/>
  <c r="IP804" i="94"/>
  <c r="IZ804" i="94"/>
  <c r="JI804" i="94"/>
  <c r="JR804" i="94"/>
  <c r="KA804" i="94"/>
  <c r="KJ804" i="94"/>
  <c r="KS804" i="94"/>
  <c r="LB804" i="94"/>
  <c r="LL804" i="94"/>
  <c r="LU804" i="94"/>
  <c r="MD804" i="94"/>
  <c r="MM804" i="94"/>
  <c r="MM805" i="94"/>
  <c r="ME805" i="94"/>
  <c r="LW805" i="94"/>
  <c r="LO805" i="94"/>
  <c r="KY805" i="94"/>
  <c r="KQ805" i="94"/>
  <c r="KI805" i="94"/>
  <c r="KA805" i="94"/>
  <c r="JS805" i="94"/>
  <c r="JK805" i="94"/>
  <c r="JC805" i="94"/>
  <c r="IU805" i="94"/>
  <c r="IM805" i="94"/>
  <c r="IE805" i="94"/>
  <c r="HW805" i="94"/>
  <c r="HO805" i="94"/>
  <c r="HG805" i="94"/>
  <c r="GY805" i="94"/>
  <c r="GQ805" i="94"/>
  <c r="GI805" i="94"/>
  <c r="GA805" i="94"/>
  <c r="FS805" i="94"/>
  <c r="FK805" i="94"/>
  <c r="FC805" i="94"/>
  <c r="EU805" i="94"/>
  <c r="EM805" i="94"/>
  <c r="EE805" i="94"/>
  <c r="DW805" i="94"/>
  <c r="DO805" i="94"/>
  <c r="DG805" i="94"/>
  <c r="CY805" i="94"/>
  <c r="CQ805" i="94"/>
  <c r="CI805" i="94"/>
  <c r="CA805" i="94"/>
  <c r="BS805" i="94"/>
  <c r="BK805" i="94"/>
  <c r="BC805" i="94"/>
  <c r="AU805" i="94"/>
  <c r="AM805" i="94"/>
  <c r="AE805" i="94"/>
  <c r="W805" i="94"/>
  <c r="AC805" i="94"/>
  <c r="AL805" i="94"/>
  <c r="AV805" i="94"/>
  <c r="BE805" i="94"/>
  <c r="BN805" i="94"/>
  <c r="BW805" i="94"/>
  <c r="CF805" i="94"/>
  <c r="CO805" i="94"/>
  <c r="CX805" i="94"/>
  <c r="DH805" i="94"/>
  <c r="DQ805" i="94"/>
  <c r="DZ805" i="94"/>
  <c r="EI805" i="94"/>
  <c r="ER805" i="94"/>
  <c r="FA805" i="94"/>
  <c r="FJ805" i="94"/>
  <c r="FT805" i="94"/>
  <c r="GC805" i="94"/>
  <c r="GL805" i="94"/>
  <c r="GU805" i="94"/>
  <c r="HD805" i="94"/>
  <c r="HM805" i="94"/>
  <c r="HV805" i="94"/>
  <c r="IF805" i="94"/>
  <c r="IO805" i="94"/>
  <c r="IX805" i="94"/>
  <c r="JG805" i="94"/>
  <c r="JP805" i="94"/>
  <c r="JY805" i="94"/>
  <c r="KH805" i="94"/>
  <c r="KR805" i="94"/>
  <c r="LA805" i="94"/>
  <c r="LJ805" i="94"/>
  <c r="LS805" i="94"/>
  <c r="MB805" i="94"/>
  <c r="MK805" i="94"/>
  <c r="AG807" i="94"/>
  <c r="AR807" i="94"/>
  <c r="BE807" i="94"/>
  <c r="BP807" i="94"/>
  <c r="CC807" i="94"/>
  <c r="CN807" i="94"/>
  <c r="DB807" i="94"/>
  <c r="DM807" i="94"/>
  <c r="DZ807" i="94"/>
  <c r="EK807" i="94"/>
  <c r="EX807" i="94"/>
  <c r="FI807" i="94"/>
  <c r="FV807" i="94"/>
  <c r="GJ807" i="94"/>
  <c r="GU807" i="94"/>
  <c r="HH807" i="94"/>
  <c r="HS807" i="94"/>
  <c r="IH807" i="94"/>
  <c r="IY807" i="94"/>
  <c r="JQ807" i="94"/>
  <c r="KF807" i="94"/>
  <c r="KZ807" i="94"/>
  <c r="LP807" i="94"/>
  <c r="MG807" i="94"/>
  <c r="MM808" i="94"/>
  <c r="IG808" i="94"/>
  <c r="AC809" i="94"/>
  <c r="BU809" i="94"/>
  <c r="DU809" i="94"/>
  <c r="GL809" i="94"/>
  <c r="JU809" i="94"/>
  <c r="Z793" i="94"/>
  <c r="AH793" i="94"/>
  <c r="AP793" i="94"/>
  <c r="AX793" i="94"/>
  <c r="BF793" i="94"/>
  <c r="BN793" i="94"/>
  <c r="BV793" i="94"/>
  <c r="CD793" i="94"/>
  <c r="CL793" i="94"/>
  <c r="CT793" i="94"/>
  <c r="DB793" i="94"/>
  <c r="DJ793" i="94"/>
  <c r="DR793" i="94"/>
  <c r="DZ793" i="94"/>
  <c r="EH793" i="94"/>
  <c r="EP793" i="94"/>
  <c r="EX793" i="94"/>
  <c r="FF793" i="94"/>
  <c r="FN793" i="94"/>
  <c r="FV793" i="94"/>
  <c r="GD793" i="94"/>
  <c r="GL793" i="94"/>
  <c r="GT793" i="94"/>
  <c r="HB793" i="94"/>
  <c r="HJ793" i="94"/>
  <c r="HR793" i="94"/>
  <c r="HZ793" i="94"/>
  <c r="IH793" i="94"/>
  <c r="IP793" i="94"/>
  <c r="IX793" i="94"/>
  <c r="JF793" i="94"/>
  <c r="JN793" i="94"/>
  <c r="JV793" i="94"/>
  <c r="KD793" i="94"/>
  <c r="KL793" i="94"/>
  <c r="KT793" i="94"/>
  <c r="LB793" i="94"/>
  <c r="LR793" i="94"/>
  <c r="LZ793" i="94"/>
  <c r="MH793" i="94"/>
  <c r="MP793" i="94"/>
  <c r="Z795" i="94"/>
  <c r="AH795" i="94"/>
  <c r="AP795" i="94"/>
  <c r="AX795" i="94"/>
  <c r="BF795" i="94"/>
  <c r="BN795" i="94"/>
  <c r="BV795" i="94"/>
  <c r="CD795" i="94"/>
  <c r="CL795" i="94"/>
  <c r="CT795" i="94"/>
  <c r="DB795" i="94"/>
  <c r="DJ795" i="94"/>
  <c r="DR795" i="94"/>
  <c r="DZ795" i="94"/>
  <c r="EH795" i="94"/>
  <c r="EP795" i="94"/>
  <c r="EX795" i="94"/>
  <c r="FF795" i="94"/>
  <c r="FN795" i="94"/>
  <c r="FV795" i="94"/>
  <c r="GD795" i="94"/>
  <c r="GL795" i="94"/>
  <c r="GT795" i="94"/>
  <c r="HB795" i="94"/>
  <c r="HJ795" i="94"/>
  <c r="HR795" i="94"/>
  <c r="HZ795" i="94"/>
  <c r="IH795" i="94"/>
  <c r="IP795" i="94"/>
  <c r="IX795" i="94"/>
  <c r="JF795" i="94"/>
  <c r="JN795" i="94"/>
  <c r="JV795" i="94"/>
  <c r="KD795" i="94"/>
  <c r="KL795" i="94"/>
  <c r="KT795" i="94"/>
  <c r="LB795" i="94"/>
  <c r="LR795" i="94"/>
  <c r="LZ795" i="94"/>
  <c r="MH795" i="94"/>
  <c r="MP795" i="94"/>
  <c r="Z797" i="94"/>
  <c r="AH797" i="94"/>
  <c r="AP797" i="94"/>
  <c r="AX797" i="94"/>
  <c r="BF797" i="94"/>
  <c r="BN797" i="94"/>
  <c r="BV797" i="94"/>
  <c r="CD797" i="94"/>
  <c r="CL797" i="94"/>
  <c r="CT797" i="94"/>
  <c r="DB797" i="94"/>
  <c r="DJ797" i="94"/>
  <c r="DR797" i="94"/>
  <c r="DZ797" i="94"/>
  <c r="EH797" i="94"/>
  <c r="EP797" i="94"/>
  <c r="EX797" i="94"/>
  <c r="FF797" i="94"/>
  <c r="FN797" i="94"/>
  <c r="FV797" i="94"/>
  <c r="GD797" i="94"/>
  <c r="GL797" i="94"/>
  <c r="GT797" i="94"/>
  <c r="HB797" i="94"/>
  <c r="HJ797" i="94"/>
  <c r="HR797" i="94"/>
  <c r="HZ797" i="94"/>
  <c r="IH797" i="94"/>
  <c r="IP797" i="94"/>
  <c r="IX797" i="94"/>
  <c r="JF797" i="94"/>
  <c r="JN797" i="94"/>
  <c r="JV797" i="94"/>
  <c r="KD797" i="94"/>
  <c r="KL797" i="94"/>
  <c r="KT797" i="94"/>
  <c r="LB797" i="94"/>
  <c r="LR797" i="94"/>
  <c r="LZ797" i="94"/>
  <c r="MH797" i="94"/>
  <c r="MP797"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R799" i="94"/>
  <c r="LZ799" i="94"/>
  <c r="MH799" i="94"/>
  <c r="MP799" i="94"/>
  <c r="AD800" i="94"/>
  <c r="AL800" i="94"/>
  <c r="AT800" i="94"/>
  <c r="BB800" i="94"/>
  <c r="BJ800" i="94"/>
  <c r="BR800" i="94"/>
  <c r="BZ800" i="94"/>
  <c r="CH800" i="94"/>
  <c r="CP800" i="94"/>
  <c r="CX800" i="94"/>
  <c r="DF800" i="94"/>
  <c r="DN800" i="94"/>
  <c r="DV800" i="94"/>
  <c r="ED800" i="94"/>
  <c r="EL800" i="94"/>
  <c r="ET800" i="94"/>
  <c r="FB800" i="94"/>
  <c r="FJ800" i="94"/>
  <c r="FR800" i="94"/>
  <c r="FZ800" i="94"/>
  <c r="GH800" i="94"/>
  <c r="GP800" i="94"/>
  <c r="GX800" i="94"/>
  <c r="HF800" i="94"/>
  <c r="HN800" i="94"/>
  <c r="HV800" i="94"/>
  <c r="ID800" i="94"/>
  <c r="IL800" i="94"/>
  <c r="IT800" i="94"/>
  <c r="JB800" i="94"/>
  <c r="JJ800" i="94"/>
  <c r="JR800" i="94"/>
  <c r="JZ800" i="94"/>
  <c r="KH800" i="94"/>
  <c r="KP800" i="94"/>
  <c r="KX800" i="94"/>
  <c r="LN800" i="94"/>
  <c r="LV800" i="94"/>
  <c r="MD800" i="94"/>
  <c r="ML800" i="94"/>
  <c r="Z801" i="94"/>
  <c r="AH801" i="94"/>
  <c r="AP801" i="94"/>
  <c r="AX801" i="94"/>
  <c r="BF801" i="94"/>
  <c r="BN801" i="94"/>
  <c r="BV801" i="94"/>
  <c r="CD801" i="94"/>
  <c r="CL801" i="94"/>
  <c r="CT801" i="94"/>
  <c r="DB801" i="94"/>
  <c r="DJ801" i="94"/>
  <c r="DR801" i="94"/>
  <c r="DZ801" i="94"/>
  <c r="EH801" i="94"/>
  <c r="EP801" i="94"/>
  <c r="EX801" i="94"/>
  <c r="FF801" i="94"/>
  <c r="FN801" i="94"/>
  <c r="FV801" i="94"/>
  <c r="GD801" i="94"/>
  <c r="GL801" i="94"/>
  <c r="GT801" i="94"/>
  <c r="HB801" i="94"/>
  <c r="HJ801" i="94"/>
  <c r="HR801" i="94"/>
  <c r="HZ801" i="94"/>
  <c r="IH801" i="94"/>
  <c r="IP801" i="94"/>
  <c r="IX801" i="94"/>
  <c r="JF801" i="94"/>
  <c r="JN801" i="94"/>
  <c r="JV801" i="94"/>
  <c r="KD801" i="94"/>
  <c r="KL801" i="94"/>
  <c r="KT801" i="94"/>
  <c r="LB801" i="94"/>
  <c r="LR801" i="94"/>
  <c r="LZ801" i="94"/>
  <c r="MH801" i="94"/>
  <c r="MP801" i="94"/>
  <c r="AD802" i="94"/>
  <c r="AL802" i="94"/>
  <c r="AT802" i="94"/>
  <c r="BB802" i="94"/>
  <c r="BJ802" i="94"/>
  <c r="BR802" i="94"/>
  <c r="BZ802" i="94"/>
  <c r="CH802" i="94"/>
  <c r="CP802" i="94"/>
  <c r="CX802" i="94"/>
  <c r="DF802" i="94"/>
  <c r="DN802" i="94"/>
  <c r="DV802" i="94"/>
  <c r="ED802" i="94"/>
  <c r="EL802" i="94"/>
  <c r="ET802" i="94"/>
  <c r="FB802" i="94"/>
  <c r="FJ802" i="94"/>
  <c r="FR802" i="94"/>
  <c r="FZ802" i="94"/>
  <c r="GH802" i="94"/>
  <c r="GP802" i="94"/>
  <c r="GX802" i="94"/>
  <c r="HF802" i="94"/>
  <c r="HN802" i="94"/>
  <c r="HV802" i="94"/>
  <c r="ID802" i="94"/>
  <c r="IL802" i="94"/>
  <c r="IT802" i="94"/>
  <c r="JB802" i="94"/>
  <c r="JJ802" i="94"/>
  <c r="JR802" i="94"/>
  <c r="JZ802" i="94"/>
  <c r="KH802" i="94"/>
  <c r="KP802" i="94"/>
  <c r="KX802" i="94"/>
  <c r="LN802" i="94"/>
  <c r="LV802" i="94"/>
  <c r="MD802" i="94"/>
  <c r="ML802" i="94"/>
  <c r="Z803" i="94"/>
  <c r="AH803" i="94"/>
  <c r="AP803" i="94"/>
  <c r="AX803" i="94"/>
  <c r="BF803" i="94"/>
  <c r="BN803" i="94"/>
  <c r="BV803" i="94"/>
  <c r="CD803" i="94"/>
  <c r="CL803" i="94"/>
  <c r="CT803" i="94"/>
  <c r="DB803" i="94"/>
  <c r="DJ803" i="94"/>
  <c r="DR803" i="94"/>
  <c r="DZ803" i="94"/>
  <c r="EH803" i="94"/>
  <c r="EP803" i="94"/>
  <c r="EX803" i="94"/>
  <c r="FF803" i="94"/>
  <c r="FN803" i="94"/>
  <c r="FV803" i="94"/>
  <c r="GD803" i="94"/>
  <c r="GL803" i="94"/>
  <c r="GT803" i="94"/>
  <c r="HB803" i="94"/>
  <c r="HJ803" i="94"/>
  <c r="HR803" i="94"/>
  <c r="HZ803" i="94"/>
  <c r="IH803" i="94"/>
  <c r="IP803" i="94"/>
  <c r="IX803" i="94"/>
  <c r="JF803" i="94"/>
  <c r="JN803" i="94"/>
  <c r="JV803" i="94"/>
  <c r="KD803" i="94"/>
  <c r="KL803" i="94"/>
  <c r="KT803" i="94"/>
  <c r="LB803" i="94"/>
  <c r="LR803" i="94"/>
  <c r="LZ803" i="94"/>
  <c r="MH803" i="94"/>
  <c r="MP803" i="94"/>
  <c r="AD804" i="94"/>
  <c r="AL804" i="94"/>
  <c r="AT804" i="94"/>
  <c r="BB804" i="94"/>
  <c r="BJ804" i="94"/>
  <c r="BR804" i="94"/>
  <c r="BZ804" i="94"/>
  <c r="CI804" i="94"/>
  <c r="CR804" i="94"/>
  <c r="DA804" i="94"/>
  <c r="DJ804" i="94"/>
  <c r="DT804" i="94"/>
  <c r="EC804" i="94"/>
  <c r="EL804" i="94"/>
  <c r="EU804" i="94"/>
  <c r="FD804" i="94"/>
  <c r="FM804" i="94"/>
  <c r="FV804" i="94"/>
  <c r="GF804" i="94"/>
  <c r="GO804" i="94"/>
  <c r="GX804" i="94"/>
  <c r="HG804" i="94"/>
  <c r="HP804" i="94"/>
  <c r="HY804" i="94"/>
  <c r="IH804" i="94"/>
  <c r="IR804" i="94"/>
  <c r="JA804" i="94"/>
  <c r="JJ804" i="94"/>
  <c r="JS804" i="94"/>
  <c r="KB804" i="94"/>
  <c r="KK804" i="94"/>
  <c r="KT804" i="94"/>
  <c r="LD804" i="94"/>
  <c r="LM804" i="94"/>
  <c r="LV804" i="94"/>
  <c r="ME804" i="94"/>
  <c r="MN804" i="94"/>
  <c r="AD805" i="94"/>
  <c r="AN805" i="94"/>
  <c r="AW805" i="94"/>
  <c r="BF805" i="94"/>
  <c r="BO805" i="94"/>
  <c r="BX805" i="94"/>
  <c r="CG805" i="94"/>
  <c r="CP805" i="94"/>
  <c r="CZ805" i="94"/>
  <c r="DI805" i="94"/>
  <c r="DR805" i="94"/>
  <c r="EA805" i="94"/>
  <c r="EJ805" i="94"/>
  <c r="ES805" i="94"/>
  <c r="FB805" i="94"/>
  <c r="FL805" i="94"/>
  <c r="FU805" i="94"/>
  <c r="GD805" i="94"/>
  <c r="GM805" i="94"/>
  <c r="GV805" i="94"/>
  <c r="HE805" i="94"/>
  <c r="HN805" i="94"/>
  <c r="HX805" i="94"/>
  <c r="IG805" i="94"/>
  <c r="IP805" i="94"/>
  <c r="IY805" i="94"/>
  <c r="JH805" i="94"/>
  <c r="JQ805" i="94"/>
  <c r="JZ805" i="94"/>
  <c r="KJ805" i="94"/>
  <c r="KS805" i="94"/>
  <c r="LB805" i="94"/>
  <c r="LK805" i="94"/>
  <c r="LT805" i="94"/>
  <c r="MC805" i="94"/>
  <c r="ML805" i="94"/>
  <c r="AH807" i="94"/>
  <c r="AS807" i="94"/>
  <c r="BF807" i="94"/>
  <c r="BQ807" i="94"/>
  <c r="CD807" i="94"/>
  <c r="CR807" i="94"/>
  <c r="DC807" i="94"/>
  <c r="DP807" i="94"/>
  <c r="EA807" i="94"/>
  <c r="EN807" i="94"/>
  <c r="EY807" i="94"/>
  <c r="FL807" i="94"/>
  <c r="FX807" i="94"/>
  <c r="GK807" i="94"/>
  <c r="GV807" i="94"/>
  <c r="HI807" i="94"/>
  <c r="HT807" i="94"/>
  <c r="IK807" i="94"/>
  <c r="IZ807" i="94"/>
  <c r="JT807" i="94"/>
  <c r="KJ807" i="94"/>
  <c r="LA807" i="94"/>
  <c r="LS807" i="94"/>
  <c r="MH807" i="94"/>
  <c r="KQ808" i="94"/>
  <c r="KG808" i="94"/>
  <c r="JU808" i="94"/>
  <c r="JK808" i="94"/>
  <c r="JA808" i="94"/>
  <c r="IO808" i="94"/>
  <c r="IE808" i="94"/>
  <c r="KX808" i="94"/>
  <c r="KN808" i="94"/>
  <c r="KB808" i="94"/>
  <c r="JR808" i="94"/>
  <c r="JH808" i="94"/>
  <c r="IV808" i="94"/>
  <c r="IL808" i="94"/>
  <c r="IB808" i="94"/>
  <c r="IJ808" i="94"/>
  <c r="JZ808" i="94"/>
  <c r="AN809" i="94"/>
  <c r="CD809" i="94"/>
  <c r="EH809" i="94"/>
  <c r="HH809" i="94"/>
  <c r="KZ809" i="94"/>
  <c r="AB793" i="94"/>
  <c r="AJ793" i="94"/>
  <c r="AR793" i="94"/>
  <c r="AZ793" i="94"/>
  <c r="BH793" i="94"/>
  <c r="BP793" i="94"/>
  <c r="BX793" i="94"/>
  <c r="CF793" i="94"/>
  <c r="CN793" i="94"/>
  <c r="CV793" i="94"/>
  <c r="DD793" i="94"/>
  <c r="DL793" i="94"/>
  <c r="DT793" i="94"/>
  <c r="EB793" i="94"/>
  <c r="EJ793" i="94"/>
  <c r="ER793" i="94"/>
  <c r="EZ793" i="94"/>
  <c r="FH793" i="94"/>
  <c r="FP793" i="94"/>
  <c r="FX793" i="94"/>
  <c r="GF793" i="94"/>
  <c r="GN793" i="94"/>
  <c r="GV793" i="94"/>
  <c r="HD793" i="94"/>
  <c r="HL793" i="94"/>
  <c r="HT793" i="94"/>
  <c r="IB793" i="94"/>
  <c r="IJ793" i="94"/>
  <c r="IR793" i="94"/>
  <c r="IZ793" i="94"/>
  <c r="JH793" i="94"/>
  <c r="JP793" i="94"/>
  <c r="JX793" i="94"/>
  <c r="KF793" i="94"/>
  <c r="KN793" i="94"/>
  <c r="KV793" i="94"/>
  <c r="LD793" i="94"/>
  <c r="LL793" i="94"/>
  <c r="LT793" i="94"/>
  <c r="MB793" i="94"/>
  <c r="MJ793" i="94"/>
  <c r="AB795" i="94"/>
  <c r="AJ795" i="94"/>
  <c r="AR795" i="94"/>
  <c r="AZ795" i="94"/>
  <c r="BH795" i="94"/>
  <c r="BP795" i="94"/>
  <c r="BX795" i="94"/>
  <c r="CF795" i="94"/>
  <c r="CN795" i="94"/>
  <c r="CV795" i="94"/>
  <c r="DD795" i="94"/>
  <c r="DL795" i="94"/>
  <c r="DT795" i="94"/>
  <c r="EB795" i="94"/>
  <c r="EJ795" i="94"/>
  <c r="ER795" i="94"/>
  <c r="EZ795" i="94"/>
  <c r="FH795" i="94"/>
  <c r="FP795" i="94"/>
  <c r="FX795" i="94"/>
  <c r="GF795" i="94"/>
  <c r="GN795" i="94"/>
  <c r="GV795" i="94"/>
  <c r="HD795" i="94"/>
  <c r="HL795" i="94"/>
  <c r="HT795" i="94"/>
  <c r="IB795" i="94"/>
  <c r="IJ795" i="94"/>
  <c r="IR795" i="94"/>
  <c r="IZ795" i="94"/>
  <c r="JH795" i="94"/>
  <c r="JP795" i="94"/>
  <c r="JX795" i="94"/>
  <c r="KF795" i="94"/>
  <c r="KN795" i="94"/>
  <c r="KV795" i="94"/>
  <c r="LD795" i="94"/>
  <c r="LL795" i="94"/>
  <c r="LT795" i="94"/>
  <c r="MB795" i="94"/>
  <c r="MJ795" i="94"/>
  <c r="AB797" i="94"/>
  <c r="AJ797" i="94"/>
  <c r="AR797" i="94"/>
  <c r="AZ797" i="94"/>
  <c r="BH797" i="94"/>
  <c r="BP797" i="94"/>
  <c r="BX797" i="94"/>
  <c r="CF797" i="94"/>
  <c r="CN797" i="94"/>
  <c r="CV797" i="94"/>
  <c r="DD797" i="94"/>
  <c r="DL797" i="94"/>
  <c r="DT797" i="94"/>
  <c r="EB797" i="94"/>
  <c r="EJ797" i="94"/>
  <c r="ER797" i="94"/>
  <c r="EZ797" i="94"/>
  <c r="FH797" i="94"/>
  <c r="FP797" i="94"/>
  <c r="FX797" i="94"/>
  <c r="GF797" i="94"/>
  <c r="GN797" i="94"/>
  <c r="GV797" i="94"/>
  <c r="HD797" i="94"/>
  <c r="HL797" i="94"/>
  <c r="HT797" i="94"/>
  <c r="IB797" i="94"/>
  <c r="IJ797" i="94"/>
  <c r="IR797" i="94"/>
  <c r="IZ797" i="94"/>
  <c r="JH797" i="94"/>
  <c r="JP797" i="94"/>
  <c r="JX797" i="94"/>
  <c r="KF797" i="94"/>
  <c r="KN797" i="94"/>
  <c r="KV797" i="94"/>
  <c r="LD797" i="94"/>
  <c r="LL797" i="94"/>
  <c r="LT797" i="94"/>
  <c r="MB797" i="94"/>
  <c r="MJ797"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X800" i="94"/>
  <c r="AF800" i="94"/>
  <c r="AN800" i="94"/>
  <c r="AV800" i="94"/>
  <c r="BD800" i="94"/>
  <c r="BL800" i="94"/>
  <c r="BT800" i="94"/>
  <c r="CB800" i="94"/>
  <c r="CJ800" i="94"/>
  <c r="CR800" i="94"/>
  <c r="CZ800" i="94"/>
  <c r="DH800" i="94"/>
  <c r="DP800" i="94"/>
  <c r="DX800" i="94"/>
  <c r="EF800" i="94"/>
  <c r="EN800" i="94"/>
  <c r="EV800" i="94"/>
  <c r="FD800" i="94"/>
  <c r="FL800" i="94"/>
  <c r="FT800" i="94"/>
  <c r="GB800" i="94"/>
  <c r="GJ800" i="94"/>
  <c r="GR800" i="94"/>
  <c r="GZ800" i="94"/>
  <c r="HH800" i="94"/>
  <c r="HP800" i="94"/>
  <c r="HX800" i="94"/>
  <c r="IF800" i="94"/>
  <c r="IN800" i="94"/>
  <c r="IV800" i="94"/>
  <c r="JD800" i="94"/>
  <c r="JL800" i="94"/>
  <c r="JT800" i="94"/>
  <c r="KB800" i="94"/>
  <c r="KJ800" i="94"/>
  <c r="KR800" i="94"/>
  <c r="KZ800" i="94"/>
  <c r="LP800" i="94"/>
  <c r="LX800" i="94"/>
  <c r="MF800" i="94"/>
  <c r="AB801" i="94"/>
  <c r="AJ801" i="94"/>
  <c r="AR801" i="94"/>
  <c r="AZ801" i="94"/>
  <c r="BH801" i="94"/>
  <c r="BP801" i="94"/>
  <c r="BX801" i="94"/>
  <c r="CF801" i="94"/>
  <c r="CN801" i="94"/>
  <c r="CV801" i="94"/>
  <c r="DD801" i="94"/>
  <c r="DL801" i="94"/>
  <c r="DT801" i="94"/>
  <c r="EB801" i="94"/>
  <c r="EJ801" i="94"/>
  <c r="ER801" i="94"/>
  <c r="EZ801" i="94"/>
  <c r="FH801" i="94"/>
  <c r="FP801" i="94"/>
  <c r="FX801" i="94"/>
  <c r="GF801" i="94"/>
  <c r="GN801" i="94"/>
  <c r="GV801" i="94"/>
  <c r="HD801" i="94"/>
  <c r="HL801" i="94"/>
  <c r="HT801" i="94"/>
  <c r="IB801" i="94"/>
  <c r="IJ801" i="94"/>
  <c r="IR801" i="94"/>
  <c r="IZ801" i="94"/>
  <c r="JH801" i="94"/>
  <c r="JP801" i="94"/>
  <c r="JX801" i="94"/>
  <c r="KF801" i="94"/>
  <c r="KN801" i="94"/>
  <c r="KV801" i="94"/>
  <c r="LD801" i="94"/>
  <c r="LL801" i="94"/>
  <c r="LT801" i="94"/>
  <c r="MB801" i="94"/>
  <c r="MJ801" i="94"/>
  <c r="X802" i="94"/>
  <c r="AF802" i="94"/>
  <c r="AN802" i="94"/>
  <c r="AV802" i="94"/>
  <c r="BD802" i="94"/>
  <c r="BL802" i="94"/>
  <c r="BT802" i="94"/>
  <c r="CB802" i="94"/>
  <c r="CJ802" i="94"/>
  <c r="CR802" i="94"/>
  <c r="CZ802" i="94"/>
  <c r="DH802" i="94"/>
  <c r="DP802" i="94"/>
  <c r="DX802" i="94"/>
  <c r="EF802" i="94"/>
  <c r="EN802" i="94"/>
  <c r="EV802" i="94"/>
  <c r="FD802" i="94"/>
  <c r="FL802" i="94"/>
  <c r="FT802" i="94"/>
  <c r="GB802" i="94"/>
  <c r="GJ802" i="94"/>
  <c r="GR802" i="94"/>
  <c r="GZ802" i="94"/>
  <c r="HH802" i="94"/>
  <c r="HP802" i="94"/>
  <c r="HX802" i="94"/>
  <c r="IF802" i="94"/>
  <c r="IN802" i="94"/>
  <c r="IV802" i="94"/>
  <c r="JD802" i="94"/>
  <c r="JL802" i="94"/>
  <c r="JT802" i="94"/>
  <c r="KB802" i="94"/>
  <c r="KJ802" i="94"/>
  <c r="KR802" i="94"/>
  <c r="KZ802" i="94"/>
  <c r="LP802" i="94"/>
  <c r="LX802" i="94"/>
  <c r="MF802" i="94"/>
  <c r="AB803" i="94"/>
  <c r="AJ803" i="94"/>
  <c r="AR803" i="94"/>
  <c r="AZ803" i="94"/>
  <c r="BH803" i="94"/>
  <c r="BP803" i="94"/>
  <c r="BX803" i="94"/>
  <c r="CF803" i="94"/>
  <c r="CN803" i="94"/>
  <c r="CV803" i="94"/>
  <c r="DD803" i="94"/>
  <c r="DL803" i="94"/>
  <c r="DT803" i="94"/>
  <c r="EB803" i="94"/>
  <c r="EJ803" i="94"/>
  <c r="ER803" i="94"/>
  <c r="EZ803" i="94"/>
  <c r="FH803" i="94"/>
  <c r="FP803" i="94"/>
  <c r="FX803" i="94"/>
  <c r="GF803" i="94"/>
  <c r="GN803" i="94"/>
  <c r="GV803" i="94"/>
  <c r="HD803" i="94"/>
  <c r="HL803" i="94"/>
  <c r="HT803" i="94"/>
  <c r="IB803" i="94"/>
  <c r="IJ803" i="94"/>
  <c r="IR803" i="94"/>
  <c r="IZ803" i="94"/>
  <c r="JH803" i="94"/>
  <c r="JP803" i="94"/>
  <c r="JX803" i="94"/>
  <c r="KF803" i="94"/>
  <c r="KN803" i="94"/>
  <c r="KV803" i="94"/>
  <c r="LD803" i="94"/>
  <c r="LL803" i="94"/>
  <c r="LT803" i="94"/>
  <c r="MB803" i="94"/>
  <c r="MJ803" i="94"/>
  <c r="X804" i="94"/>
  <c r="AF804" i="94"/>
  <c r="AN804" i="94"/>
  <c r="AV804" i="94"/>
  <c r="BD804" i="94"/>
  <c r="BL804" i="94"/>
  <c r="BT804" i="94"/>
  <c r="CB804" i="94"/>
  <c r="CK804" i="94"/>
  <c r="CT804" i="94"/>
  <c r="DD804" i="94"/>
  <c r="DM804" i="94"/>
  <c r="DV804" i="94"/>
  <c r="EE804" i="94"/>
  <c r="EN804" i="94"/>
  <c r="EW804" i="94"/>
  <c r="FF804" i="94"/>
  <c r="FP804" i="94"/>
  <c r="FY804" i="94"/>
  <c r="GH804" i="94"/>
  <c r="GQ804" i="94"/>
  <c r="GZ804" i="94"/>
  <c r="HI804" i="94"/>
  <c r="HR804" i="94"/>
  <c r="IB804" i="94"/>
  <c r="IK804" i="94"/>
  <c r="IT804" i="94"/>
  <c r="JC804" i="94"/>
  <c r="JL804" i="94"/>
  <c r="JU804" i="94"/>
  <c r="KD804" i="94"/>
  <c r="KN804" i="94"/>
  <c r="KW804" i="94"/>
  <c r="LO804" i="94"/>
  <c r="LX804" i="94"/>
  <c r="MG804" i="94"/>
  <c r="MP804" i="94"/>
  <c r="X805" i="94"/>
  <c r="AG805" i="94"/>
  <c r="AP805" i="94"/>
  <c r="AY805" i="94"/>
  <c r="BH805" i="94"/>
  <c r="BQ805" i="94"/>
  <c r="BZ805" i="94"/>
  <c r="CJ805" i="94"/>
  <c r="CS805" i="94"/>
  <c r="DB805" i="94"/>
  <c r="DK805" i="94"/>
  <c r="DT805" i="94"/>
  <c r="EC805" i="94"/>
  <c r="EL805" i="94"/>
  <c r="EV805" i="94"/>
  <c r="FE805" i="94"/>
  <c r="FN805" i="94"/>
  <c r="FW805" i="94"/>
  <c r="GF805" i="94"/>
  <c r="GO805" i="94"/>
  <c r="GX805" i="94"/>
  <c r="HH805" i="94"/>
  <c r="HQ805" i="94"/>
  <c r="HZ805" i="94"/>
  <c r="II805" i="94"/>
  <c r="IR805" i="94"/>
  <c r="JA805" i="94"/>
  <c r="JJ805" i="94"/>
  <c r="JT805" i="94"/>
  <c r="KC805" i="94"/>
  <c r="KL805" i="94"/>
  <c r="KU805" i="94"/>
  <c r="LD805" i="94"/>
  <c r="LM805" i="94"/>
  <c r="LV805" i="94"/>
  <c r="MF805" i="94"/>
  <c r="MO805" i="94"/>
  <c r="Y807" i="94"/>
  <c r="AJ807" i="94"/>
  <c r="AW807" i="94"/>
  <c r="BH807" i="94"/>
  <c r="BV807" i="94"/>
  <c r="CG807" i="94"/>
  <c r="CT807" i="94"/>
  <c r="DE807" i="94"/>
  <c r="DR807" i="94"/>
  <c r="EC807" i="94"/>
  <c r="EP807" i="94"/>
  <c r="FD807" i="94"/>
  <c r="FO807" i="94"/>
  <c r="GB807" i="94"/>
  <c r="GM807" i="94"/>
  <c r="GZ807" i="94"/>
  <c r="HK807" i="94"/>
  <c r="HX807" i="94"/>
  <c r="IO807" i="94"/>
  <c r="JG807" i="94"/>
  <c r="JV807" i="94"/>
  <c r="KN807" i="94"/>
  <c r="LD807" i="94"/>
  <c r="LU807" i="94"/>
  <c r="MO807" i="94"/>
  <c r="IT808" i="94"/>
  <c r="KJ808" i="94"/>
  <c r="AX809" i="94"/>
  <c r="CR809" i="94"/>
  <c r="EX809" i="94"/>
  <c r="HZ809" i="94"/>
  <c r="MF809" i="94"/>
  <c r="AE808" i="94"/>
  <c r="AO808" i="94"/>
  <c r="BA808" i="94"/>
  <c r="BK808" i="94"/>
  <c r="BU808" i="94"/>
  <c r="CG808" i="94"/>
  <c r="CQ808" i="94"/>
  <c r="DA808" i="94"/>
  <c r="DM808" i="94"/>
  <c r="DW808" i="94"/>
  <c r="EG808" i="94"/>
  <c r="ES808" i="94"/>
  <c r="FC808" i="94"/>
  <c r="FM808" i="94"/>
  <c r="FY808" i="94"/>
  <c r="GI808" i="94"/>
  <c r="GS808" i="94"/>
  <c r="HE808" i="94"/>
  <c r="HO808" i="94"/>
  <c r="HY808" i="94"/>
  <c r="IK808" i="94"/>
  <c r="IU808" i="94"/>
  <c r="JE808" i="94"/>
  <c r="JQ808" i="94"/>
  <c r="KA808" i="94"/>
  <c r="KK808" i="94"/>
  <c r="KW808" i="94"/>
  <c r="LG808" i="94"/>
  <c r="LQ808" i="94"/>
  <c r="MC808" i="94"/>
  <c r="LH808" i="94"/>
  <c r="Q1763" i="94"/>
  <c r="L1763" i="94"/>
  <c r="MP808" i="94"/>
  <c r="MH808" i="94"/>
  <c r="LZ808" i="94"/>
  <c r="LR808" i="94"/>
  <c r="LJ808" i="94"/>
  <c r="LB808" i="94"/>
  <c r="KT808" i="94"/>
  <c r="KL808" i="94"/>
  <c r="KD808" i="94"/>
  <c r="JV808" i="94"/>
  <c r="JN808" i="94"/>
  <c r="JF808" i="94"/>
  <c r="IX808" i="94"/>
  <c r="IP808" i="94"/>
  <c r="IH808" i="94"/>
  <c r="HZ808" i="94"/>
  <c r="HR808" i="94"/>
  <c r="HJ808" i="94"/>
  <c r="HB808" i="94"/>
  <c r="GT808" i="94"/>
  <c r="GL808" i="94"/>
  <c r="GD808" i="94"/>
  <c r="FV808" i="94"/>
  <c r="FN808" i="94"/>
  <c r="FF808" i="94"/>
  <c r="EX808" i="94"/>
  <c r="EP808" i="94"/>
  <c r="EH808" i="94"/>
  <c r="DZ808" i="94"/>
  <c r="DR808" i="94"/>
  <c r="DJ808" i="94"/>
  <c r="DB808" i="94"/>
  <c r="CT808" i="94"/>
  <c r="CL808" i="94"/>
  <c r="CD808" i="94"/>
  <c r="BV808" i="94"/>
  <c r="BN808" i="94"/>
  <c r="BF808" i="94"/>
  <c r="AX808" i="94"/>
  <c r="AP808" i="94"/>
  <c r="AH808" i="94"/>
  <c r="Z808" i="94"/>
  <c r="MQ808" i="94"/>
  <c r="MI808" i="94"/>
  <c r="MA808" i="94"/>
  <c r="LS808" i="94"/>
  <c r="LK808" i="94"/>
  <c r="LC808" i="94"/>
  <c r="KU808" i="94"/>
  <c r="KM808" i="94"/>
  <c r="KE808" i="94"/>
  <c r="JW808" i="94"/>
  <c r="JO808" i="94"/>
  <c r="JG808" i="94"/>
  <c r="IY808" i="94"/>
  <c r="IQ808" i="94"/>
  <c r="II808" i="94"/>
  <c r="IA808" i="94"/>
  <c r="HS808" i="94"/>
  <c r="HK808" i="94"/>
  <c r="HC808" i="94"/>
  <c r="GU808" i="94"/>
  <c r="GM808" i="94"/>
  <c r="GE808" i="94"/>
  <c r="FW808" i="94"/>
  <c r="FO808" i="94"/>
  <c r="FG808" i="94"/>
  <c r="EY808" i="94"/>
  <c r="EQ808" i="94"/>
  <c r="EI808" i="94"/>
  <c r="EA808" i="94"/>
  <c r="DS808" i="94"/>
  <c r="DK808" i="94"/>
  <c r="DC808" i="94"/>
  <c r="CU808" i="94"/>
  <c r="CM808" i="94"/>
  <c r="CE808" i="94"/>
  <c r="BW808" i="94"/>
  <c r="BO808" i="94"/>
  <c r="BG808" i="94"/>
  <c r="AY808" i="94"/>
  <c r="AQ808" i="94"/>
  <c r="AI808" i="94"/>
  <c r="AA808" i="94"/>
  <c r="W808" i="94"/>
  <c r="AG808" i="94"/>
  <c r="AS808" i="94"/>
  <c r="BC808" i="94"/>
  <c r="BM808" i="94"/>
  <c r="BY808" i="94"/>
  <c r="CI808" i="94"/>
  <c r="CS808" i="94"/>
  <c r="DE808" i="94"/>
  <c r="DO808" i="94"/>
  <c r="DY808" i="94"/>
  <c r="EK808" i="94"/>
  <c r="EU808" i="94"/>
  <c r="FE808" i="94"/>
  <c r="FQ808" i="94"/>
  <c r="GA808" i="94"/>
  <c r="GK808" i="94"/>
  <c r="GW808" i="94"/>
  <c r="HG808" i="94"/>
  <c r="HQ808" i="94"/>
  <c r="IC808" i="94"/>
  <c r="IM808" i="94"/>
  <c r="IW808" i="94"/>
  <c r="JI808" i="94"/>
  <c r="JS808" i="94"/>
  <c r="KC808" i="94"/>
  <c r="KO808" i="94"/>
  <c r="KY808" i="94"/>
  <c r="LI808" i="94"/>
  <c r="LU808" i="94"/>
  <c r="ME808" i="94"/>
  <c r="MO808" i="94"/>
  <c r="X808" i="94"/>
  <c r="AJ808" i="94"/>
  <c r="AT808" i="94"/>
  <c r="BD808" i="94"/>
  <c r="BP808" i="94"/>
  <c r="BZ808" i="94"/>
  <c r="CJ808" i="94"/>
  <c r="CV808" i="94"/>
  <c r="DF808" i="94"/>
  <c r="DP808" i="94"/>
  <c r="EB808" i="94"/>
  <c r="EL808" i="94"/>
  <c r="EV808" i="94"/>
  <c r="FH808" i="94"/>
  <c r="FR808" i="94"/>
  <c r="GB808" i="94"/>
  <c r="GN808" i="94"/>
  <c r="GX808" i="94"/>
  <c r="HH808" i="94"/>
  <c r="HT808" i="94"/>
  <c r="ID808" i="94"/>
  <c r="IN808" i="94"/>
  <c r="IZ808" i="94"/>
  <c r="JJ808" i="94"/>
  <c r="JT808" i="94"/>
  <c r="KF808" i="94"/>
  <c r="KP808" i="94"/>
  <c r="KZ808" i="94"/>
  <c r="LL808" i="94"/>
  <c r="LV808" i="94"/>
  <c r="MF808" i="94"/>
  <c r="MR808" i="94"/>
  <c r="B1070" i="94"/>
  <c r="C1060" i="94"/>
  <c r="EM808" i="94"/>
  <c r="EW808" i="94"/>
  <c r="FI808" i="94"/>
  <c r="FS808" i="94"/>
  <c r="GC808" i="94"/>
  <c r="LA808" i="94"/>
  <c r="LM808" i="94"/>
  <c r="LW808" i="94"/>
  <c r="MG808" i="94"/>
  <c r="MS808" i="94"/>
  <c r="I421" i="93"/>
  <c r="CN808" i="94"/>
  <c r="CX808" i="94"/>
  <c r="DH808" i="94"/>
  <c r="DT808" i="94"/>
  <c r="ED808" i="94"/>
  <c r="EN808" i="94"/>
  <c r="EZ808" i="94"/>
  <c r="FJ808" i="94"/>
  <c r="HV808" i="94"/>
  <c r="IF808" i="94"/>
  <c r="IR808" i="94"/>
  <c r="JB808" i="94"/>
  <c r="JL808" i="94"/>
  <c r="JX808" i="94"/>
  <c r="KH808" i="94"/>
  <c r="KR808" i="94"/>
  <c r="LD808" i="94"/>
  <c r="LN808" i="94"/>
  <c r="LX808" i="94"/>
  <c r="MJ808" i="94"/>
  <c r="K979" i="94"/>
  <c r="K963" i="94"/>
  <c r="A499" i="93"/>
  <c r="U499" i="93"/>
  <c r="O872" i="94"/>
  <c r="Q1785" i="94"/>
  <c r="L1785" i="94"/>
  <c r="IF780" i="93"/>
  <c r="ID780" i="93"/>
  <c r="IH780" i="93"/>
  <c r="IG780" i="93"/>
  <c r="IE780" i="93"/>
  <c r="DG780" i="93"/>
  <c r="DE780" i="93"/>
  <c r="Y780" i="93"/>
  <c r="H950" i="94"/>
  <c r="P950" i="94"/>
  <c r="L954" i="94"/>
  <c r="N941" i="94"/>
  <c r="G959" i="94"/>
  <c r="O959" i="94"/>
  <c r="M941" i="94"/>
  <c r="I968" i="94"/>
  <c r="Q1743" i="94"/>
  <c r="F1746" i="94"/>
  <c r="Q1966" i="94"/>
  <c r="D474" i="93"/>
  <c r="P474" i="93"/>
  <c r="A768" i="93"/>
  <c r="FR768" i="93"/>
  <c r="IZ782" i="93"/>
  <c r="EN782" i="93"/>
  <c r="DM782" i="93"/>
  <c r="EL782" i="93"/>
  <c r="DH782" i="93"/>
  <c r="IS782" i="93"/>
  <c r="EJ782" i="93"/>
  <c r="DG782" i="93"/>
  <c r="EB782" i="93"/>
  <c r="DX782" i="93"/>
  <c r="DU782" i="93"/>
  <c r="I972" i="94"/>
  <c r="A512" i="93"/>
  <c r="GU768" i="93"/>
  <c r="K998" i="94"/>
  <c r="L1858" i="94"/>
  <c r="T1859" i="94"/>
  <c r="L49" i="93"/>
  <c r="M459" i="93"/>
  <c r="P500" i="93"/>
  <c r="HQ768" i="93"/>
  <c r="K945" i="94"/>
  <c r="M954" i="94"/>
  <c r="N963" i="94"/>
  <c r="Q1965" i="94"/>
  <c r="L1965" i="94"/>
  <c r="S453" i="93"/>
  <c r="G459" i="93"/>
  <c r="S513" i="93"/>
  <c r="S562" i="93"/>
  <c r="L2034" i="94"/>
  <c r="U451" i="93"/>
  <c r="G453" i="93"/>
  <c r="JF768" i="93"/>
  <c r="HS768" i="93"/>
  <c r="HH768" i="93"/>
  <c r="GT768" i="93"/>
  <c r="GH768" i="93"/>
  <c r="FU768" i="93"/>
  <c r="FG768" i="93"/>
  <c r="JE768" i="93"/>
  <c r="HR768" i="93"/>
  <c r="HF768" i="93"/>
  <c r="GS768" i="93"/>
  <c r="GE768" i="93"/>
  <c r="FT768" i="93"/>
  <c r="FF768" i="93"/>
  <c r="JN768" i="93"/>
  <c r="IA768" i="93"/>
  <c r="HP768" i="93"/>
  <c r="HB768" i="93"/>
  <c r="GP768" i="93"/>
  <c r="GC768" i="93"/>
  <c r="FO768" i="93"/>
  <c r="FD768" i="93"/>
  <c r="JM768" i="93"/>
  <c r="HZ768" i="93"/>
  <c r="HN768" i="93"/>
  <c r="HA768" i="93"/>
  <c r="GM768" i="93"/>
  <c r="GB768" i="93"/>
  <c r="FN768" i="93"/>
  <c r="FB768" i="93"/>
  <c r="JG768" i="93"/>
  <c r="HK768" i="93"/>
  <c r="GL768" i="93"/>
  <c r="FM768" i="93"/>
  <c r="JD768" i="93"/>
  <c r="HJ768" i="93"/>
  <c r="GK768" i="93"/>
  <c r="FL768" i="93"/>
  <c r="HI768" i="93"/>
  <c r="GJ768" i="93"/>
  <c r="FJ768" i="93"/>
  <c r="HC768" i="93"/>
  <c r="GD768" i="93"/>
  <c r="FE768" i="93"/>
  <c r="HY768" i="93"/>
  <c r="GZ768" i="93"/>
  <c r="FZ768" i="93"/>
  <c r="EY768" i="93"/>
  <c r="JO768" i="93"/>
  <c r="HX768" i="93"/>
  <c r="GX768" i="93"/>
  <c r="FW768" i="93"/>
  <c r="EX768" i="93"/>
  <c r="EW768" i="93"/>
  <c r="IT768" i="93"/>
  <c r="EV768" i="93"/>
  <c r="EH768" i="93"/>
  <c r="DV768" i="93"/>
  <c r="DI768" i="93"/>
  <c r="IQ768" i="93"/>
  <c r="ET768" i="93"/>
  <c r="EG768" i="93"/>
  <c r="DS768" i="93"/>
  <c r="DH768" i="93"/>
  <c r="JB768" i="93"/>
  <c r="IO768" i="93"/>
  <c r="EP768" i="93"/>
  <c r="ED768" i="93"/>
  <c r="DQ768" i="93"/>
  <c r="IY768" i="93"/>
  <c r="IN768" i="93"/>
  <c r="EO768" i="93"/>
  <c r="EA768" i="93"/>
  <c r="DP768" i="93"/>
  <c r="DY768" i="93"/>
  <c r="IP768" i="93"/>
  <c r="AU769" i="93"/>
  <c r="BT769" i="93"/>
  <c r="CW769" i="93"/>
  <c r="EF769" i="93"/>
  <c r="IE769" i="93"/>
  <c r="AV770" i="93"/>
  <c r="CF770" i="93"/>
  <c r="DR770" i="93"/>
  <c r="ES770" i="93"/>
  <c r="GE770" i="93"/>
  <c r="HP770" i="93"/>
  <c r="IR770" i="93"/>
  <c r="BI772" i="93"/>
  <c r="DS773" i="93"/>
  <c r="IP773" i="93"/>
  <c r="CG775" i="93"/>
  <c r="ES775" i="93"/>
  <c r="HE775" i="93"/>
  <c r="JQ775" i="93"/>
  <c r="JL780" i="93"/>
  <c r="JD780" i="93"/>
  <c r="IV780" i="93"/>
  <c r="IN780" i="93"/>
  <c r="HX780" i="93"/>
  <c r="HP780" i="93"/>
  <c r="HH780" i="93"/>
  <c r="GZ780" i="93"/>
  <c r="GR780" i="93"/>
  <c r="GJ780" i="93"/>
  <c r="GB780" i="93"/>
  <c r="FT780" i="93"/>
  <c r="JO780" i="93"/>
  <c r="JF780" i="93"/>
  <c r="IW780" i="93"/>
  <c r="IM780" i="93"/>
  <c r="HU780" i="93"/>
  <c r="HL780" i="93"/>
  <c r="HC780" i="93"/>
  <c r="GT780" i="93"/>
  <c r="GK780" i="93"/>
  <c r="GA780" i="93"/>
  <c r="FR780" i="93"/>
  <c r="FJ780" i="93"/>
  <c r="FB780" i="93"/>
  <c r="ET780" i="93"/>
  <c r="EL780" i="93"/>
  <c r="ED780" i="93"/>
  <c r="DV780" i="93"/>
  <c r="DN780" i="93"/>
  <c r="DF780" i="93"/>
  <c r="CX780" i="93"/>
  <c r="CP780" i="93"/>
  <c r="CH780" i="93"/>
  <c r="BZ780" i="93"/>
  <c r="BR780" i="93"/>
  <c r="BJ780" i="93"/>
  <c r="BB780" i="93"/>
  <c r="AT780" i="93"/>
  <c r="AL780" i="93"/>
  <c r="AD780" i="93"/>
  <c r="JK780" i="93"/>
  <c r="JB780" i="93"/>
  <c r="IS780" i="93"/>
  <c r="IJ780" i="93"/>
  <c r="IA780" i="93"/>
  <c r="HR780" i="93"/>
  <c r="HI780" i="93"/>
  <c r="GY780" i="93"/>
  <c r="GP780" i="93"/>
  <c r="GG780" i="93"/>
  <c r="FX780" i="93"/>
  <c r="FO780" i="93"/>
  <c r="FG780" i="93"/>
  <c r="EY780" i="93"/>
  <c r="EQ780" i="93"/>
  <c r="EI780" i="93"/>
  <c r="EA780" i="93"/>
  <c r="DS780" i="93"/>
  <c r="DK780" i="93"/>
  <c r="DC780" i="93"/>
  <c r="CU780" i="93"/>
  <c r="CM780" i="93"/>
  <c r="CE780" i="93"/>
  <c r="BW780" i="93"/>
  <c r="BO780" i="93"/>
  <c r="BG780" i="93"/>
  <c r="AY780" i="93"/>
  <c r="AQ780" i="93"/>
  <c r="AI780" i="93"/>
  <c r="AA780" i="93"/>
  <c r="JH780" i="93"/>
  <c r="IU780" i="93"/>
  <c r="II780" i="93"/>
  <c r="HW780" i="93"/>
  <c r="HK780" i="93"/>
  <c r="GX780" i="93"/>
  <c r="GM780" i="93"/>
  <c r="FZ780" i="93"/>
  <c r="FN780" i="93"/>
  <c r="FD780" i="93"/>
  <c r="ES780" i="93"/>
  <c r="EH780" i="93"/>
  <c r="DX780" i="93"/>
  <c r="DM780" i="93"/>
  <c r="DB780" i="93"/>
  <c r="CR780" i="93"/>
  <c r="CG780" i="93"/>
  <c r="BV780" i="93"/>
  <c r="BL780" i="93"/>
  <c r="BA780" i="93"/>
  <c r="AP780" i="93"/>
  <c r="AF780" i="93"/>
  <c r="JG780" i="93"/>
  <c r="IT780" i="93"/>
  <c r="HV780" i="93"/>
  <c r="HJ780" i="93"/>
  <c r="GW780" i="93"/>
  <c r="GL780" i="93"/>
  <c r="FY780" i="93"/>
  <c r="FM780" i="93"/>
  <c r="FC780" i="93"/>
  <c r="ER780" i="93"/>
  <c r="EG780" i="93"/>
  <c r="DW780" i="93"/>
  <c r="DL780" i="93"/>
  <c r="DA780" i="93"/>
  <c r="CQ780" i="93"/>
  <c r="CF780" i="93"/>
  <c r="BU780" i="93"/>
  <c r="BK780" i="93"/>
  <c r="AZ780" i="93"/>
  <c r="AO780" i="93"/>
  <c r="AE780" i="93"/>
  <c r="JQ780" i="93"/>
  <c r="JE780" i="93"/>
  <c r="IR780" i="93"/>
  <c r="HT780" i="93"/>
  <c r="HG780" i="93"/>
  <c r="GV780" i="93"/>
  <c r="GI780" i="93"/>
  <c r="FW780" i="93"/>
  <c r="FL780" i="93"/>
  <c r="FA780" i="93"/>
  <c r="EP780" i="93"/>
  <c r="EF780" i="93"/>
  <c r="DU780" i="93"/>
  <c r="DJ780" i="93"/>
  <c r="CZ780" i="93"/>
  <c r="CO780" i="93"/>
  <c r="CD780" i="93"/>
  <c r="BT780" i="93"/>
  <c r="BI780" i="93"/>
  <c r="AX780" i="93"/>
  <c r="AN780" i="93"/>
  <c r="AC780" i="93"/>
  <c r="JP780" i="93"/>
  <c r="JC780" i="93"/>
  <c r="IQ780" i="93"/>
  <c r="HS780" i="93"/>
  <c r="HF780" i="93"/>
  <c r="GU780" i="93"/>
  <c r="GH780" i="93"/>
  <c r="FV780" i="93"/>
  <c r="FK780" i="93"/>
  <c r="EZ780" i="93"/>
  <c r="EO780" i="93"/>
  <c r="EE780" i="93"/>
  <c r="DT780" i="93"/>
  <c r="DI780" i="93"/>
  <c r="CY780" i="93"/>
  <c r="CN780" i="93"/>
  <c r="CC780" i="93"/>
  <c r="BS780" i="93"/>
  <c r="BH780" i="93"/>
  <c r="AW780" i="93"/>
  <c r="AM780" i="93"/>
  <c r="AB780" i="93"/>
  <c r="JI780" i="93"/>
  <c r="IK780" i="93"/>
  <c r="HM780" i="93"/>
  <c r="GN780" i="93"/>
  <c r="FP780" i="93"/>
  <c r="EU780" i="93"/>
  <c r="DY780" i="93"/>
  <c r="DD780" i="93"/>
  <c r="CI780" i="93"/>
  <c r="BM780" i="93"/>
  <c r="AR780" i="93"/>
  <c r="W780" i="93"/>
  <c r="JA780" i="93"/>
  <c r="IC780" i="93"/>
  <c r="HE780" i="93"/>
  <c r="GF780" i="93"/>
  <c r="FI780" i="93"/>
  <c r="EN780" i="93"/>
  <c r="DR780" i="93"/>
  <c r="CW780" i="93"/>
  <c r="CB780" i="93"/>
  <c r="BF780" i="93"/>
  <c r="AK780" i="93"/>
  <c r="IZ780" i="93"/>
  <c r="IB780" i="93"/>
  <c r="HD780" i="93"/>
  <c r="GE780" i="93"/>
  <c r="FH780" i="93"/>
  <c r="EM780" i="93"/>
  <c r="DQ780" i="93"/>
  <c r="CV780" i="93"/>
  <c r="CA780" i="93"/>
  <c r="BE780" i="93"/>
  <c r="AJ780" i="93"/>
  <c r="IY780" i="93"/>
  <c r="HZ780" i="93"/>
  <c r="HB780" i="93"/>
  <c r="GD780" i="93"/>
  <c r="FF780" i="93"/>
  <c r="EK780" i="93"/>
  <c r="DP780" i="93"/>
  <c r="CT780" i="93"/>
  <c r="BY780" i="93"/>
  <c r="BD780" i="93"/>
  <c r="AH780" i="93"/>
  <c r="IX780" i="93"/>
  <c r="HY780" i="93"/>
  <c r="HA780" i="93"/>
  <c r="GC780" i="93"/>
  <c r="FE780" i="93"/>
  <c r="EJ780" i="93"/>
  <c r="DO780" i="93"/>
  <c r="CS780" i="93"/>
  <c r="BX780" i="93"/>
  <c r="BC780" i="93"/>
  <c r="AG780" i="93"/>
  <c r="JN780" i="93"/>
  <c r="IP780" i="93"/>
  <c r="HQ780" i="93"/>
  <c r="GS780" i="93"/>
  <c r="FU780" i="93"/>
  <c r="EX780" i="93"/>
  <c r="EC780" i="93"/>
  <c r="DH780" i="93"/>
  <c r="CL780" i="93"/>
  <c r="BQ780" i="93"/>
  <c r="AV780" i="93"/>
  <c r="Z780" i="93"/>
  <c r="AS780" i="93"/>
  <c r="DZ780" i="93"/>
  <c r="HN780" i="93"/>
  <c r="A782" i="93"/>
  <c r="JL782" i="93"/>
  <c r="JK782" i="93"/>
  <c r="JJ782" i="93"/>
  <c r="F471" i="93"/>
  <c r="F470" i="93" s="1"/>
  <c r="F472" i="93"/>
  <c r="K730" i="93"/>
  <c r="K746" i="93"/>
  <c r="IH767" i="93"/>
  <c r="IF767" i="93"/>
  <c r="IE767" i="93"/>
  <c r="IJ767" i="93"/>
  <c r="CM767" i="93"/>
  <c r="AL767" i="93"/>
  <c r="AA767" i="93"/>
  <c r="ID767" i="93"/>
  <c r="CX767" i="93"/>
  <c r="BM767" i="93"/>
  <c r="AZ767" i="93"/>
  <c r="AQ767" i="93"/>
  <c r="BI767" i="93"/>
  <c r="CC767" i="93"/>
  <c r="CV767" i="93"/>
  <c r="DQ767" i="93"/>
  <c r="IL767" i="93"/>
  <c r="DZ768" i="93"/>
  <c r="IV768" i="93"/>
  <c r="W769" i="93"/>
  <c r="AV769" i="93"/>
  <c r="BW769" i="93"/>
  <c r="CX769" i="93"/>
  <c r="EI769" i="93"/>
  <c r="FS769" i="93"/>
  <c r="GW769" i="93"/>
  <c r="BF770" i="93"/>
  <c r="CG770" i="93"/>
  <c r="DS770" i="93"/>
  <c r="FD770" i="93"/>
  <c r="GF770" i="93"/>
  <c r="HR770" i="93"/>
  <c r="JA770" i="93"/>
  <c r="IH772" i="93"/>
  <c r="IG772" i="93"/>
  <c r="IF772" i="93"/>
  <c r="IE772" i="93"/>
  <c r="AE772" i="93"/>
  <c r="BJ772" i="93"/>
  <c r="DE772" i="93"/>
  <c r="EG773" i="93"/>
  <c r="JE773" i="93"/>
  <c r="BU774" i="93"/>
  <c r="EG774" i="93"/>
  <c r="CH775" i="93"/>
  <c r="ET775" i="93"/>
  <c r="HF775" i="93"/>
  <c r="A776" i="93"/>
  <c r="AU780" i="93"/>
  <c r="EB780" i="93"/>
  <c r="HO780" i="93"/>
  <c r="M1930" i="94"/>
  <c r="G469" i="93"/>
  <c r="S500" i="93"/>
  <c r="J519" i="93"/>
  <c r="P554" i="93"/>
  <c r="DF768" i="93"/>
  <c r="EF768" i="93"/>
  <c r="IW768" i="93"/>
  <c r="JP769" i="93"/>
  <c r="JH769" i="93"/>
  <c r="IZ769" i="93"/>
  <c r="IR769" i="93"/>
  <c r="IJ769" i="93"/>
  <c r="IB769" i="93"/>
  <c r="HT769" i="93"/>
  <c r="HL769" i="93"/>
  <c r="HD769" i="93"/>
  <c r="GV769" i="93"/>
  <c r="GN769" i="93"/>
  <c r="GF769" i="93"/>
  <c r="FX769" i="93"/>
  <c r="FP769" i="93"/>
  <c r="FH769" i="93"/>
  <c r="EZ769" i="93"/>
  <c r="ER769" i="93"/>
  <c r="EJ769" i="93"/>
  <c r="EB769" i="93"/>
  <c r="DT769" i="93"/>
  <c r="DL769" i="93"/>
  <c r="DD769" i="93"/>
  <c r="CV769" i="93"/>
  <c r="CN769" i="93"/>
  <c r="CF769" i="93"/>
  <c r="BX769" i="93"/>
  <c r="BP769" i="93"/>
  <c r="BH769" i="93"/>
  <c r="AZ769" i="93"/>
  <c r="AR769" i="93"/>
  <c r="AJ769" i="93"/>
  <c r="AB769" i="93"/>
  <c r="JN769" i="93"/>
  <c r="JF769" i="93"/>
  <c r="IX769" i="93"/>
  <c r="IP769" i="93"/>
  <c r="IH769" i="93"/>
  <c r="HZ769" i="93"/>
  <c r="HR769" i="93"/>
  <c r="HJ769" i="93"/>
  <c r="HB769" i="93"/>
  <c r="GT769" i="93"/>
  <c r="GL769" i="93"/>
  <c r="GD769" i="93"/>
  <c r="FV769" i="93"/>
  <c r="FN769" i="93"/>
  <c r="FF769" i="93"/>
  <c r="EX769" i="93"/>
  <c r="EP769" i="93"/>
  <c r="EH769" i="93"/>
  <c r="DZ769" i="93"/>
  <c r="DR769" i="93"/>
  <c r="DJ769" i="93"/>
  <c r="DB769" i="93"/>
  <c r="CT769" i="93"/>
  <c r="CL769" i="93"/>
  <c r="CD769" i="93"/>
  <c r="BV769" i="93"/>
  <c r="BN769" i="93"/>
  <c r="BF769" i="93"/>
  <c r="AX769" i="93"/>
  <c r="AP769" i="93"/>
  <c r="AH769" i="93"/>
  <c r="Z769" i="93"/>
  <c r="JM769" i="93"/>
  <c r="JE769" i="93"/>
  <c r="IW769" i="93"/>
  <c r="IO769" i="93"/>
  <c r="HY769" i="93"/>
  <c r="HQ769" i="93"/>
  <c r="HI769" i="93"/>
  <c r="HA769" i="93"/>
  <c r="GS769" i="93"/>
  <c r="GK769" i="93"/>
  <c r="GC769" i="93"/>
  <c r="FU769" i="93"/>
  <c r="FM769" i="93"/>
  <c r="FE769" i="93"/>
  <c r="EW769" i="93"/>
  <c r="EO769" i="93"/>
  <c r="EG769" i="93"/>
  <c r="DY769" i="93"/>
  <c r="DQ769" i="93"/>
  <c r="DI769" i="93"/>
  <c r="DA769" i="93"/>
  <c r="CS769" i="93"/>
  <c r="CK769" i="93"/>
  <c r="CC769" i="93"/>
  <c r="BU769" i="93"/>
  <c r="BM769" i="93"/>
  <c r="BE769" i="93"/>
  <c r="AW769" i="93"/>
  <c r="AO769" i="93"/>
  <c r="AG769" i="93"/>
  <c r="Y769" i="93"/>
  <c r="JQ769" i="93"/>
  <c r="JC769" i="93"/>
  <c r="IQ769" i="93"/>
  <c r="ID769" i="93"/>
  <c r="HP769" i="93"/>
  <c r="HE769" i="93"/>
  <c r="GQ769" i="93"/>
  <c r="GE769" i="93"/>
  <c r="FR769" i="93"/>
  <c r="FD769" i="93"/>
  <c r="ES769" i="93"/>
  <c r="EE769" i="93"/>
  <c r="DS769" i="93"/>
  <c r="DF769" i="93"/>
  <c r="CR769" i="93"/>
  <c r="CG769" i="93"/>
  <c r="BS769" i="93"/>
  <c r="BG769" i="93"/>
  <c r="AT769" i="93"/>
  <c r="AF769" i="93"/>
  <c r="JO769" i="93"/>
  <c r="JB769" i="93"/>
  <c r="IN769" i="93"/>
  <c r="IC769" i="93"/>
  <c r="HO769" i="93"/>
  <c r="HC769" i="93"/>
  <c r="GP769" i="93"/>
  <c r="GB769" i="93"/>
  <c r="FQ769" i="93"/>
  <c r="FC769" i="93"/>
  <c r="EQ769" i="93"/>
  <c r="ED769" i="93"/>
  <c r="DP769" i="93"/>
  <c r="DE769" i="93"/>
  <c r="CQ769" i="93"/>
  <c r="CE769" i="93"/>
  <c r="BR769" i="93"/>
  <c r="BD769" i="93"/>
  <c r="AS769" i="93"/>
  <c r="AE769" i="93"/>
  <c r="JL769" i="93"/>
  <c r="JA769" i="93"/>
  <c r="IM769" i="93"/>
  <c r="IA769" i="93"/>
  <c r="HN769" i="93"/>
  <c r="GZ769" i="93"/>
  <c r="GO769" i="93"/>
  <c r="GA769" i="93"/>
  <c r="FO769" i="93"/>
  <c r="FB769" i="93"/>
  <c r="EN769" i="93"/>
  <c r="EC769" i="93"/>
  <c r="DO769" i="93"/>
  <c r="DC769" i="93"/>
  <c r="CP769" i="93"/>
  <c r="JK769" i="93"/>
  <c r="IY769" i="93"/>
  <c r="IL769" i="93"/>
  <c r="HX769" i="93"/>
  <c r="HM769" i="93"/>
  <c r="GY769" i="93"/>
  <c r="GM769" i="93"/>
  <c r="FZ769" i="93"/>
  <c r="FL769" i="93"/>
  <c r="FA769" i="93"/>
  <c r="EM769" i="93"/>
  <c r="EA769" i="93"/>
  <c r="DN769" i="93"/>
  <c r="CZ769" i="93"/>
  <c r="CO769" i="93"/>
  <c r="CA769" i="93"/>
  <c r="BO769" i="93"/>
  <c r="BB769" i="93"/>
  <c r="AN769" i="93"/>
  <c r="AC769" i="93"/>
  <c r="JJ769" i="93"/>
  <c r="IV769" i="93"/>
  <c r="IK769" i="93"/>
  <c r="HW769" i="93"/>
  <c r="HK769" i="93"/>
  <c r="GX769" i="93"/>
  <c r="GJ769" i="93"/>
  <c r="FY769" i="93"/>
  <c r="FK769" i="93"/>
  <c r="EY769" i="93"/>
  <c r="EL769" i="93"/>
  <c r="DX769" i="93"/>
  <c r="DM769" i="93"/>
  <c r="CY769" i="93"/>
  <c r="CM769" i="93"/>
  <c r="BZ769" i="93"/>
  <c r="BL769" i="93"/>
  <c r="BA769" i="93"/>
  <c r="AM769" i="93"/>
  <c r="AA769" i="93"/>
  <c r="X769" i="93"/>
  <c r="AY769" i="93"/>
  <c r="BY769" i="93"/>
  <c r="DG769" i="93"/>
  <c r="EK769" i="93"/>
  <c r="FT769" i="93"/>
  <c r="HF769" i="93"/>
  <c r="II769" i="93"/>
  <c r="IG770" i="93"/>
  <c r="IE770" i="93"/>
  <c r="ID770" i="93"/>
  <c r="IH770" i="93"/>
  <c r="BG770" i="93"/>
  <c r="CR770" i="93"/>
  <c r="DT770" i="93"/>
  <c r="FF770" i="93"/>
  <c r="GO770" i="93"/>
  <c r="HS770" i="93"/>
  <c r="JL773" i="93"/>
  <c r="EH773" i="93"/>
  <c r="X774" i="93"/>
  <c r="CJ774" i="93"/>
  <c r="A775" i="93"/>
  <c r="AK775" i="93"/>
  <c r="CW775" i="93"/>
  <c r="FI775" i="93"/>
  <c r="BN780" i="93"/>
  <c r="EV780" i="93"/>
  <c r="IL780" i="93"/>
  <c r="DV786" i="93"/>
  <c r="CG786" i="93"/>
  <c r="AS786" i="93"/>
  <c r="IZ786" i="93"/>
  <c r="DU786" i="93"/>
  <c r="CD786" i="93"/>
  <c r="AQ786" i="93"/>
  <c r="BP786" i="93"/>
  <c r="AD769" i="93"/>
  <c r="BC769" i="93"/>
  <c r="CB769" i="93"/>
  <c r="DH769" i="93"/>
  <c r="ET769" i="93"/>
  <c r="IS769" i="93"/>
  <c r="JM770" i="93"/>
  <c r="JE770" i="93"/>
  <c r="IW770" i="93"/>
  <c r="IO770" i="93"/>
  <c r="HY770" i="93"/>
  <c r="HQ770" i="93"/>
  <c r="HI770" i="93"/>
  <c r="HA770" i="93"/>
  <c r="GS770" i="93"/>
  <c r="GK770" i="93"/>
  <c r="GC770" i="93"/>
  <c r="FU770" i="93"/>
  <c r="FM770" i="93"/>
  <c r="FE770" i="93"/>
  <c r="EW770" i="93"/>
  <c r="EO770" i="93"/>
  <c r="EG770" i="93"/>
  <c r="DY770" i="93"/>
  <c r="DQ770" i="93"/>
  <c r="DI770" i="93"/>
  <c r="DA770" i="93"/>
  <c r="CS770" i="93"/>
  <c r="CK770" i="93"/>
  <c r="CC770" i="93"/>
  <c r="BU770" i="93"/>
  <c r="BM770" i="93"/>
  <c r="BE770" i="93"/>
  <c r="AW770" i="93"/>
  <c r="AO770" i="93"/>
  <c r="AG770" i="93"/>
  <c r="Y770" i="93"/>
  <c r="JK770" i="93"/>
  <c r="JC770" i="93"/>
  <c r="IU770" i="93"/>
  <c r="IM770" i="93"/>
  <c r="HW770" i="93"/>
  <c r="HO770" i="93"/>
  <c r="HG770" i="93"/>
  <c r="GY770" i="93"/>
  <c r="GQ770" i="93"/>
  <c r="GI770" i="93"/>
  <c r="GA770" i="93"/>
  <c r="FS770" i="93"/>
  <c r="FK770" i="93"/>
  <c r="FC770" i="93"/>
  <c r="EU770" i="93"/>
  <c r="EM770" i="93"/>
  <c r="EE770" i="93"/>
  <c r="DW770" i="93"/>
  <c r="DO770" i="93"/>
  <c r="DG770" i="93"/>
  <c r="CY770" i="93"/>
  <c r="CQ770" i="93"/>
  <c r="CI770" i="93"/>
  <c r="CA770" i="93"/>
  <c r="BS770" i="93"/>
  <c r="BK770" i="93"/>
  <c r="BC770" i="93"/>
  <c r="AU770" i="93"/>
  <c r="AM770" i="93"/>
  <c r="AE770" i="93"/>
  <c r="W770" i="93"/>
  <c r="JJ770" i="93"/>
  <c r="JB770" i="93"/>
  <c r="IT770" i="93"/>
  <c r="IL770" i="93"/>
  <c r="HV770" i="93"/>
  <c r="HN770" i="93"/>
  <c r="HF770" i="93"/>
  <c r="GX770" i="93"/>
  <c r="GP770" i="93"/>
  <c r="GH770" i="93"/>
  <c r="FZ770" i="93"/>
  <c r="FR770" i="93"/>
  <c r="FJ770" i="93"/>
  <c r="FB770" i="93"/>
  <c r="ET770" i="93"/>
  <c r="EL770" i="93"/>
  <c r="ED770" i="93"/>
  <c r="DV770" i="93"/>
  <c r="DN770" i="93"/>
  <c r="DF770" i="93"/>
  <c r="CX770" i="93"/>
  <c r="CP770" i="93"/>
  <c r="CH770" i="93"/>
  <c r="BZ770" i="93"/>
  <c r="BR770" i="93"/>
  <c r="BJ770" i="93"/>
  <c r="BB770" i="93"/>
  <c r="AT770" i="93"/>
  <c r="AL770" i="93"/>
  <c r="AD770" i="93"/>
  <c r="JN770" i="93"/>
  <c r="IZ770" i="93"/>
  <c r="IN770" i="93"/>
  <c r="IA770" i="93"/>
  <c r="HM770" i="93"/>
  <c r="HB770" i="93"/>
  <c r="GN770" i="93"/>
  <c r="GB770" i="93"/>
  <c r="FO770" i="93"/>
  <c r="FA770" i="93"/>
  <c r="EP770" i="93"/>
  <c r="EB770" i="93"/>
  <c r="DP770" i="93"/>
  <c r="DC770" i="93"/>
  <c r="CO770" i="93"/>
  <c r="CD770" i="93"/>
  <c r="BP770" i="93"/>
  <c r="BD770" i="93"/>
  <c r="AQ770" i="93"/>
  <c r="AC770" i="93"/>
  <c r="JL770" i="93"/>
  <c r="IY770" i="93"/>
  <c r="IK770" i="93"/>
  <c r="HZ770" i="93"/>
  <c r="HL770" i="93"/>
  <c r="GZ770" i="93"/>
  <c r="GM770" i="93"/>
  <c r="FY770" i="93"/>
  <c r="FN770" i="93"/>
  <c r="EZ770" i="93"/>
  <c r="EN770" i="93"/>
  <c r="EA770" i="93"/>
  <c r="DM770" i="93"/>
  <c r="DB770" i="93"/>
  <c r="CN770" i="93"/>
  <c r="CB770" i="93"/>
  <c r="BO770" i="93"/>
  <c r="BA770" i="93"/>
  <c r="AP770" i="93"/>
  <c r="AB770" i="93"/>
  <c r="JI770" i="93"/>
  <c r="IX770" i="93"/>
  <c r="IJ770" i="93"/>
  <c r="HX770" i="93"/>
  <c r="HK770" i="93"/>
  <c r="GW770" i="93"/>
  <c r="GL770" i="93"/>
  <c r="FX770" i="93"/>
  <c r="FL770" i="93"/>
  <c r="EY770" i="93"/>
  <c r="EK770" i="93"/>
  <c r="DZ770" i="93"/>
  <c r="DL770" i="93"/>
  <c r="CZ770" i="93"/>
  <c r="CM770" i="93"/>
  <c r="BY770" i="93"/>
  <c r="BN770" i="93"/>
  <c r="AZ770" i="93"/>
  <c r="AN770" i="93"/>
  <c r="AA770" i="93"/>
  <c r="JH770" i="93"/>
  <c r="IV770" i="93"/>
  <c r="II770" i="93"/>
  <c r="HU770" i="93"/>
  <c r="HJ770" i="93"/>
  <c r="GV770" i="93"/>
  <c r="GJ770" i="93"/>
  <c r="FW770" i="93"/>
  <c r="FI770" i="93"/>
  <c r="EX770" i="93"/>
  <c r="EJ770" i="93"/>
  <c r="DX770" i="93"/>
  <c r="DK770" i="93"/>
  <c r="CW770" i="93"/>
  <c r="CL770" i="93"/>
  <c r="BX770" i="93"/>
  <c r="BL770" i="93"/>
  <c r="AY770" i="93"/>
  <c r="AK770" i="93"/>
  <c r="Z770" i="93"/>
  <c r="JG770" i="93"/>
  <c r="IS770" i="93"/>
  <c r="HT770" i="93"/>
  <c r="HH770" i="93"/>
  <c r="GU770" i="93"/>
  <c r="GG770" i="93"/>
  <c r="FV770" i="93"/>
  <c r="FH770" i="93"/>
  <c r="EV770" i="93"/>
  <c r="EI770" i="93"/>
  <c r="DU770" i="93"/>
  <c r="DJ770" i="93"/>
  <c r="CV770" i="93"/>
  <c r="CJ770" i="93"/>
  <c r="BW770" i="93"/>
  <c r="BI770" i="93"/>
  <c r="AX770" i="93"/>
  <c r="AJ770" i="93"/>
  <c r="X770" i="93"/>
  <c r="AF770" i="93"/>
  <c r="BH770" i="93"/>
  <c r="CT770" i="93"/>
  <c r="EC770" i="93"/>
  <c r="FG770" i="93"/>
  <c r="GR770" i="93"/>
  <c r="IB770" i="93"/>
  <c r="JF770" i="93"/>
  <c r="IU773" i="93"/>
  <c r="EU773" i="93"/>
  <c r="EM773" i="93"/>
  <c r="EE773" i="93"/>
  <c r="DW773" i="93"/>
  <c r="DO773" i="93"/>
  <c r="DG773" i="93"/>
  <c r="JB773" i="93"/>
  <c r="IT773" i="93"/>
  <c r="ET773" i="93"/>
  <c r="EL773" i="93"/>
  <c r="ED773" i="93"/>
  <c r="DV773" i="93"/>
  <c r="DN773" i="93"/>
  <c r="DF773" i="93"/>
  <c r="IZ773" i="93"/>
  <c r="ER773" i="93"/>
  <c r="EB773" i="93"/>
  <c r="DL773" i="93"/>
  <c r="IY773" i="93"/>
  <c r="EQ773" i="93"/>
  <c r="EA773" i="93"/>
  <c r="DK773" i="93"/>
  <c r="IX773" i="93"/>
  <c r="EP773" i="93"/>
  <c r="DZ773" i="93"/>
  <c r="DJ773" i="93"/>
  <c r="IW773" i="93"/>
  <c r="EO773" i="93"/>
  <c r="DY773" i="93"/>
  <c r="DI773" i="93"/>
  <c r="JH773" i="93"/>
  <c r="IR773" i="93"/>
  <c r="EJ773" i="93"/>
  <c r="DT773" i="93"/>
  <c r="DD773" i="93"/>
  <c r="JG773" i="93"/>
  <c r="IQ773" i="93"/>
  <c r="EI773" i="93"/>
  <c r="JN775" i="93"/>
  <c r="JF775" i="93"/>
  <c r="IX775" i="93"/>
  <c r="IP775" i="93"/>
  <c r="HZ775" i="93"/>
  <c r="HR775" i="93"/>
  <c r="HJ775" i="93"/>
  <c r="HB775" i="93"/>
  <c r="GT775" i="93"/>
  <c r="GL775" i="93"/>
  <c r="GD775" i="93"/>
  <c r="FV775" i="93"/>
  <c r="FN775" i="93"/>
  <c r="FF775" i="93"/>
  <c r="EX775" i="93"/>
  <c r="EP775" i="93"/>
  <c r="EH775" i="93"/>
  <c r="DZ775" i="93"/>
  <c r="DR775" i="93"/>
  <c r="DJ775" i="93"/>
  <c r="DB775" i="93"/>
  <c r="CT775" i="93"/>
  <c r="CL775" i="93"/>
  <c r="CD775" i="93"/>
  <c r="BV775" i="93"/>
  <c r="BN775" i="93"/>
  <c r="BF775" i="93"/>
  <c r="AX775" i="93"/>
  <c r="AP775" i="93"/>
  <c r="AH775" i="93"/>
  <c r="Z775" i="93"/>
  <c r="JM775" i="93"/>
  <c r="JE775" i="93"/>
  <c r="IW775" i="93"/>
  <c r="IO775" i="93"/>
  <c r="HY775" i="93"/>
  <c r="HQ775" i="93"/>
  <c r="HI775" i="93"/>
  <c r="HA775" i="93"/>
  <c r="GS775" i="93"/>
  <c r="GK775" i="93"/>
  <c r="GC775" i="93"/>
  <c r="FU775" i="93"/>
  <c r="FM775" i="93"/>
  <c r="FE775" i="93"/>
  <c r="EW775" i="93"/>
  <c r="EO775" i="93"/>
  <c r="EG775" i="93"/>
  <c r="DY775" i="93"/>
  <c r="DQ775" i="93"/>
  <c r="DI775" i="93"/>
  <c r="DA775" i="93"/>
  <c r="CS775" i="93"/>
  <c r="CK775" i="93"/>
  <c r="CC775" i="93"/>
  <c r="BU775" i="93"/>
  <c r="BM775" i="93"/>
  <c r="BE775" i="93"/>
  <c r="AW775" i="93"/>
  <c r="AO775" i="93"/>
  <c r="AG775" i="93"/>
  <c r="Y775" i="93"/>
  <c r="JL775" i="93"/>
  <c r="JD775" i="93"/>
  <c r="IV775" i="93"/>
  <c r="IN775" i="93"/>
  <c r="HX775" i="93"/>
  <c r="HP775" i="93"/>
  <c r="HH775" i="93"/>
  <c r="GZ775" i="93"/>
  <c r="GR775" i="93"/>
  <c r="GJ775" i="93"/>
  <c r="GB775" i="93"/>
  <c r="FT775" i="93"/>
  <c r="FL775" i="93"/>
  <c r="FD775" i="93"/>
  <c r="EV775" i="93"/>
  <c r="EN775" i="93"/>
  <c r="EF775" i="93"/>
  <c r="DX775" i="93"/>
  <c r="DP775" i="93"/>
  <c r="DH775" i="93"/>
  <c r="CZ775" i="93"/>
  <c r="CR775" i="93"/>
  <c r="CJ775" i="93"/>
  <c r="CB775" i="93"/>
  <c r="BT775" i="93"/>
  <c r="BL775" i="93"/>
  <c r="BD775" i="93"/>
  <c r="AV775" i="93"/>
  <c r="AN775" i="93"/>
  <c r="AF775" i="93"/>
  <c r="X775" i="93"/>
  <c r="JK775" i="93"/>
  <c r="JC775" i="93"/>
  <c r="IU775" i="93"/>
  <c r="IM775" i="93"/>
  <c r="HW775" i="93"/>
  <c r="HO775" i="93"/>
  <c r="HG775" i="93"/>
  <c r="GY775" i="93"/>
  <c r="GQ775" i="93"/>
  <c r="GI775" i="93"/>
  <c r="GA775" i="93"/>
  <c r="FS775" i="93"/>
  <c r="FK775" i="93"/>
  <c r="FC775" i="93"/>
  <c r="EU775" i="93"/>
  <c r="EM775" i="93"/>
  <c r="EE775" i="93"/>
  <c r="DW775" i="93"/>
  <c r="DO775" i="93"/>
  <c r="DG775" i="93"/>
  <c r="CY775" i="93"/>
  <c r="CQ775" i="93"/>
  <c r="CI775" i="93"/>
  <c r="CA775" i="93"/>
  <c r="BS775" i="93"/>
  <c r="BK775" i="93"/>
  <c r="BC775" i="93"/>
  <c r="AU775" i="93"/>
  <c r="AM775" i="93"/>
  <c r="AE775" i="93"/>
  <c r="W775" i="93"/>
  <c r="JP775" i="93"/>
  <c r="IZ775" i="93"/>
  <c r="IJ775" i="93"/>
  <c r="HT775" i="93"/>
  <c r="HD775" i="93"/>
  <c r="GN775" i="93"/>
  <c r="FX775" i="93"/>
  <c r="FH775" i="93"/>
  <c r="ER775" i="93"/>
  <c r="EB775" i="93"/>
  <c r="DL775" i="93"/>
  <c r="CV775" i="93"/>
  <c r="CF775" i="93"/>
  <c r="BP775" i="93"/>
  <c r="AZ775" i="93"/>
  <c r="AJ775" i="93"/>
  <c r="JO775" i="93"/>
  <c r="IY775" i="93"/>
  <c r="II775" i="93"/>
  <c r="HS775" i="93"/>
  <c r="HC775" i="93"/>
  <c r="GM775" i="93"/>
  <c r="FW775" i="93"/>
  <c r="FG775" i="93"/>
  <c r="EQ775" i="93"/>
  <c r="EA775" i="93"/>
  <c r="DK775" i="93"/>
  <c r="CU775" i="93"/>
  <c r="CE775" i="93"/>
  <c r="BO775" i="93"/>
  <c r="AY775" i="93"/>
  <c r="AI775" i="93"/>
  <c r="JJ775" i="93"/>
  <c r="IT775" i="93"/>
  <c r="HN775" i="93"/>
  <c r="GX775" i="93"/>
  <c r="GH775" i="93"/>
  <c r="FR775" i="93"/>
  <c r="FB775" i="93"/>
  <c r="EL775" i="93"/>
  <c r="DV775" i="93"/>
  <c r="DF775" i="93"/>
  <c r="CP775" i="93"/>
  <c r="BZ775" i="93"/>
  <c r="BJ775" i="93"/>
  <c r="AT775" i="93"/>
  <c r="AD775" i="93"/>
  <c r="JI775" i="93"/>
  <c r="IS775" i="93"/>
  <c r="IC775" i="93"/>
  <c r="HM775" i="93"/>
  <c r="GW775" i="93"/>
  <c r="GG775" i="93"/>
  <c r="FQ775" i="93"/>
  <c r="FA775" i="93"/>
  <c r="EK775" i="93"/>
  <c r="DU775" i="93"/>
  <c r="DE775" i="93"/>
  <c r="CO775" i="93"/>
  <c r="BY775" i="93"/>
  <c r="BI775" i="93"/>
  <c r="AS775" i="93"/>
  <c r="AC775" i="93"/>
  <c r="JH775" i="93"/>
  <c r="IR775" i="93"/>
  <c r="IB775" i="93"/>
  <c r="HL775" i="93"/>
  <c r="GV775" i="93"/>
  <c r="GF775" i="93"/>
  <c r="FP775" i="93"/>
  <c r="EZ775" i="93"/>
  <c r="EJ775" i="93"/>
  <c r="DT775" i="93"/>
  <c r="DD775" i="93"/>
  <c r="CN775" i="93"/>
  <c r="BX775" i="93"/>
  <c r="BH775" i="93"/>
  <c r="AR775" i="93"/>
  <c r="AB775" i="93"/>
  <c r="JG775" i="93"/>
  <c r="IQ775" i="93"/>
  <c r="IA775" i="93"/>
  <c r="HK775" i="93"/>
  <c r="GU775" i="93"/>
  <c r="GE775" i="93"/>
  <c r="FO775" i="93"/>
  <c r="EY775" i="93"/>
  <c r="EI775" i="93"/>
  <c r="DS775" i="93"/>
  <c r="DC775" i="93"/>
  <c r="CM775" i="93"/>
  <c r="BW775" i="93"/>
  <c r="BG775" i="93"/>
  <c r="AQ775" i="93"/>
  <c r="AA775" i="93"/>
  <c r="AL775" i="93"/>
  <c r="CX775" i="93"/>
  <c r="FJ775" i="93"/>
  <c r="HV775" i="93"/>
  <c r="BP780" i="93"/>
  <c r="EW780" i="93"/>
  <c r="IO780" i="93"/>
  <c r="CA786" i="93"/>
  <c r="L354" i="93"/>
  <c r="J453" i="93"/>
  <c r="M474" i="93"/>
  <c r="F473" i="93"/>
  <c r="DK768" i="93"/>
  <c r="EL768" i="93"/>
  <c r="A769" i="93"/>
  <c r="AI769" i="93"/>
  <c r="BI769" i="93"/>
  <c r="CH769" i="93"/>
  <c r="DK769" i="93"/>
  <c r="EU769" i="93"/>
  <c r="AH770" i="93"/>
  <c r="BQ770" i="93"/>
  <c r="CU770" i="93"/>
  <c r="EF770" i="93"/>
  <c r="FP770" i="93"/>
  <c r="GT770" i="93"/>
  <c r="IC770" i="93"/>
  <c r="JO770" i="93"/>
  <c r="AS772" i="93"/>
  <c r="JK773" i="93"/>
  <c r="BX774" i="93"/>
  <c r="DC774" i="93"/>
  <c r="BW774" i="93"/>
  <c r="IM774" i="93"/>
  <c r="CY774" i="93"/>
  <c r="CI774" i="93"/>
  <c r="BS774" i="93"/>
  <c r="BC774" i="93"/>
  <c r="AM774" i="93"/>
  <c r="W774" i="93"/>
  <c r="IL774" i="93"/>
  <c r="CX774" i="93"/>
  <c r="CH774" i="93"/>
  <c r="BR774" i="93"/>
  <c r="BB774" i="93"/>
  <c r="AL774" i="93"/>
  <c r="IG774" i="93"/>
  <c r="CS774" i="93"/>
  <c r="CC774" i="93"/>
  <c r="BM774" i="93"/>
  <c r="AW774" i="93"/>
  <c r="AG774" i="93"/>
  <c r="IF774" i="93"/>
  <c r="CR774" i="93"/>
  <c r="CB774" i="93"/>
  <c r="BL774" i="93"/>
  <c r="AV774" i="93"/>
  <c r="AF774" i="93"/>
  <c r="IE774" i="93"/>
  <c r="CQ774" i="93"/>
  <c r="CA774" i="93"/>
  <c r="BK774" i="93"/>
  <c r="AU774" i="93"/>
  <c r="AE774" i="93"/>
  <c r="IT774" i="93"/>
  <c r="ID774" i="93"/>
  <c r="EL774" i="93"/>
  <c r="DV774" i="93"/>
  <c r="DF774" i="93"/>
  <c r="CP774" i="93"/>
  <c r="BZ774" i="93"/>
  <c r="BJ774" i="93"/>
  <c r="AT774" i="93"/>
  <c r="AD774" i="93"/>
  <c r="AN774" i="93"/>
  <c r="CZ774" i="93"/>
  <c r="BA775" i="93"/>
  <c r="DM775" i="93"/>
  <c r="FY775" i="93"/>
  <c r="IK775" i="93"/>
  <c r="A778" i="93"/>
  <c r="CJ780" i="93"/>
  <c r="FQ780" i="93"/>
  <c r="JJ780" i="93"/>
  <c r="DD786" i="93"/>
  <c r="V568" i="93"/>
  <c r="A539" i="93"/>
  <c r="J582" i="93"/>
  <c r="J586" i="93" s="1"/>
  <c r="JI767" i="93"/>
  <c r="IW767" i="93"/>
  <c r="EK767" i="93"/>
  <c r="DY767" i="93"/>
  <c r="DL767" i="93"/>
  <c r="JB767" i="93"/>
  <c r="IQ767" i="93"/>
  <c r="DE767" i="93"/>
  <c r="EB767" i="93"/>
  <c r="ET767" i="93"/>
  <c r="IZ767" i="93"/>
  <c r="DN768" i="93"/>
  <c r="EN768" i="93"/>
  <c r="AK769" i="93"/>
  <c r="BJ769" i="93"/>
  <c r="CI769" i="93"/>
  <c r="DU769" i="93"/>
  <c r="EV769" i="93"/>
  <c r="GH769" i="93"/>
  <c r="HS769" i="93"/>
  <c r="IU769" i="93"/>
  <c r="AI770" i="93"/>
  <c r="BT770" i="93"/>
  <c r="DD770" i="93"/>
  <c r="EH770" i="93"/>
  <c r="FQ770" i="93"/>
  <c r="HC770" i="93"/>
  <c r="IF770" i="93"/>
  <c r="JP770" i="93"/>
  <c r="CN772" i="93"/>
  <c r="DV772" i="93"/>
  <c r="IT772" i="93"/>
  <c r="AO774" i="93"/>
  <c r="DA774" i="93"/>
  <c r="BB775" i="93"/>
  <c r="DN775" i="93"/>
  <c r="FZ775" i="93"/>
  <c r="IL775" i="93"/>
  <c r="CK780" i="93"/>
  <c r="FS780" i="93"/>
  <c r="JM780" i="93"/>
  <c r="DP786" i="93"/>
  <c r="IB774" i="93"/>
  <c r="HT774" i="93"/>
  <c r="HL774" i="93"/>
  <c r="HD774" i="93"/>
  <c r="GV774" i="93"/>
  <c r="GN774" i="93"/>
  <c r="GF774" i="93"/>
  <c r="FX774" i="93"/>
  <c r="FP774" i="93"/>
  <c r="FH774" i="93"/>
  <c r="EZ774" i="93"/>
  <c r="IA774" i="93"/>
  <c r="HS774" i="93"/>
  <c r="HK774" i="93"/>
  <c r="HC774" i="93"/>
  <c r="GU774" i="93"/>
  <c r="GM774" i="93"/>
  <c r="GE774" i="93"/>
  <c r="FW774" i="93"/>
  <c r="FO774" i="93"/>
  <c r="FG774" i="93"/>
  <c r="EY774" i="93"/>
  <c r="FB774" i="93"/>
  <c r="FR774" i="93"/>
  <c r="GH774" i="93"/>
  <c r="GX774" i="93"/>
  <c r="HN774" i="93"/>
  <c r="JJ774" i="93"/>
  <c r="DB779" i="93"/>
  <c r="BV779" i="93"/>
  <c r="CZ779" i="93"/>
  <c r="Z779" i="93"/>
  <c r="AU779" i="93"/>
  <c r="BP779" i="93"/>
  <c r="CL779" i="93"/>
  <c r="DG779" i="93"/>
  <c r="EB779" i="93"/>
  <c r="EX779" i="93"/>
  <c r="FS779" i="93"/>
  <c r="GN779" i="93"/>
  <c r="IE779" i="93"/>
  <c r="IZ779" i="93"/>
  <c r="CX781" i="93"/>
  <c r="X781" i="93"/>
  <c r="AV781" i="93"/>
  <c r="BU781" i="93"/>
  <c r="CS781" i="93"/>
  <c r="DQ781" i="93"/>
  <c r="EP781" i="93"/>
  <c r="Y785" i="93"/>
  <c r="BK785" i="93"/>
  <c r="CY785" i="93"/>
  <c r="EN785" i="93"/>
  <c r="JO772" i="93"/>
  <c r="JG772" i="93"/>
  <c r="IY772" i="93"/>
  <c r="IQ772" i="93"/>
  <c r="II772" i="93"/>
  <c r="IA772" i="93"/>
  <c r="HS772" i="93"/>
  <c r="HK772" i="93"/>
  <c r="HC772" i="93"/>
  <c r="GU772" i="93"/>
  <c r="GM772" i="93"/>
  <c r="GE772" i="93"/>
  <c r="FW772" i="93"/>
  <c r="FO772" i="93"/>
  <c r="FG772" i="93"/>
  <c r="EY772" i="93"/>
  <c r="EQ772" i="93"/>
  <c r="EI772" i="93"/>
  <c r="EA772" i="93"/>
  <c r="DS772" i="93"/>
  <c r="DK772" i="93"/>
  <c r="DC772" i="93"/>
  <c r="CU772" i="93"/>
  <c r="CM772" i="93"/>
  <c r="CE772" i="93"/>
  <c r="BW772" i="93"/>
  <c r="BO772" i="93"/>
  <c r="BG772" i="93"/>
  <c r="AY772" i="93"/>
  <c r="AQ772" i="93"/>
  <c r="AI772" i="93"/>
  <c r="AA772" i="93"/>
  <c r="JN772" i="93"/>
  <c r="JF772" i="93"/>
  <c r="IX772" i="93"/>
  <c r="IP772" i="93"/>
  <c r="HZ772" i="93"/>
  <c r="HR772" i="93"/>
  <c r="HJ772" i="93"/>
  <c r="HB772" i="93"/>
  <c r="GT772" i="93"/>
  <c r="GL772" i="93"/>
  <c r="GD772" i="93"/>
  <c r="FV772" i="93"/>
  <c r="FN772" i="93"/>
  <c r="FF772" i="93"/>
  <c r="EX772" i="93"/>
  <c r="EP772" i="93"/>
  <c r="EH772" i="93"/>
  <c r="DZ772" i="93"/>
  <c r="DR772" i="93"/>
  <c r="DJ772" i="93"/>
  <c r="DB772" i="93"/>
  <c r="CT772" i="93"/>
  <c r="CL772" i="93"/>
  <c r="CD772" i="93"/>
  <c r="BV772" i="93"/>
  <c r="BN772" i="93"/>
  <c r="BF772" i="93"/>
  <c r="JM772" i="93"/>
  <c r="JE772" i="93"/>
  <c r="IW772" i="93"/>
  <c r="IO772" i="93"/>
  <c r="HY772" i="93"/>
  <c r="HQ772" i="93"/>
  <c r="HI772" i="93"/>
  <c r="HA772" i="93"/>
  <c r="GS772" i="93"/>
  <c r="GK772" i="93"/>
  <c r="GC772" i="93"/>
  <c r="FU772" i="93"/>
  <c r="FM772" i="93"/>
  <c r="FE772" i="93"/>
  <c r="EW772" i="93"/>
  <c r="EO772" i="93"/>
  <c r="EG772" i="93"/>
  <c r="DY772" i="93"/>
  <c r="DQ772" i="93"/>
  <c r="DI772" i="93"/>
  <c r="DA772" i="93"/>
  <c r="CS772" i="93"/>
  <c r="CK772" i="93"/>
  <c r="CC772" i="93"/>
  <c r="BU772" i="93"/>
  <c r="BM772" i="93"/>
  <c r="BE772" i="93"/>
  <c r="AW772" i="93"/>
  <c r="AO772" i="93"/>
  <c r="AG772" i="93"/>
  <c r="Y772" i="93"/>
  <c r="JL772" i="93"/>
  <c r="JD772" i="93"/>
  <c r="IV772" i="93"/>
  <c r="IN772" i="93"/>
  <c r="HX772" i="93"/>
  <c r="HP772" i="93"/>
  <c r="HH772" i="93"/>
  <c r="GZ772" i="93"/>
  <c r="GR772" i="93"/>
  <c r="GJ772" i="93"/>
  <c r="GB772" i="93"/>
  <c r="FT772" i="93"/>
  <c r="FL772" i="93"/>
  <c r="FD772" i="93"/>
  <c r="EV772" i="93"/>
  <c r="EN772" i="93"/>
  <c r="EF772" i="93"/>
  <c r="DX772" i="93"/>
  <c r="DP772" i="93"/>
  <c r="DH772" i="93"/>
  <c r="CZ772" i="93"/>
  <c r="CR772" i="93"/>
  <c r="CJ772" i="93"/>
  <c r="CB772" i="93"/>
  <c r="BT772" i="93"/>
  <c r="BL772" i="93"/>
  <c r="BD772" i="93"/>
  <c r="AV772" i="93"/>
  <c r="AN772" i="93"/>
  <c r="AF772" i="93"/>
  <c r="X772" i="93"/>
  <c r="W772" i="93"/>
  <c r="AK772" i="93"/>
  <c r="AX772" i="93"/>
  <c r="BK772" i="93"/>
  <c r="CA772" i="93"/>
  <c r="CQ772" i="93"/>
  <c r="DG772" i="93"/>
  <c r="DW772" i="93"/>
  <c r="EM772" i="93"/>
  <c r="FC772" i="93"/>
  <c r="FS772" i="93"/>
  <c r="GI772" i="93"/>
  <c r="GY772" i="93"/>
  <c r="HO772" i="93"/>
  <c r="IU772" i="93"/>
  <c r="JK772" i="93"/>
  <c r="HW773" i="93"/>
  <c r="HO773" i="93"/>
  <c r="HG773" i="93"/>
  <c r="GY773" i="93"/>
  <c r="GQ773" i="93"/>
  <c r="GI773" i="93"/>
  <c r="GA773" i="93"/>
  <c r="FS773" i="93"/>
  <c r="FK773" i="93"/>
  <c r="FC773" i="93"/>
  <c r="HV773" i="93"/>
  <c r="HN773" i="93"/>
  <c r="HF773" i="93"/>
  <c r="GX773" i="93"/>
  <c r="GP773" i="93"/>
  <c r="GH773" i="93"/>
  <c r="FZ773" i="93"/>
  <c r="FR773" i="93"/>
  <c r="FJ773" i="93"/>
  <c r="FB773" i="93"/>
  <c r="FP773" i="93"/>
  <c r="GF773" i="93"/>
  <c r="GV773" i="93"/>
  <c r="HL773" i="93"/>
  <c r="IB773" i="93"/>
  <c r="JP774" i="93"/>
  <c r="JH774" i="93"/>
  <c r="JO774" i="93"/>
  <c r="JG774" i="93"/>
  <c r="A774" i="93"/>
  <c r="IZ774" i="93"/>
  <c r="IR774" i="93"/>
  <c r="ER774" i="93"/>
  <c r="EJ774" i="93"/>
  <c r="EB774" i="93"/>
  <c r="DT774" i="93"/>
  <c r="DL774" i="93"/>
  <c r="DD774" i="93"/>
  <c r="IY774" i="93"/>
  <c r="IQ774" i="93"/>
  <c r="EQ774" i="93"/>
  <c r="EI774" i="93"/>
  <c r="EA774" i="93"/>
  <c r="DS774" i="93"/>
  <c r="DK774" i="93"/>
  <c r="DG774" i="93"/>
  <c r="DW774" i="93"/>
  <c r="EM774" i="93"/>
  <c r="FC774" i="93"/>
  <c r="FS774" i="93"/>
  <c r="GI774" i="93"/>
  <c r="GY774" i="93"/>
  <c r="HO774" i="93"/>
  <c r="IU774" i="93"/>
  <c r="JK774" i="93"/>
  <c r="HZ779" i="93"/>
  <c r="HO779" i="93"/>
  <c r="HD779" i="93"/>
  <c r="GT779" i="93"/>
  <c r="GI779" i="93"/>
  <c r="FX779" i="93"/>
  <c r="FN779" i="93"/>
  <c r="FC779" i="93"/>
  <c r="HX779" i="93"/>
  <c r="HM779" i="93"/>
  <c r="HC779" i="93"/>
  <c r="GR779" i="93"/>
  <c r="GG779" i="93"/>
  <c r="FW779" i="93"/>
  <c r="FL779" i="93"/>
  <c r="FA779" i="93"/>
  <c r="AA779" i="93"/>
  <c r="AV779" i="93"/>
  <c r="BQ779" i="93"/>
  <c r="CM779" i="93"/>
  <c r="DH779" i="93"/>
  <c r="EC779" i="93"/>
  <c r="EY779" i="93"/>
  <c r="FT779" i="93"/>
  <c r="GO779" i="93"/>
  <c r="HK779" i="93"/>
  <c r="IF779" i="93"/>
  <c r="JA779" i="93"/>
  <c r="A780" i="93"/>
  <c r="DC781" i="93"/>
  <c r="CZ781" i="93"/>
  <c r="BX781" i="93"/>
  <c r="DB781" i="93"/>
  <c r="IQ781" i="93"/>
  <c r="IE781" i="93"/>
  <c r="EL781" i="93"/>
  <c r="DY781" i="93"/>
  <c r="DN781" i="93"/>
  <c r="DA781" i="93"/>
  <c r="CN781" i="93"/>
  <c r="CC781" i="93"/>
  <c r="BP781" i="93"/>
  <c r="BD781" i="93"/>
  <c r="AR781" i="93"/>
  <c r="AF781" i="93"/>
  <c r="JB781" i="93"/>
  <c r="IO781" i="93"/>
  <c r="ID781" i="93"/>
  <c r="EV781" i="93"/>
  <c r="EI781" i="93"/>
  <c r="DX781" i="93"/>
  <c r="DK781" i="93"/>
  <c r="CY781" i="93"/>
  <c r="CM781" i="93"/>
  <c r="CA781" i="93"/>
  <c r="BN781" i="93"/>
  <c r="BC781" i="93"/>
  <c r="AP781" i="93"/>
  <c r="AD781" i="93"/>
  <c r="Z781" i="93"/>
  <c r="AX781" i="93"/>
  <c r="BV781" i="93"/>
  <c r="CU781" i="93"/>
  <c r="DS781" i="93"/>
  <c r="EQ781" i="93"/>
  <c r="IL781" i="93"/>
  <c r="IH785" i="93"/>
  <c r="DA785" i="93"/>
  <c r="CR785" i="93"/>
  <c r="CI785" i="93"/>
  <c r="BZ785" i="93"/>
  <c r="BQ785" i="93"/>
  <c r="BG785" i="93"/>
  <c r="AX785" i="93"/>
  <c r="AO785" i="93"/>
  <c r="AF785" i="93"/>
  <c r="W785" i="93"/>
  <c r="IS785" i="93"/>
  <c r="IE785" i="93"/>
  <c r="EM785" i="93"/>
  <c r="DY785" i="93"/>
  <c r="DN785" i="93"/>
  <c r="DB785" i="93"/>
  <c r="CO785" i="93"/>
  <c r="CC785" i="93"/>
  <c r="BR785" i="93"/>
  <c r="BD785" i="93"/>
  <c r="AS785" i="93"/>
  <c r="AG785" i="93"/>
  <c r="JB785" i="93"/>
  <c r="IN785" i="93"/>
  <c r="EV785" i="93"/>
  <c r="EH785" i="93"/>
  <c r="DW785" i="93"/>
  <c r="DK785" i="93"/>
  <c r="CX785" i="93"/>
  <c r="CL785" i="93"/>
  <c r="CA785" i="93"/>
  <c r="BM785" i="93"/>
  <c r="BB785" i="93"/>
  <c r="AP785" i="93"/>
  <c r="AC785" i="93"/>
  <c r="IM785" i="93"/>
  <c r="CW785" i="93"/>
  <c r="CK785" i="93"/>
  <c r="BW785" i="93"/>
  <c r="BL785" i="93"/>
  <c r="BA785" i="93"/>
  <c r="AM785" i="93"/>
  <c r="AA785" i="93"/>
  <c r="IU785" i="93"/>
  <c r="EF785" i="93"/>
  <c r="DO785" i="93"/>
  <c r="CT785" i="93"/>
  <c r="CB785" i="93"/>
  <c r="BI785" i="93"/>
  <c r="AL785" i="93"/>
  <c r="IT785" i="93"/>
  <c r="EE785" i="93"/>
  <c r="DM785" i="93"/>
  <c r="CS785" i="93"/>
  <c r="BV785" i="93"/>
  <c r="BE785" i="93"/>
  <c r="AK785" i="93"/>
  <c r="IO785" i="93"/>
  <c r="ED785" i="93"/>
  <c r="DG785" i="93"/>
  <c r="CP785" i="93"/>
  <c r="BU785" i="93"/>
  <c r="BC785" i="93"/>
  <c r="AI785" i="93"/>
  <c r="IL785" i="93"/>
  <c r="EQ785" i="93"/>
  <c r="DZ785" i="93"/>
  <c r="DF785" i="93"/>
  <c r="CM785" i="93"/>
  <c r="BT785" i="93"/>
  <c r="AY785" i="93"/>
  <c r="AH785" i="93"/>
  <c r="Z785" i="93"/>
  <c r="BN785" i="93"/>
  <c r="DC785" i="93"/>
  <c r="EO785" i="93"/>
  <c r="IG789" i="93"/>
  <c r="IF789" i="93"/>
  <c r="ID789" i="93"/>
  <c r="IH789" i="93"/>
  <c r="CJ789" i="93"/>
  <c r="AG789" i="93"/>
  <c r="IW789" i="93"/>
  <c r="IE789" i="93"/>
  <c r="EL789" i="93"/>
  <c r="DS789" i="93"/>
  <c r="CC789" i="93"/>
  <c r="AC789" i="93"/>
  <c r="CB789" i="93"/>
  <c r="AB789" i="93"/>
  <c r="ED789" i="93"/>
  <c r="CR789" i="93"/>
  <c r="W789" i="93"/>
  <c r="EC789" i="93"/>
  <c r="CO789" i="93"/>
  <c r="BB789" i="93"/>
  <c r="IS789" i="93"/>
  <c r="DV789" i="93"/>
  <c r="CL789" i="93"/>
  <c r="BA789" i="93"/>
  <c r="IQ789" i="93"/>
  <c r="DM789" i="93"/>
  <c r="CK789" i="93"/>
  <c r="AZ789" i="93"/>
  <c r="AK789" i="93"/>
  <c r="S463" i="93"/>
  <c r="P469" i="93"/>
  <c r="G500" i="93"/>
  <c r="A498" i="93"/>
  <c r="U498" i="93"/>
  <c r="J513" i="93"/>
  <c r="U565" i="93"/>
  <c r="I730" i="93"/>
  <c r="JN767" i="93"/>
  <c r="JF767" i="93"/>
  <c r="IX767" i="93"/>
  <c r="IP767" i="93"/>
  <c r="HZ767" i="93"/>
  <c r="HR767" i="93"/>
  <c r="HJ767" i="93"/>
  <c r="HB767" i="93"/>
  <c r="GT767" i="93"/>
  <c r="GL767" i="93"/>
  <c r="GD767" i="93"/>
  <c r="FV767" i="93"/>
  <c r="FN767" i="93"/>
  <c r="FF767" i="93"/>
  <c r="EX767" i="93"/>
  <c r="EP767" i="93"/>
  <c r="EH767" i="93"/>
  <c r="DZ767" i="93"/>
  <c r="DR767" i="93"/>
  <c r="DJ767" i="93"/>
  <c r="DB767" i="93"/>
  <c r="CT767" i="93"/>
  <c r="CL767" i="93"/>
  <c r="CD767" i="93"/>
  <c r="BV767" i="93"/>
  <c r="BN767" i="93"/>
  <c r="BF767" i="93"/>
  <c r="AX767" i="93"/>
  <c r="AP767" i="93"/>
  <c r="AH767" i="93"/>
  <c r="Z767" i="93"/>
  <c r="JL767" i="93"/>
  <c r="JD767" i="93"/>
  <c r="IV767" i="93"/>
  <c r="IN767" i="93"/>
  <c r="HX767" i="93"/>
  <c r="HP767" i="93"/>
  <c r="HH767" i="93"/>
  <c r="GZ767" i="93"/>
  <c r="GR767" i="93"/>
  <c r="GJ767" i="93"/>
  <c r="GB767" i="93"/>
  <c r="FT767" i="93"/>
  <c r="FL767" i="93"/>
  <c r="FD767" i="93"/>
  <c r="EV767" i="93"/>
  <c r="EN767" i="93"/>
  <c r="EF767" i="93"/>
  <c r="DX767" i="93"/>
  <c r="DP767" i="93"/>
  <c r="DH767" i="93"/>
  <c r="CZ767" i="93"/>
  <c r="CR767" i="93"/>
  <c r="CJ767" i="93"/>
  <c r="CB767" i="93"/>
  <c r="BT767" i="93"/>
  <c r="BL767" i="93"/>
  <c r="BD767" i="93"/>
  <c r="AV767" i="93"/>
  <c r="AN767" i="93"/>
  <c r="AF767" i="93"/>
  <c r="X767" i="93"/>
  <c r="JK767" i="93"/>
  <c r="JC767" i="93"/>
  <c r="IU767" i="93"/>
  <c r="IM767" i="93"/>
  <c r="HW767" i="93"/>
  <c r="HO767" i="93"/>
  <c r="HG767" i="93"/>
  <c r="GY767" i="93"/>
  <c r="GQ767" i="93"/>
  <c r="GI767" i="93"/>
  <c r="GA767" i="93"/>
  <c r="FS767" i="93"/>
  <c r="FK767" i="93"/>
  <c r="FC767" i="93"/>
  <c r="EU767" i="93"/>
  <c r="EM767" i="93"/>
  <c r="EE767" i="93"/>
  <c r="DW767" i="93"/>
  <c r="DO767" i="93"/>
  <c r="DG767" i="93"/>
  <c r="CY767" i="93"/>
  <c r="CQ767" i="93"/>
  <c r="CI767" i="93"/>
  <c r="CA767" i="93"/>
  <c r="BS767" i="93"/>
  <c r="BK767" i="93"/>
  <c r="BC767" i="93"/>
  <c r="AU767" i="93"/>
  <c r="AM767" i="93"/>
  <c r="AE767" i="93"/>
  <c r="W767" i="93"/>
  <c r="AI767" i="93"/>
  <c r="AT767" i="93"/>
  <c r="BH767" i="93"/>
  <c r="BU767" i="93"/>
  <c r="CG767" i="93"/>
  <c r="CU767" i="93"/>
  <c r="DF767" i="93"/>
  <c r="DT767" i="93"/>
  <c r="EG767" i="93"/>
  <c r="ES767" i="93"/>
  <c r="FG767" i="93"/>
  <c r="FR767" i="93"/>
  <c r="GF767" i="93"/>
  <c r="GS767" i="93"/>
  <c r="HE767" i="93"/>
  <c r="HS767" i="93"/>
  <c r="IR767" i="93"/>
  <c r="JE767" i="93"/>
  <c r="JQ767" i="93"/>
  <c r="K768" i="93"/>
  <c r="L768" i="93" s="1"/>
  <c r="L770" i="93"/>
  <c r="JJ771" i="93"/>
  <c r="JB771" i="93"/>
  <c r="IT771" i="93"/>
  <c r="IL771" i="93"/>
  <c r="HV771" i="93"/>
  <c r="HN771" i="93"/>
  <c r="HF771" i="93"/>
  <c r="GX771" i="93"/>
  <c r="GP771" i="93"/>
  <c r="GH771" i="93"/>
  <c r="FZ771" i="93"/>
  <c r="FR771" i="93"/>
  <c r="FJ771" i="93"/>
  <c r="FB771" i="93"/>
  <c r="ET771" i="93"/>
  <c r="EL771" i="93"/>
  <c r="ED771" i="93"/>
  <c r="DV771" i="93"/>
  <c r="DN771" i="93"/>
  <c r="DF771" i="93"/>
  <c r="CX771" i="93"/>
  <c r="CP771" i="93"/>
  <c r="CH771" i="93"/>
  <c r="BZ771" i="93"/>
  <c r="BR771" i="93"/>
  <c r="BJ771" i="93"/>
  <c r="BB771" i="93"/>
  <c r="AT771" i="93"/>
  <c r="AL771" i="93"/>
  <c r="AD771" i="93"/>
  <c r="JP771" i="93"/>
  <c r="JH771" i="93"/>
  <c r="IZ771" i="93"/>
  <c r="IR771" i="93"/>
  <c r="IJ771" i="93"/>
  <c r="IB771" i="93"/>
  <c r="HT771" i="93"/>
  <c r="HL771" i="93"/>
  <c r="HD771" i="93"/>
  <c r="GV771" i="93"/>
  <c r="GN771" i="93"/>
  <c r="GF771" i="93"/>
  <c r="FX771" i="93"/>
  <c r="FP771" i="93"/>
  <c r="FH771" i="93"/>
  <c r="EZ771" i="93"/>
  <c r="ER771" i="93"/>
  <c r="EJ771" i="93"/>
  <c r="EB771" i="93"/>
  <c r="DT771" i="93"/>
  <c r="DL771" i="93"/>
  <c r="DD771" i="93"/>
  <c r="CV771" i="93"/>
  <c r="CN771" i="93"/>
  <c r="CF771" i="93"/>
  <c r="BX771" i="93"/>
  <c r="BP771" i="93"/>
  <c r="BH771" i="93"/>
  <c r="AZ771" i="93"/>
  <c r="AR771" i="93"/>
  <c r="AJ771" i="93"/>
  <c r="AB771" i="93"/>
  <c r="JO771" i="93"/>
  <c r="JG771" i="93"/>
  <c r="IY771" i="93"/>
  <c r="IQ771" i="93"/>
  <c r="II771" i="93"/>
  <c r="IA771" i="93"/>
  <c r="HS771" i="93"/>
  <c r="HK771" i="93"/>
  <c r="HC771" i="93"/>
  <c r="GU771" i="93"/>
  <c r="GM771" i="93"/>
  <c r="GE771" i="93"/>
  <c r="FW771" i="93"/>
  <c r="FO771" i="93"/>
  <c r="FG771" i="93"/>
  <c r="EY771" i="93"/>
  <c r="EQ771" i="93"/>
  <c r="EI771" i="93"/>
  <c r="EA771" i="93"/>
  <c r="DS771" i="93"/>
  <c r="DK771" i="93"/>
  <c r="DC771" i="93"/>
  <c r="CU771" i="93"/>
  <c r="CM771" i="93"/>
  <c r="CE771" i="93"/>
  <c r="BW771" i="93"/>
  <c r="BO771" i="93"/>
  <c r="BG771" i="93"/>
  <c r="AY771" i="93"/>
  <c r="AQ771" i="93"/>
  <c r="AI771" i="93"/>
  <c r="AA771" i="93"/>
  <c r="Y771" i="93"/>
  <c r="AM771" i="93"/>
  <c r="AX771" i="93"/>
  <c r="BL771" i="93"/>
  <c r="BY771" i="93"/>
  <c r="CK771" i="93"/>
  <c r="CY771" i="93"/>
  <c r="DJ771" i="93"/>
  <c r="DX771" i="93"/>
  <c r="EK771" i="93"/>
  <c r="EW771" i="93"/>
  <c r="FK771" i="93"/>
  <c r="FV771" i="93"/>
  <c r="GJ771" i="93"/>
  <c r="GW771" i="93"/>
  <c r="HI771" i="93"/>
  <c r="HW771" i="93"/>
  <c r="IH771" i="93"/>
  <c r="IV771" i="93"/>
  <c r="JI771" i="93"/>
  <c r="Z772" i="93"/>
  <c r="AL772" i="93"/>
  <c r="AZ772" i="93"/>
  <c r="BP772" i="93"/>
  <c r="CF772" i="93"/>
  <c r="CV772" i="93"/>
  <c r="DL772" i="93"/>
  <c r="EB772" i="93"/>
  <c r="ER772" i="93"/>
  <c r="FH772" i="93"/>
  <c r="FX772" i="93"/>
  <c r="GN772" i="93"/>
  <c r="HD772" i="93"/>
  <c r="HT772" i="93"/>
  <c r="IJ772" i="93"/>
  <c r="IZ772" i="93"/>
  <c r="JP772" i="93"/>
  <c r="AG773" i="93"/>
  <c r="AW773" i="93"/>
  <c r="BM773" i="93"/>
  <c r="CC773" i="93"/>
  <c r="CS773" i="93"/>
  <c r="FE773" i="93"/>
  <c r="FU773" i="93"/>
  <c r="GK773" i="93"/>
  <c r="HA773" i="93"/>
  <c r="HQ773" i="93"/>
  <c r="IG773" i="93"/>
  <c r="JM773" i="93"/>
  <c r="DH774" i="93"/>
  <c r="DX774" i="93"/>
  <c r="EN774" i="93"/>
  <c r="FD774" i="93"/>
  <c r="FT774" i="93"/>
  <c r="GJ774" i="93"/>
  <c r="GZ774" i="93"/>
  <c r="HP774" i="93"/>
  <c r="IV774" i="93"/>
  <c r="JL774" i="93"/>
  <c r="JI776" i="93"/>
  <c r="HY776" i="93"/>
  <c r="HP776" i="93"/>
  <c r="HF776" i="93"/>
  <c r="GW776" i="93"/>
  <c r="GN776" i="93"/>
  <c r="GE776" i="93"/>
  <c r="FV776" i="93"/>
  <c r="FM776" i="93"/>
  <c r="FD776" i="93"/>
  <c r="EX776" i="93"/>
  <c r="FP776" i="93"/>
  <c r="GH776" i="93"/>
  <c r="HA776" i="93"/>
  <c r="HS776" i="93"/>
  <c r="FB777" i="93"/>
  <c r="FW777" i="93"/>
  <c r="GS777" i="93"/>
  <c r="HN777" i="93"/>
  <c r="JE777" i="93"/>
  <c r="JQ778" i="93"/>
  <c r="FI778" i="93"/>
  <c r="GD778" i="93"/>
  <c r="GY778" i="93"/>
  <c r="HU778" i="93"/>
  <c r="JC778" i="93"/>
  <c r="AH779" i="93"/>
  <c r="BC779" i="93"/>
  <c r="BX779" i="93"/>
  <c r="CT779" i="93"/>
  <c r="DO779" i="93"/>
  <c r="EJ779" i="93"/>
  <c r="FF779" i="93"/>
  <c r="GA779" i="93"/>
  <c r="GV779" i="93"/>
  <c r="HR779" i="93"/>
  <c r="IM779" i="93"/>
  <c r="JH779" i="93"/>
  <c r="IA781" i="93"/>
  <c r="HR781" i="93"/>
  <c r="HI781" i="93"/>
  <c r="GZ781" i="93"/>
  <c r="GQ781" i="93"/>
  <c r="GH781" i="93"/>
  <c r="FX781" i="93"/>
  <c r="FO781" i="93"/>
  <c r="FF781" i="93"/>
  <c r="EW781" i="93"/>
  <c r="HX781" i="93"/>
  <c r="HO781" i="93"/>
  <c r="HF781" i="93"/>
  <c r="GV781" i="93"/>
  <c r="GM781" i="93"/>
  <c r="GD781" i="93"/>
  <c r="FU781" i="93"/>
  <c r="FL781" i="93"/>
  <c r="FC781" i="93"/>
  <c r="HT781" i="93"/>
  <c r="HH781" i="93"/>
  <c r="GU781" i="93"/>
  <c r="GJ781" i="93"/>
  <c r="FW781" i="93"/>
  <c r="FK781" i="93"/>
  <c r="EY781" i="93"/>
  <c r="HS781" i="93"/>
  <c r="HG781" i="93"/>
  <c r="GT781" i="93"/>
  <c r="GI781" i="93"/>
  <c r="FV781" i="93"/>
  <c r="FJ781" i="93"/>
  <c r="EX781" i="93"/>
  <c r="HQ781" i="93"/>
  <c r="HD781" i="93"/>
  <c r="GS781" i="93"/>
  <c r="GF781" i="93"/>
  <c r="FT781" i="93"/>
  <c r="FH781" i="93"/>
  <c r="IB781" i="93"/>
  <c r="HP781" i="93"/>
  <c r="HC781" i="93"/>
  <c r="GR781" i="93"/>
  <c r="GE781" i="93"/>
  <c r="FS781" i="93"/>
  <c r="FG781" i="93"/>
  <c r="AA781" i="93"/>
  <c r="AY781" i="93"/>
  <c r="BW781" i="93"/>
  <c r="CV781" i="93"/>
  <c r="DT781" i="93"/>
  <c r="ER781" i="93"/>
  <c r="FR781" i="93"/>
  <c r="GP781" i="93"/>
  <c r="HN781" i="93"/>
  <c r="IM781" i="93"/>
  <c r="JK781" i="93"/>
  <c r="FK782" i="93"/>
  <c r="GO782" i="93"/>
  <c r="HP782" i="93"/>
  <c r="FJ783" i="93"/>
  <c r="GM783" i="93"/>
  <c r="HQ783" i="93"/>
  <c r="HY785" i="93"/>
  <c r="HP785" i="93"/>
  <c r="HG785" i="93"/>
  <c r="GX785" i="93"/>
  <c r="GO785" i="93"/>
  <c r="GE785" i="93"/>
  <c r="FV785" i="93"/>
  <c r="FM785" i="93"/>
  <c r="FD785" i="93"/>
  <c r="JO785" i="93"/>
  <c r="JD785" i="93"/>
  <c r="HS785" i="93"/>
  <c r="HH785" i="93"/>
  <c r="GT785" i="93"/>
  <c r="GI785" i="93"/>
  <c r="FW785" i="93"/>
  <c r="FJ785" i="93"/>
  <c r="EX785" i="93"/>
  <c r="JM785" i="93"/>
  <c r="IC785" i="93"/>
  <c r="HQ785" i="93"/>
  <c r="HC785" i="93"/>
  <c r="GR785" i="93"/>
  <c r="GG785" i="93"/>
  <c r="FS785" i="93"/>
  <c r="FG785" i="93"/>
  <c r="IA785" i="93"/>
  <c r="HN785" i="93"/>
  <c r="HB785" i="93"/>
  <c r="GQ785" i="93"/>
  <c r="GC785" i="93"/>
  <c r="FR785" i="93"/>
  <c r="FF785" i="93"/>
  <c r="JN785" i="93"/>
  <c r="HZ785" i="93"/>
  <c r="HI785" i="93"/>
  <c r="GL785" i="93"/>
  <c r="FT785" i="93"/>
  <c r="FA785" i="93"/>
  <c r="JK785" i="93"/>
  <c r="HW785" i="93"/>
  <c r="HE785" i="93"/>
  <c r="GK785" i="93"/>
  <c r="FQ785" i="93"/>
  <c r="EY785" i="93"/>
  <c r="JG785" i="93"/>
  <c r="HV785" i="93"/>
  <c r="HA785" i="93"/>
  <c r="GJ785" i="93"/>
  <c r="FO785" i="93"/>
  <c r="EW785" i="93"/>
  <c r="JF785" i="93"/>
  <c r="HU785" i="93"/>
  <c r="GZ785" i="93"/>
  <c r="GH785" i="93"/>
  <c r="FN785" i="93"/>
  <c r="AD785" i="93"/>
  <c r="BS785" i="93"/>
  <c r="DE785" i="93"/>
  <c r="EP785" i="93"/>
  <c r="GB785" i="93"/>
  <c r="HR785" i="93"/>
  <c r="JE785" i="93"/>
  <c r="AV786" i="93"/>
  <c r="CH786" i="93"/>
  <c r="DW786" i="93"/>
  <c r="FR786" i="93"/>
  <c r="HN786" i="93"/>
  <c r="JF786" i="93"/>
  <c r="GI788" i="93"/>
  <c r="AL789" i="93"/>
  <c r="DE789" i="93"/>
  <c r="JJ796" i="93"/>
  <c r="JP796" i="93"/>
  <c r="JO796" i="93"/>
  <c r="A796" i="93"/>
  <c r="JI796" i="93"/>
  <c r="JE796" i="93"/>
  <c r="JC796" i="93"/>
  <c r="JM796" i="93"/>
  <c r="Z771" i="93"/>
  <c r="AN771" i="93"/>
  <c r="BA771" i="93"/>
  <c r="BM771" i="93"/>
  <c r="CA771" i="93"/>
  <c r="CL771" i="93"/>
  <c r="CZ771" i="93"/>
  <c r="DM771" i="93"/>
  <c r="DY771" i="93"/>
  <c r="EM771" i="93"/>
  <c r="EX771" i="93"/>
  <c r="FL771" i="93"/>
  <c r="FY771" i="93"/>
  <c r="GK771" i="93"/>
  <c r="GY771" i="93"/>
  <c r="HJ771" i="93"/>
  <c r="HX771" i="93"/>
  <c r="IK771" i="93"/>
  <c r="IW771" i="93"/>
  <c r="JK771" i="93"/>
  <c r="A772" i="93"/>
  <c r="AB772" i="93"/>
  <c r="AM772" i="93"/>
  <c r="BA772" i="93"/>
  <c r="BQ772" i="93"/>
  <c r="CG772" i="93"/>
  <c r="CW772" i="93"/>
  <c r="DM772" i="93"/>
  <c r="EC772" i="93"/>
  <c r="ES772" i="93"/>
  <c r="FI772" i="93"/>
  <c r="FY772" i="93"/>
  <c r="GO772" i="93"/>
  <c r="HE772" i="93"/>
  <c r="HU772" i="93"/>
  <c r="IK772" i="93"/>
  <c r="JA772" i="93"/>
  <c r="JQ772" i="93"/>
  <c r="AH773" i="93"/>
  <c r="AX773" i="93"/>
  <c r="BN773" i="93"/>
  <c r="CD773" i="93"/>
  <c r="CT773" i="93"/>
  <c r="FF773" i="93"/>
  <c r="FV773" i="93"/>
  <c r="GL773" i="93"/>
  <c r="HB773" i="93"/>
  <c r="HR773" i="93"/>
  <c r="IH773" i="93"/>
  <c r="JN773" i="93"/>
  <c r="DI774" i="93"/>
  <c r="DY774" i="93"/>
  <c r="EO774" i="93"/>
  <c r="FE774" i="93"/>
  <c r="FU774" i="93"/>
  <c r="GK774" i="93"/>
  <c r="HA774" i="93"/>
  <c r="HQ774" i="93"/>
  <c r="IW774" i="93"/>
  <c r="JM774" i="93"/>
  <c r="ID775" i="93"/>
  <c r="IZ776" i="93"/>
  <c r="IQ776" i="93"/>
  <c r="ET776" i="93"/>
  <c r="EK776" i="93"/>
  <c r="EB776" i="93"/>
  <c r="DS776" i="93"/>
  <c r="DJ776" i="93"/>
  <c r="DN776" i="93"/>
  <c r="EG776" i="93"/>
  <c r="EY776" i="93"/>
  <c r="FQ776" i="93"/>
  <c r="GJ776" i="93"/>
  <c r="HB776" i="93"/>
  <c r="HT776" i="93"/>
  <c r="JD776" i="93"/>
  <c r="JK777" i="93"/>
  <c r="JC777" i="93"/>
  <c r="IU777" i="93"/>
  <c r="IM777" i="93"/>
  <c r="IE777" i="93"/>
  <c r="HW777" i="93"/>
  <c r="HO777" i="93"/>
  <c r="HG777" i="93"/>
  <c r="GY777" i="93"/>
  <c r="GQ777" i="93"/>
  <c r="GI777" i="93"/>
  <c r="GA777" i="93"/>
  <c r="FS777" i="93"/>
  <c r="FK777" i="93"/>
  <c r="FC777" i="93"/>
  <c r="EU777" i="93"/>
  <c r="EM777" i="93"/>
  <c r="EE777" i="93"/>
  <c r="DW777" i="93"/>
  <c r="DO777" i="93"/>
  <c r="DG777" i="93"/>
  <c r="JP777" i="93"/>
  <c r="JH777" i="93"/>
  <c r="IZ777" i="93"/>
  <c r="IR777" i="93"/>
  <c r="IJ777" i="93"/>
  <c r="IB777" i="93"/>
  <c r="HT777" i="93"/>
  <c r="HL777" i="93"/>
  <c r="HD777" i="93"/>
  <c r="GV777" i="93"/>
  <c r="GN777" i="93"/>
  <c r="GF777" i="93"/>
  <c r="FX777" i="93"/>
  <c r="FP777" i="93"/>
  <c r="FH777" i="93"/>
  <c r="EZ777" i="93"/>
  <c r="ER777" i="93"/>
  <c r="EJ777" i="93"/>
  <c r="EB777" i="93"/>
  <c r="DT777" i="93"/>
  <c r="DL777" i="93"/>
  <c r="DD777" i="93"/>
  <c r="CV777" i="93"/>
  <c r="CN777" i="93"/>
  <c r="CF777" i="93"/>
  <c r="BX777" i="93"/>
  <c r="BP777" i="93"/>
  <c r="BH777" i="93"/>
  <c r="AZ777" i="93"/>
  <c r="AR777" i="93"/>
  <c r="AJ777" i="93"/>
  <c r="AB777" i="93"/>
  <c r="JM777" i="93"/>
  <c r="JB777" i="93"/>
  <c r="IQ777" i="93"/>
  <c r="IG777" i="93"/>
  <c r="HV777" i="93"/>
  <c r="HK777" i="93"/>
  <c r="HA777" i="93"/>
  <c r="GP777" i="93"/>
  <c r="GE777" i="93"/>
  <c r="FU777" i="93"/>
  <c r="FJ777" i="93"/>
  <c r="EY777" i="93"/>
  <c r="EO777" i="93"/>
  <c r="ED777" i="93"/>
  <c r="DS777" i="93"/>
  <c r="DI777" i="93"/>
  <c r="CY777" i="93"/>
  <c r="CP777" i="93"/>
  <c r="CG777" i="93"/>
  <c r="BW777" i="93"/>
  <c r="BN777" i="93"/>
  <c r="BE777" i="93"/>
  <c r="AV777" i="93"/>
  <c r="AM777" i="93"/>
  <c r="AD777" i="93"/>
  <c r="JL777" i="93"/>
  <c r="JA777" i="93"/>
  <c r="IP777" i="93"/>
  <c r="IF777" i="93"/>
  <c r="HU777" i="93"/>
  <c r="HJ777" i="93"/>
  <c r="GZ777" i="93"/>
  <c r="GO777" i="93"/>
  <c r="GD777" i="93"/>
  <c r="FT777" i="93"/>
  <c r="FI777" i="93"/>
  <c r="EX777" i="93"/>
  <c r="EN777" i="93"/>
  <c r="EC777" i="93"/>
  <c r="DR777" i="93"/>
  <c r="DH777" i="93"/>
  <c r="CX777" i="93"/>
  <c r="CO777" i="93"/>
  <c r="CE777" i="93"/>
  <c r="BV777" i="93"/>
  <c r="BM777" i="93"/>
  <c r="BD777" i="93"/>
  <c r="AU777" i="93"/>
  <c r="AL777" i="93"/>
  <c r="AC777" i="93"/>
  <c r="JJ777" i="93"/>
  <c r="IY777" i="93"/>
  <c r="IO777" i="93"/>
  <c r="ID777" i="93"/>
  <c r="HS777" i="93"/>
  <c r="HI777" i="93"/>
  <c r="GX777" i="93"/>
  <c r="GM777" i="93"/>
  <c r="GC777" i="93"/>
  <c r="FR777" i="93"/>
  <c r="FG777" i="93"/>
  <c r="EW777" i="93"/>
  <c r="EL777" i="93"/>
  <c r="EA777" i="93"/>
  <c r="DQ777" i="93"/>
  <c r="DF777" i="93"/>
  <c r="CW777" i="93"/>
  <c r="CM777" i="93"/>
  <c r="CD777" i="93"/>
  <c r="BU777" i="93"/>
  <c r="BL777" i="93"/>
  <c r="BC777" i="93"/>
  <c r="AT777" i="93"/>
  <c r="AK777" i="93"/>
  <c r="AA777" i="93"/>
  <c r="JI777" i="93"/>
  <c r="IX777" i="93"/>
  <c r="IN777" i="93"/>
  <c r="IC777" i="93"/>
  <c r="HR777" i="93"/>
  <c r="HH777" i="93"/>
  <c r="GW777" i="93"/>
  <c r="GL777" i="93"/>
  <c r="GB777" i="93"/>
  <c r="FQ777" i="93"/>
  <c r="FF777" i="93"/>
  <c r="EV777" i="93"/>
  <c r="EK777" i="93"/>
  <c r="DZ777" i="93"/>
  <c r="DP777" i="93"/>
  <c r="DE777" i="93"/>
  <c r="CU777" i="93"/>
  <c r="CL777" i="93"/>
  <c r="CC777" i="93"/>
  <c r="BT777" i="93"/>
  <c r="BK777" i="93"/>
  <c r="BB777" i="93"/>
  <c r="AS777" i="93"/>
  <c r="AI777" i="93"/>
  <c r="Z777" i="93"/>
  <c r="X777" i="93"/>
  <c r="AP777" i="93"/>
  <c r="BI777" i="93"/>
  <c r="CA777" i="93"/>
  <c r="CS777" i="93"/>
  <c r="DM777" i="93"/>
  <c r="EH777" i="93"/>
  <c r="FD777" i="93"/>
  <c r="FY777" i="93"/>
  <c r="GT777" i="93"/>
  <c r="HP777" i="93"/>
  <c r="IK777" i="93"/>
  <c r="JF777" i="93"/>
  <c r="JI778" i="93"/>
  <c r="IC778" i="93"/>
  <c r="HR778" i="93"/>
  <c r="HG778" i="93"/>
  <c r="GW778" i="93"/>
  <c r="GL778" i="93"/>
  <c r="GA778" i="93"/>
  <c r="FQ778" i="93"/>
  <c r="FF778" i="93"/>
  <c r="FJ778" i="93"/>
  <c r="GE778" i="93"/>
  <c r="GZ778" i="93"/>
  <c r="HV778" i="93"/>
  <c r="JD778" i="93"/>
  <c r="JP779" i="93"/>
  <c r="JF779" i="93"/>
  <c r="JO779" i="93"/>
  <c r="JD779" i="93"/>
  <c r="A779" i="93"/>
  <c r="AI779" i="93"/>
  <c r="BD779" i="93"/>
  <c r="BY779" i="93"/>
  <c r="CU779" i="93"/>
  <c r="DP779" i="93"/>
  <c r="EK779" i="93"/>
  <c r="FG779" i="93"/>
  <c r="GB779" i="93"/>
  <c r="GW779" i="93"/>
  <c r="HS779" i="93"/>
  <c r="IN779" i="93"/>
  <c r="JI779" i="93"/>
  <c r="IT781" i="93"/>
  <c r="AI781" i="93"/>
  <c r="BG781" i="93"/>
  <c r="CE781" i="93"/>
  <c r="DD781" i="93"/>
  <c r="EB781" i="93"/>
  <c r="EZ781" i="93"/>
  <c r="FZ781" i="93"/>
  <c r="GX781" i="93"/>
  <c r="HV781" i="93"/>
  <c r="IU781" i="93"/>
  <c r="IH782" i="93"/>
  <c r="ID782" i="93"/>
  <c r="AB782" i="93"/>
  <c r="BD782" i="93"/>
  <c r="CG782" i="93"/>
  <c r="FM782" i="93"/>
  <c r="GP782" i="93"/>
  <c r="HT782" i="93"/>
  <c r="JN783" i="93"/>
  <c r="JF783" i="93"/>
  <c r="IX783" i="93"/>
  <c r="IP783" i="93"/>
  <c r="JP783" i="93"/>
  <c r="JG783" i="93"/>
  <c r="IW783" i="93"/>
  <c r="IN783" i="93"/>
  <c r="HX783" i="93"/>
  <c r="HP783" i="93"/>
  <c r="HH783" i="93"/>
  <c r="GZ783" i="93"/>
  <c r="GR783" i="93"/>
  <c r="GJ783" i="93"/>
  <c r="GB783" i="93"/>
  <c r="FT783" i="93"/>
  <c r="FL783" i="93"/>
  <c r="FD783" i="93"/>
  <c r="EV783" i="93"/>
  <c r="EN783" i="93"/>
  <c r="EF783" i="93"/>
  <c r="DX783" i="93"/>
  <c r="DP783" i="93"/>
  <c r="DH783" i="93"/>
  <c r="CZ783" i="93"/>
  <c r="CR783" i="93"/>
  <c r="CJ783" i="93"/>
  <c r="CB783" i="93"/>
  <c r="BT783" i="93"/>
  <c r="BL783" i="93"/>
  <c r="BD783" i="93"/>
  <c r="AV783" i="93"/>
  <c r="AN783" i="93"/>
  <c r="AF783" i="93"/>
  <c r="X783" i="93"/>
  <c r="JO783" i="93"/>
  <c r="JE783" i="93"/>
  <c r="IV783" i="93"/>
  <c r="IM783" i="93"/>
  <c r="HW783" i="93"/>
  <c r="HO783" i="93"/>
  <c r="HG783" i="93"/>
  <c r="GY783" i="93"/>
  <c r="GQ783" i="93"/>
  <c r="GI783" i="93"/>
  <c r="GA783" i="93"/>
  <c r="FS783" i="93"/>
  <c r="FK783" i="93"/>
  <c r="FC783" i="93"/>
  <c r="EU783" i="93"/>
  <c r="EM783" i="93"/>
  <c r="EE783" i="93"/>
  <c r="DW783" i="93"/>
  <c r="DO783" i="93"/>
  <c r="DG783" i="93"/>
  <c r="CY783" i="93"/>
  <c r="CQ783" i="93"/>
  <c r="CI783" i="93"/>
  <c r="CA783" i="93"/>
  <c r="BS783" i="93"/>
  <c r="BK783" i="93"/>
  <c r="BC783" i="93"/>
  <c r="AU783" i="93"/>
  <c r="AM783" i="93"/>
  <c r="AE783" i="93"/>
  <c r="W783" i="93"/>
  <c r="JI783" i="93"/>
  <c r="IU783" i="93"/>
  <c r="IJ783" i="93"/>
  <c r="HZ783" i="93"/>
  <c r="HN783" i="93"/>
  <c r="HD783" i="93"/>
  <c r="GT783" i="93"/>
  <c r="GH783" i="93"/>
  <c r="FX783" i="93"/>
  <c r="FN783" i="93"/>
  <c r="FB783" i="93"/>
  <c r="ER783" i="93"/>
  <c r="EH783" i="93"/>
  <c r="DV783" i="93"/>
  <c r="DL783" i="93"/>
  <c r="DB783" i="93"/>
  <c r="CP783" i="93"/>
  <c r="CF783" i="93"/>
  <c r="BV783" i="93"/>
  <c r="BJ783" i="93"/>
  <c r="AZ783" i="93"/>
  <c r="AP783" i="93"/>
  <c r="AD783" i="93"/>
  <c r="JQ783" i="93"/>
  <c r="JC783" i="93"/>
  <c r="IR783" i="93"/>
  <c r="HU783" i="93"/>
  <c r="HK783" i="93"/>
  <c r="HA783" i="93"/>
  <c r="GO783" i="93"/>
  <c r="GE783" i="93"/>
  <c r="FU783" i="93"/>
  <c r="FI783" i="93"/>
  <c r="EY783" i="93"/>
  <c r="EO783" i="93"/>
  <c r="EC783" i="93"/>
  <c r="DS783" i="93"/>
  <c r="DI783" i="93"/>
  <c r="CW783" i="93"/>
  <c r="CM783" i="93"/>
  <c r="CC783" i="93"/>
  <c r="BQ783" i="93"/>
  <c r="BG783" i="93"/>
  <c r="AW783" i="93"/>
  <c r="AK783" i="93"/>
  <c r="AA783" i="93"/>
  <c r="JD783" i="93"/>
  <c r="IO783" i="93"/>
  <c r="IA783" i="93"/>
  <c r="HL783" i="93"/>
  <c r="GW783" i="93"/>
  <c r="GK783" i="93"/>
  <c r="FV783" i="93"/>
  <c r="FG783" i="93"/>
  <c r="ES783" i="93"/>
  <c r="ED783" i="93"/>
  <c r="DQ783" i="93"/>
  <c r="DC783" i="93"/>
  <c r="CN783" i="93"/>
  <c r="BY783" i="93"/>
  <c r="BM783" i="93"/>
  <c r="AX783" i="93"/>
  <c r="AI783" i="93"/>
  <c r="JB783" i="93"/>
  <c r="IL783" i="93"/>
  <c r="HY783" i="93"/>
  <c r="HJ783" i="93"/>
  <c r="GV783" i="93"/>
  <c r="GG783" i="93"/>
  <c r="FR783" i="93"/>
  <c r="FF783" i="93"/>
  <c r="EQ783" i="93"/>
  <c r="EB783" i="93"/>
  <c r="DN783" i="93"/>
  <c r="DA783" i="93"/>
  <c r="CL783" i="93"/>
  <c r="BX783" i="93"/>
  <c r="BI783" i="93"/>
  <c r="AT783" i="93"/>
  <c r="AH783" i="93"/>
  <c r="A783" i="93"/>
  <c r="JA783" i="93"/>
  <c r="IK783" i="93"/>
  <c r="HV783" i="93"/>
  <c r="HI783" i="93"/>
  <c r="GU783" i="93"/>
  <c r="GF783" i="93"/>
  <c r="FQ783" i="93"/>
  <c r="FE783" i="93"/>
  <c r="EP783" i="93"/>
  <c r="EA783" i="93"/>
  <c r="DM783" i="93"/>
  <c r="CX783" i="93"/>
  <c r="CK783" i="93"/>
  <c r="BW783" i="93"/>
  <c r="BH783" i="93"/>
  <c r="AS783" i="93"/>
  <c r="AG783" i="93"/>
  <c r="JM783" i="93"/>
  <c r="IZ783" i="93"/>
  <c r="II783" i="93"/>
  <c r="HT783" i="93"/>
  <c r="HF783" i="93"/>
  <c r="GS783" i="93"/>
  <c r="GD783" i="93"/>
  <c r="FP783" i="93"/>
  <c r="FA783" i="93"/>
  <c r="EL783" i="93"/>
  <c r="DZ783" i="93"/>
  <c r="DK783" i="93"/>
  <c r="CV783" i="93"/>
  <c r="CH783" i="93"/>
  <c r="BU783" i="93"/>
  <c r="BF783" i="93"/>
  <c r="AR783" i="93"/>
  <c r="AC783" i="93"/>
  <c r="Z783" i="93"/>
  <c r="BB783" i="93"/>
  <c r="CE783" i="93"/>
  <c r="DF783" i="93"/>
  <c r="EJ783" i="93"/>
  <c r="FM783" i="93"/>
  <c r="GN783" i="93"/>
  <c r="HR783" i="93"/>
  <c r="IT783" i="93"/>
  <c r="AQ785" i="93"/>
  <c r="CD785" i="93"/>
  <c r="DP785" i="93"/>
  <c r="FB785" i="93"/>
  <c r="GP785" i="93"/>
  <c r="ID785" i="93"/>
  <c r="JQ785" i="93"/>
  <c r="BH786" i="93"/>
  <c r="CT786" i="93"/>
  <c r="EK786" i="93"/>
  <c r="GH786" i="93"/>
  <c r="IB786" i="93"/>
  <c r="IG787" i="93"/>
  <c r="IF787" i="93"/>
  <c r="ID787" i="93"/>
  <c r="A787" i="93"/>
  <c r="AC787" i="93"/>
  <c r="CA787" i="93"/>
  <c r="EE787" i="93"/>
  <c r="IH787" i="93"/>
  <c r="GJ788" i="93"/>
  <c r="AM789" i="93"/>
  <c r="DG789" i="93"/>
  <c r="M453" i="93"/>
  <c r="S469" i="93"/>
  <c r="M513" i="93"/>
  <c r="A540" i="93"/>
  <c r="G547" i="93"/>
  <c r="F549" i="93"/>
  <c r="Y767" i="93"/>
  <c r="AK767" i="93"/>
  <c r="AY767" i="93"/>
  <c r="BJ767" i="93"/>
  <c r="BX767" i="93"/>
  <c r="CK767" i="93"/>
  <c r="CW767" i="93"/>
  <c r="DK767" i="93"/>
  <c r="DV767" i="93"/>
  <c r="EJ767" i="93"/>
  <c r="EW767" i="93"/>
  <c r="FI767" i="93"/>
  <c r="FW767" i="93"/>
  <c r="GH767" i="93"/>
  <c r="GV767" i="93"/>
  <c r="HI767" i="93"/>
  <c r="HU767" i="93"/>
  <c r="II767" i="93"/>
  <c r="IT767" i="93"/>
  <c r="JH767" i="93"/>
  <c r="A771" i="93"/>
  <c r="AC771" i="93"/>
  <c r="AO771" i="93"/>
  <c r="BC771" i="93"/>
  <c r="BN771" i="93"/>
  <c r="CB771" i="93"/>
  <c r="CO771" i="93"/>
  <c r="DA771" i="93"/>
  <c r="DO771" i="93"/>
  <c r="DZ771" i="93"/>
  <c r="EN771" i="93"/>
  <c r="FA771" i="93"/>
  <c r="FM771" i="93"/>
  <c r="GA771" i="93"/>
  <c r="GL771" i="93"/>
  <c r="GZ771" i="93"/>
  <c r="HM771" i="93"/>
  <c r="HY771" i="93"/>
  <c r="IM771" i="93"/>
  <c r="IX771" i="93"/>
  <c r="JL771" i="93"/>
  <c r="AC772" i="93"/>
  <c r="AP772" i="93"/>
  <c r="BB772" i="93"/>
  <c r="BR772" i="93"/>
  <c r="CH772" i="93"/>
  <c r="CX772" i="93"/>
  <c r="DN772" i="93"/>
  <c r="ED772" i="93"/>
  <c r="ET772" i="93"/>
  <c r="FJ772" i="93"/>
  <c r="FZ772" i="93"/>
  <c r="GP772" i="93"/>
  <c r="HF772" i="93"/>
  <c r="HV772" i="93"/>
  <c r="IL772" i="93"/>
  <c r="JB772" i="93"/>
  <c r="A773" i="93"/>
  <c r="AI773" i="93"/>
  <c r="AY773" i="93"/>
  <c r="BO773" i="93"/>
  <c r="CE773" i="93"/>
  <c r="FG773" i="93"/>
  <c r="FW773" i="93"/>
  <c r="GM773" i="93"/>
  <c r="HC773" i="93"/>
  <c r="HS773" i="93"/>
  <c r="JO773" i="93"/>
  <c r="DN774" i="93"/>
  <c r="ED774" i="93"/>
  <c r="ET774" i="93"/>
  <c r="FJ774" i="93"/>
  <c r="FZ774" i="93"/>
  <c r="GP774" i="93"/>
  <c r="HF774" i="93"/>
  <c r="HV774" i="93"/>
  <c r="JB774" i="93"/>
  <c r="DP776" i="93"/>
  <c r="EH776" i="93"/>
  <c r="EZ776" i="93"/>
  <c r="FR776" i="93"/>
  <c r="GK776" i="93"/>
  <c r="HC776" i="93"/>
  <c r="HU776" i="93"/>
  <c r="JE776" i="93"/>
  <c r="Y777" i="93"/>
  <c r="AQ777" i="93"/>
  <c r="BJ777" i="93"/>
  <c r="CB777" i="93"/>
  <c r="CT777" i="93"/>
  <c r="DN777" i="93"/>
  <c r="EI777" i="93"/>
  <c r="FE777" i="93"/>
  <c r="FZ777" i="93"/>
  <c r="GU777" i="93"/>
  <c r="HQ777" i="93"/>
  <c r="IL777" i="93"/>
  <c r="JG777" i="93"/>
  <c r="FK778" i="93"/>
  <c r="GG778" i="93"/>
  <c r="HB778" i="93"/>
  <c r="HW778" i="93"/>
  <c r="JK778" i="93"/>
  <c r="AJ779" i="93"/>
  <c r="BF779" i="93"/>
  <c r="CA779" i="93"/>
  <c r="CV779" i="93"/>
  <c r="DR779" i="93"/>
  <c r="EM779" i="93"/>
  <c r="FH779" i="93"/>
  <c r="GD779" i="93"/>
  <c r="GY779" i="93"/>
  <c r="HT779" i="93"/>
  <c r="IP779" i="93"/>
  <c r="JK779" i="93"/>
  <c r="JL781" i="93"/>
  <c r="JC781" i="93"/>
  <c r="JH781" i="93"/>
  <c r="JP781" i="93"/>
  <c r="JE781" i="93"/>
  <c r="JO781" i="93"/>
  <c r="JD781" i="93"/>
  <c r="A781" i="93"/>
  <c r="JN781" i="93"/>
  <c r="JM781" i="93"/>
  <c r="AJ781" i="93"/>
  <c r="BH781" i="93"/>
  <c r="CF781" i="93"/>
  <c r="DF781" i="93"/>
  <c r="ED781" i="93"/>
  <c r="FB781" i="93"/>
  <c r="GA781" i="93"/>
  <c r="GY781" i="93"/>
  <c r="HW781" i="93"/>
  <c r="IV781" i="93"/>
  <c r="JO782" i="93"/>
  <c r="JG782" i="93"/>
  <c r="IY782" i="93"/>
  <c r="IQ782" i="93"/>
  <c r="II782" i="93"/>
  <c r="IA782" i="93"/>
  <c r="HS782" i="93"/>
  <c r="HK782" i="93"/>
  <c r="HC782" i="93"/>
  <c r="GU782" i="93"/>
  <c r="GM782" i="93"/>
  <c r="GE782" i="93"/>
  <c r="FW782" i="93"/>
  <c r="FO782" i="93"/>
  <c r="FG782" i="93"/>
  <c r="EY782" i="93"/>
  <c r="EQ782" i="93"/>
  <c r="EI782" i="93"/>
  <c r="EA782" i="93"/>
  <c r="DS782" i="93"/>
  <c r="DK782" i="93"/>
  <c r="DC782" i="93"/>
  <c r="CU782" i="93"/>
  <c r="CM782" i="93"/>
  <c r="CE782" i="93"/>
  <c r="BW782" i="93"/>
  <c r="BO782" i="93"/>
  <c r="BG782" i="93"/>
  <c r="AY782" i="93"/>
  <c r="AQ782" i="93"/>
  <c r="AI782" i="93"/>
  <c r="AA782" i="93"/>
  <c r="JN782" i="93"/>
  <c r="JF782" i="93"/>
  <c r="IX782" i="93"/>
  <c r="IP782" i="93"/>
  <c r="HZ782" i="93"/>
  <c r="HR782" i="93"/>
  <c r="HJ782" i="93"/>
  <c r="HB782" i="93"/>
  <c r="GT782" i="93"/>
  <c r="GL782" i="93"/>
  <c r="GD782" i="93"/>
  <c r="FV782" i="93"/>
  <c r="FN782" i="93"/>
  <c r="FF782" i="93"/>
  <c r="EX782" i="93"/>
  <c r="EP782" i="93"/>
  <c r="EH782" i="93"/>
  <c r="DZ782" i="93"/>
  <c r="DR782" i="93"/>
  <c r="DJ782" i="93"/>
  <c r="DB782" i="93"/>
  <c r="CT782" i="93"/>
  <c r="CL782" i="93"/>
  <c r="CD782" i="93"/>
  <c r="BV782" i="93"/>
  <c r="BN782" i="93"/>
  <c r="BF782" i="93"/>
  <c r="AX782" i="93"/>
  <c r="AP782" i="93"/>
  <c r="AH782" i="93"/>
  <c r="Z782" i="93"/>
  <c r="JI782" i="93"/>
  <c r="IW782" i="93"/>
  <c r="IM782" i="93"/>
  <c r="IC782" i="93"/>
  <c r="HQ782" i="93"/>
  <c r="HG782" i="93"/>
  <c r="GW782" i="93"/>
  <c r="GK782" i="93"/>
  <c r="GA782" i="93"/>
  <c r="FQ782" i="93"/>
  <c r="FE782" i="93"/>
  <c r="EU782" i="93"/>
  <c r="EK782" i="93"/>
  <c r="DY782" i="93"/>
  <c r="DO782" i="93"/>
  <c r="DE782" i="93"/>
  <c r="CS782" i="93"/>
  <c r="CI782" i="93"/>
  <c r="BY782" i="93"/>
  <c r="BM782" i="93"/>
  <c r="BC782" i="93"/>
  <c r="AS782" i="93"/>
  <c r="AG782" i="93"/>
  <c r="W782" i="93"/>
  <c r="JP782" i="93"/>
  <c r="JD782" i="93"/>
  <c r="IT782" i="93"/>
  <c r="IJ782" i="93"/>
  <c r="HX782" i="93"/>
  <c r="HN782" i="93"/>
  <c r="HD782" i="93"/>
  <c r="GR782" i="93"/>
  <c r="GH782" i="93"/>
  <c r="FX782" i="93"/>
  <c r="FL782" i="93"/>
  <c r="FB782" i="93"/>
  <c r="ER782" i="93"/>
  <c r="EF782" i="93"/>
  <c r="DV782" i="93"/>
  <c r="DL782" i="93"/>
  <c r="CZ782" i="93"/>
  <c r="CP782" i="93"/>
  <c r="CF782" i="93"/>
  <c r="BT782" i="93"/>
  <c r="BJ782" i="93"/>
  <c r="AZ782" i="93"/>
  <c r="AN782" i="93"/>
  <c r="AD782" i="93"/>
  <c r="JE782" i="93"/>
  <c r="IR782" i="93"/>
  <c r="HO782" i="93"/>
  <c r="GZ782" i="93"/>
  <c r="GN782" i="93"/>
  <c r="FY782" i="93"/>
  <c r="FJ782" i="93"/>
  <c r="EV782" i="93"/>
  <c r="EG782" i="93"/>
  <c r="DT782" i="93"/>
  <c r="DF782" i="93"/>
  <c r="CQ782" i="93"/>
  <c r="CB782" i="93"/>
  <c r="BP782" i="93"/>
  <c r="BA782" i="93"/>
  <c r="AL782" i="93"/>
  <c r="X782" i="93"/>
  <c r="JC782" i="93"/>
  <c r="IO782" i="93"/>
  <c r="IB782" i="93"/>
  <c r="HM782" i="93"/>
  <c r="GY782" i="93"/>
  <c r="GJ782" i="93"/>
  <c r="FU782" i="93"/>
  <c r="FI782" i="93"/>
  <c r="ET782" i="93"/>
  <c r="EE782" i="93"/>
  <c r="DQ782" i="93"/>
  <c r="DD782" i="93"/>
  <c r="CO782" i="93"/>
  <c r="CA782" i="93"/>
  <c r="BL782" i="93"/>
  <c r="AW782" i="93"/>
  <c r="AK782" i="93"/>
  <c r="JQ782" i="93"/>
  <c r="JB782" i="93"/>
  <c r="IN782" i="93"/>
  <c r="HY782" i="93"/>
  <c r="HL782" i="93"/>
  <c r="GX782" i="93"/>
  <c r="GI782" i="93"/>
  <c r="FT782" i="93"/>
  <c r="FH782" i="93"/>
  <c r="ES782" i="93"/>
  <c r="ED782" i="93"/>
  <c r="DP782" i="93"/>
  <c r="DA782" i="93"/>
  <c r="CN782" i="93"/>
  <c r="BZ782" i="93"/>
  <c r="BK782" i="93"/>
  <c r="AV782" i="93"/>
  <c r="AJ782" i="93"/>
  <c r="JM782" i="93"/>
  <c r="JA782" i="93"/>
  <c r="IL782" i="93"/>
  <c r="HW782" i="93"/>
  <c r="HI782" i="93"/>
  <c r="GV782" i="93"/>
  <c r="GG782" i="93"/>
  <c r="FS782" i="93"/>
  <c r="FD782" i="93"/>
  <c r="EO782" i="93"/>
  <c r="EC782" i="93"/>
  <c r="DN782" i="93"/>
  <c r="CY782" i="93"/>
  <c r="CK782" i="93"/>
  <c r="BX782" i="93"/>
  <c r="BI782" i="93"/>
  <c r="AU782" i="93"/>
  <c r="AF782" i="93"/>
  <c r="AC782" i="93"/>
  <c r="BE782" i="93"/>
  <c r="CH782" i="93"/>
  <c r="DI782" i="93"/>
  <c r="EM782" i="93"/>
  <c r="FP782" i="93"/>
  <c r="GQ782" i="93"/>
  <c r="HU782" i="93"/>
  <c r="IV782" i="93"/>
  <c r="AB783" i="93"/>
  <c r="BE783" i="93"/>
  <c r="CG783" i="93"/>
  <c r="DJ783" i="93"/>
  <c r="EK783" i="93"/>
  <c r="FO783" i="93"/>
  <c r="GP783" i="93"/>
  <c r="HS783" i="93"/>
  <c r="IY783" i="93"/>
  <c r="AT785" i="93"/>
  <c r="CE785" i="93"/>
  <c r="DQ785" i="93"/>
  <c r="FE785" i="93"/>
  <c r="GS785" i="93"/>
  <c r="IF785" i="93"/>
  <c r="IE786" i="93"/>
  <c r="W786" i="93"/>
  <c r="BI786" i="93"/>
  <c r="CU786" i="93"/>
  <c r="ER786" i="93"/>
  <c r="GJ786" i="93"/>
  <c r="JM787" i="93"/>
  <c r="JE787" i="93"/>
  <c r="IW787" i="93"/>
  <c r="IO787" i="93"/>
  <c r="HY787" i="93"/>
  <c r="HQ787" i="93"/>
  <c r="HI787" i="93"/>
  <c r="HA787" i="93"/>
  <c r="GS787" i="93"/>
  <c r="GK787" i="93"/>
  <c r="GC787" i="93"/>
  <c r="FU787" i="93"/>
  <c r="FM787" i="93"/>
  <c r="FE787" i="93"/>
  <c r="EW787" i="93"/>
  <c r="EO787" i="93"/>
  <c r="EG787" i="93"/>
  <c r="DY787" i="93"/>
  <c r="DQ787" i="93"/>
  <c r="DI787" i="93"/>
  <c r="DA787" i="93"/>
  <c r="CS787" i="93"/>
  <c r="CK787" i="93"/>
  <c r="CC787" i="93"/>
  <c r="BU787" i="93"/>
  <c r="BM787" i="93"/>
  <c r="BE787" i="93"/>
  <c r="JL787" i="93"/>
  <c r="JD787" i="93"/>
  <c r="IV787" i="93"/>
  <c r="IN787" i="93"/>
  <c r="HX787" i="93"/>
  <c r="HP787" i="93"/>
  <c r="HH787" i="93"/>
  <c r="GZ787" i="93"/>
  <c r="GR787" i="93"/>
  <c r="GJ787" i="93"/>
  <c r="GB787" i="93"/>
  <c r="FT787" i="93"/>
  <c r="FL787" i="93"/>
  <c r="FD787" i="93"/>
  <c r="EV787" i="93"/>
  <c r="EN787" i="93"/>
  <c r="EF787" i="93"/>
  <c r="DX787" i="93"/>
  <c r="DP787" i="93"/>
  <c r="DH787" i="93"/>
  <c r="CZ787" i="93"/>
  <c r="CR787" i="93"/>
  <c r="CJ787" i="93"/>
  <c r="CB787" i="93"/>
  <c r="BT787" i="93"/>
  <c r="BL787" i="93"/>
  <c r="BD787" i="93"/>
  <c r="AV787" i="93"/>
  <c r="AN787" i="93"/>
  <c r="AF787" i="93"/>
  <c r="X787" i="93"/>
  <c r="JJ787" i="93"/>
  <c r="JB787" i="93"/>
  <c r="IT787" i="93"/>
  <c r="IL787" i="93"/>
  <c r="HV787" i="93"/>
  <c r="HN787" i="93"/>
  <c r="HF787" i="93"/>
  <c r="GX787" i="93"/>
  <c r="GP787" i="93"/>
  <c r="GH787" i="93"/>
  <c r="FZ787" i="93"/>
  <c r="FR787" i="93"/>
  <c r="FJ787" i="93"/>
  <c r="FB787" i="93"/>
  <c r="ET787" i="93"/>
  <c r="EL787" i="93"/>
  <c r="ED787" i="93"/>
  <c r="DV787" i="93"/>
  <c r="DN787" i="93"/>
  <c r="DF787" i="93"/>
  <c r="CX787" i="93"/>
  <c r="CP787" i="93"/>
  <c r="CH787" i="93"/>
  <c r="BZ787" i="93"/>
  <c r="BR787" i="93"/>
  <c r="BJ787" i="93"/>
  <c r="BB787" i="93"/>
  <c r="AT787" i="93"/>
  <c r="AL787" i="93"/>
  <c r="AD787" i="93"/>
  <c r="JO787" i="93"/>
  <c r="JA787" i="93"/>
  <c r="IP787" i="93"/>
  <c r="IB787" i="93"/>
  <c r="HO787" i="93"/>
  <c r="HC787" i="93"/>
  <c r="GO787" i="93"/>
  <c r="GD787" i="93"/>
  <c r="FP787" i="93"/>
  <c r="FC787" i="93"/>
  <c r="EQ787" i="93"/>
  <c r="EC787" i="93"/>
  <c r="DR787" i="93"/>
  <c r="DD787" i="93"/>
  <c r="CQ787" i="93"/>
  <c r="CE787" i="93"/>
  <c r="BQ787" i="93"/>
  <c r="BF787" i="93"/>
  <c r="AS787" i="93"/>
  <c r="AI787" i="93"/>
  <c r="Y787" i="93"/>
  <c r="JN787" i="93"/>
  <c r="IZ787" i="93"/>
  <c r="IM787" i="93"/>
  <c r="IA787" i="93"/>
  <c r="HM787" i="93"/>
  <c r="HB787" i="93"/>
  <c r="GN787" i="93"/>
  <c r="GA787" i="93"/>
  <c r="FO787" i="93"/>
  <c r="FA787" i="93"/>
  <c r="EP787" i="93"/>
  <c r="EB787" i="93"/>
  <c r="DO787" i="93"/>
  <c r="DC787" i="93"/>
  <c r="CO787" i="93"/>
  <c r="CD787" i="93"/>
  <c r="BP787" i="93"/>
  <c r="BC787" i="93"/>
  <c r="AR787" i="93"/>
  <c r="AH787" i="93"/>
  <c r="W787" i="93"/>
  <c r="JG787" i="93"/>
  <c r="IQ787" i="93"/>
  <c r="HW787" i="93"/>
  <c r="HG787" i="93"/>
  <c r="GQ787" i="93"/>
  <c r="FX787" i="93"/>
  <c r="FH787" i="93"/>
  <c r="ER787" i="93"/>
  <c r="DZ787" i="93"/>
  <c r="DJ787" i="93"/>
  <c r="CT787" i="93"/>
  <c r="BY787" i="93"/>
  <c r="BI787" i="93"/>
  <c r="AU787" i="93"/>
  <c r="AE787" i="93"/>
  <c r="JC787" i="93"/>
  <c r="IJ787" i="93"/>
  <c r="HT787" i="93"/>
  <c r="HD787" i="93"/>
  <c r="GL787" i="93"/>
  <c r="FV787" i="93"/>
  <c r="FF787" i="93"/>
  <c r="EK787" i="93"/>
  <c r="DU787" i="93"/>
  <c r="DE787" i="93"/>
  <c r="CM787" i="93"/>
  <c r="BW787" i="93"/>
  <c r="BG787" i="93"/>
  <c r="AP787" i="93"/>
  <c r="AB787" i="93"/>
  <c r="JQ787" i="93"/>
  <c r="IY787" i="93"/>
  <c r="II787" i="93"/>
  <c r="HS787" i="93"/>
  <c r="GY787" i="93"/>
  <c r="GI787" i="93"/>
  <c r="FS787" i="93"/>
  <c r="EZ787" i="93"/>
  <c r="EJ787" i="93"/>
  <c r="DT787" i="93"/>
  <c r="DB787" i="93"/>
  <c r="CL787" i="93"/>
  <c r="BV787" i="93"/>
  <c r="BA787" i="93"/>
  <c r="AO787" i="93"/>
  <c r="AA787" i="93"/>
  <c r="IX787" i="93"/>
  <c r="HZ787" i="93"/>
  <c r="GV787" i="93"/>
  <c r="FW787" i="93"/>
  <c r="EU787" i="93"/>
  <c r="DS787" i="93"/>
  <c r="CU787" i="93"/>
  <c r="BO787" i="93"/>
  <c r="AQ787" i="93"/>
  <c r="IU787" i="93"/>
  <c r="HU787" i="93"/>
  <c r="GU787" i="93"/>
  <c r="FQ787" i="93"/>
  <c r="ES787" i="93"/>
  <c r="DM787" i="93"/>
  <c r="CN787" i="93"/>
  <c r="BN787" i="93"/>
  <c r="AM787" i="93"/>
  <c r="IS787" i="93"/>
  <c r="HR787" i="93"/>
  <c r="GT787" i="93"/>
  <c r="FN787" i="93"/>
  <c r="EM787" i="93"/>
  <c r="DL787" i="93"/>
  <c r="CI787" i="93"/>
  <c r="BK787" i="93"/>
  <c r="AK787" i="93"/>
  <c r="JP787" i="93"/>
  <c r="IR787" i="93"/>
  <c r="HL787" i="93"/>
  <c r="GM787" i="93"/>
  <c r="FK787" i="93"/>
  <c r="EI787" i="93"/>
  <c r="DK787" i="93"/>
  <c r="CG787" i="93"/>
  <c r="BH787" i="93"/>
  <c r="AJ787" i="93"/>
  <c r="AG787" i="93"/>
  <c r="CF787" i="93"/>
  <c r="EH787" i="93"/>
  <c r="GG787" i="93"/>
  <c r="IK787" i="93"/>
  <c r="A788" i="93"/>
  <c r="JN788" i="93"/>
  <c r="JC788" i="93"/>
  <c r="JM788" i="93"/>
  <c r="JH788" i="93"/>
  <c r="JF788" i="93"/>
  <c r="JE788" i="93"/>
  <c r="JD788" i="93"/>
  <c r="JP788" i="93"/>
  <c r="JL788" i="93"/>
  <c r="JK788" i="93"/>
  <c r="EO789" i="93"/>
  <c r="BQ789" i="93"/>
  <c r="EE789" i="93"/>
  <c r="JC793" i="93"/>
  <c r="IQ793" i="93"/>
  <c r="EK793" i="93"/>
  <c r="DZ793" i="93"/>
  <c r="DL793" i="93"/>
  <c r="JA793" i="93"/>
  <c r="IP793" i="93"/>
  <c r="EV793" i="93"/>
  <c r="EJ793" i="93"/>
  <c r="DY793" i="93"/>
  <c r="DK793" i="93"/>
  <c r="JG793" i="93"/>
  <c r="EU793" i="93"/>
  <c r="EB793" i="93"/>
  <c r="DH793" i="93"/>
  <c r="JF793" i="93"/>
  <c r="ER793" i="93"/>
  <c r="EA793" i="93"/>
  <c r="DG793" i="93"/>
  <c r="IZ793" i="93"/>
  <c r="EQ793" i="93"/>
  <c r="DU793" i="93"/>
  <c r="IR793" i="93"/>
  <c r="EC793" i="93"/>
  <c r="IO793" i="93"/>
  <c r="DS793" i="93"/>
  <c r="JL793" i="93"/>
  <c r="DR793" i="93"/>
  <c r="JI793" i="93"/>
  <c r="DQ793" i="93"/>
  <c r="DJ793" i="93"/>
  <c r="EN793" i="93"/>
  <c r="EM793" i="93"/>
  <c r="G527" i="93"/>
  <c r="G554" i="93"/>
  <c r="JK768" i="93"/>
  <c r="IG769" i="93"/>
  <c r="FC771" i="93"/>
  <c r="FN771" i="93"/>
  <c r="GB771" i="93"/>
  <c r="GO771" i="93"/>
  <c r="HA771" i="93"/>
  <c r="HO771" i="93"/>
  <c r="HZ771" i="93"/>
  <c r="AD772" i="93"/>
  <c r="AR772" i="93"/>
  <c r="BC772" i="93"/>
  <c r="BS772" i="93"/>
  <c r="CI772" i="93"/>
  <c r="CY772" i="93"/>
  <c r="DO772" i="93"/>
  <c r="EE772" i="93"/>
  <c r="EU772" i="93"/>
  <c r="FK772" i="93"/>
  <c r="GA772" i="93"/>
  <c r="GQ772" i="93"/>
  <c r="HG772" i="93"/>
  <c r="HW772" i="93"/>
  <c r="IM772" i="93"/>
  <c r="JC772" i="93"/>
  <c r="IF773" i="93"/>
  <c r="IM773" i="93"/>
  <c r="IE773" i="93"/>
  <c r="CQ773" i="93"/>
  <c r="CI773" i="93"/>
  <c r="CA773" i="93"/>
  <c r="AM773" i="93"/>
  <c r="AE773" i="93"/>
  <c r="W773" i="93"/>
  <c r="IL773" i="93"/>
  <c r="ID773" i="93"/>
  <c r="CP773" i="93"/>
  <c r="CH773" i="93"/>
  <c r="BZ773" i="93"/>
  <c r="AL773" i="93"/>
  <c r="AD773" i="93"/>
  <c r="BS773" i="93"/>
  <c r="BK773" i="93"/>
  <c r="BC773" i="93"/>
  <c r="AU773" i="93"/>
  <c r="CX773" i="93"/>
  <c r="BR773" i="93"/>
  <c r="BJ773" i="93"/>
  <c r="BB773" i="93"/>
  <c r="AT773" i="93"/>
  <c r="AJ773" i="93"/>
  <c r="AZ773" i="93"/>
  <c r="BP773" i="93"/>
  <c r="CF773" i="93"/>
  <c r="CV773" i="93"/>
  <c r="FH773" i="93"/>
  <c r="FX773" i="93"/>
  <c r="GN773" i="93"/>
  <c r="HD773" i="93"/>
  <c r="HT773" i="93"/>
  <c r="IJ773" i="93"/>
  <c r="JP773" i="93"/>
  <c r="CV774" i="93"/>
  <c r="DO774" i="93"/>
  <c r="EE774" i="93"/>
  <c r="EU774" i="93"/>
  <c r="FK774" i="93"/>
  <c r="GA774" i="93"/>
  <c r="GQ774" i="93"/>
  <c r="HG774" i="93"/>
  <c r="HW774" i="93"/>
  <c r="JC774" i="93"/>
  <c r="IH775" i="93"/>
  <c r="IG775" i="93"/>
  <c r="IF775" i="93"/>
  <c r="IE775" i="93"/>
  <c r="A777" i="93"/>
  <c r="FL777" i="93"/>
  <c r="GG777" i="93"/>
  <c r="HB777" i="93"/>
  <c r="JN777" i="93"/>
  <c r="FL778" i="93"/>
  <c r="GH778" i="93"/>
  <c r="HC778" i="93"/>
  <c r="AK779" i="93"/>
  <c r="BG779" i="93"/>
  <c r="CB779" i="93"/>
  <c r="CW779" i="93"/>
  <c r="DS779" i="93"/>
  <c r="EN779" i="93"/>
  <c r="FI779" i="93"/>
  <c r="GE779" i="93"/>
  <c r="GZ779" i="93"/>
  <c r="HU779" i="93"/>
  <c r="IQ779" i="93"/>
  <c r="JL779" i="93"/>
  <c r="AL781" i="93"/>
  <c r="BK781" i="93"/>
  <c r="CI781" i="93"/>
  <c r="DG781" i="93"/>
  <c r="EF781" i="93"/>
  <c r="IW781" i="93"/>
  <c r="FR782" i="93"/>
  <c r="GS782" i="93"/>
  <c r="AU785" i="93"/>
  <c r="CG785" i="93"/>
  <c r="DU785" i="93"/>
  <c r="II785" i="93"/>
  <c r="JO786" i="93"/>
  <c r="JG786" i="93"/>
  <c r="IY786" i="93"/>
  <c r="IQ786" i="93"/>
  <c r="II786" i="93"/>
  <c r="IA786" i="93"/>
  <c r="HS786" i="93"/>
  <c r="HK786" i="93"/>
  <c r="HC786" i="93"/>
  <c r="GU786" i="93"/>
  <c r="GM786" i="93"/>
  <c r="GE786" i="93"/>
  <c r="FW786" i="93"/>
  <c r="FO786" i="93"/>
  <c r="FG786" i="93"/>
  <c r="EY786" i="93"/>
  <c r="EQ786" i="93"/>
  <c r="EI786" i="93"/>
  <c r="EA786" i="93"/>
  <c r="DS786" i="93"/>
  <c r="DK786" i="93"/>
  <c r="DC786" i="93"/>
  <c r="JM786" i="93"/>
  <c r="JE786" i="93"/>
  <c r="IW786" i="93"/>
  <c r="IO786" i="93"/>
  <c r="HY786" i="93"/>
  <c r="HQ786" i="93"/>
  <c r="HI786" i="93"/>
  <c r="HA786" i="93"/>
  <c r="GS786" i="93"/>
  <c r="GK786" i="93"/>
  <c r="GC786" i="93"/>
  <c r="FU786" i="93"/>
  <c r="FM786" i="93"/>
  <c r="FE786" i="93"/>
  <c r="EW786" i="93"/>
  <c r="EO786" i="93"/>
  <c r="EG786" i="93"/>
  <c r="DY786" i="93"/>
  <c r="DQ786" i="93"/>
  <c r="DI786" i="93"/>
  <c r="DA786" i="93"/>
  <c r="CS786" i="93"/>
  <c r="CK786" i="93"/>
  <c r="CC786" i="93"/>
  <c r="BU786" i="93"/>
  <c r="BM786" i="93"/>
  <c r="BE786" i="93"/>
  <c r="AW786" i="93"/>
  <c r="AO786" i="93"/>
  <c r="AG786" i="93"/>
  <c r="Y786" i="93"/>
  <c r="JL786" i="93"/>
  <c r="JB786" i="93"/>
  <c r="IR786" i="93"/>
  <c r="HV786" i="93"/>
  <c r="HL786" i="93"/>
  <c r="GZ786" i="93"/>
  <c r="GP786" i="93"/>
  <c r="GF786" i="93"/>
  <c r="FT786" i="93"/>
  <c r="FJ786" i="93"/>
  <c r="EZ786" i="93"/>
  <c r="EN786" i="93"/>
  <c r="ED786" i="93"/>
  <c r="DT786" i="93"/>
  <c r="DH786" i="93"/>
  <c r="CX786" i="93"/>
  <c r="CO786" i="93"/>
  <c r="CF786" i="93"/>
  <c r="BW786" i="93"/>
  <c r="BN786" i="93"/>
  <c r="BD786" i="93"/>
  <c r="AU786" i="93"/>
  <c r="AL786" i="93"/>
  <c r="AC786" i="93"/>
  <c r="JK786" i="93"/>
  <c r="JA786" i="93"/>
  <c r="IP786" i="93"/>
  <c r="HU786" i="93"/>
  <c r="HJ786" i="93"/>
  <c r="GY786" i="93"/>
  <c r="GO786" i="93"/>
  <c r="GD786" i="93"/>
  <c r="FS786" i="93"/>
  <c r="FI786" i="93"/>
  <c r="EX786" i="93"/>
  <c r="EM786" i="93"/>
  <c r="EC786" i="93"/>
  <c r="DR786" i="93"/>
  <c r="DG786" i="93"/>
  <c r="CW786" i="93"/>
  <c r="CN786" i="93"/>
  <c r="CE786" i="93"/>
  <c r="BV786" i="93"/>
  <c r="BL786" i="93"/>
  <c r="BC786" i="93"/>
  <c r="AT786" i="93"/>
  <c r="AK786" i="93"/>
  <c r="AB786" i="93"/>
  <c r="JQ786" i="93"/>
  <c r="JC786" i="93"/>
  <c r="IM786" i="93"/>
  <c r="HZ786" i="93"/>
  <c r="HM786" i="93"/>
  <c r="GW786" i="93"/>
  <c r="GI786" i="93"/>
  <c r="FV786" i="93"/>
  <c r="FF786" i="93"/>
  <c r="ES786" i="93"/>
  <c r="EE786" i="93"/>
  <c r="DO786" i="93"/>
  <c r="DB786" i="93"/>
  <c r="CP786" i="93"/>
  <c r="CB786" i="93"/>
  <c r="BQ786" i="93"/>
  <c r="BF786" i="93"/>
  <c r="AR786" i="93"/>
  <c r="AF786" i="93"/>
  <c r="JN786" i="93"/>
  <c r="IX786" i="93"/>
  <c r="IK786" i="93"/>
  <c r="HW786" i="93"/>
  <c r="HG786" i="93"/>
  <c r="GT786" i="93"/>
  <c r="GG786" i="93"/>
  <c r="FQ786" i="93"/>
  <c r="FC786" i="93"/>
  <c r="EP786" i="93"/>
  <c r="DZ786" i="93"/>
  <c r="DM786" i="93"/>
  <c r="CY786" i="93"/>
  <c r="CL786" i="93"/>
  <c r="BZ786" i="93"/>
  <c r="BO786" i="93"/>
  <c r="BA786" i="93"/>
  <c r="AP786" i="93"/>
  <c r="AD786" i="93"/>
  <c r="JJ786" i="93"/>
  <c r="IV786" i="93"/>
  <c r="IJ786" i="93"/>
  <c r="HT786" i="93"/>
  <c r="HF786" i="93"/>
  <c r="GR786" i="93"/>
  <c r="GB786" i="93"/>
  <c r="FP786" i="93"/>
  <c r="FB786" i="93"/>
  <c r="EL786" i="93"/>
  <c r="DX786" i="93"/>
  <c r="DL786" i="93"/>
  <c r="CV786" i="93"/>
  <c r="CJ786" i="93"/>
  <c r="BY786" i="93"/>
  <c r="BK786" i="93"/>
  <c r="AZ786" i="93"/>
  <c r="AN786" i="93"/>
  <c r="AA786" i="93"/>
  <c r="IT786" i="93"/>
  <c r="HX786" i="93"/>
  <c r="HB786" i="93"/>
  <c r="GA786" i="93"/>
  <c r="FH786" i="93"/>
  <c r="EJ786" i="93"/>
  <c r="DN786" i="93"/>
  <c r="CR786" i="93"/>
  <c r="BX786" i="93"/>
  <c r="BG786" i="93"/>
  <c r="AJ786" i="93"/>
  <c r="JP786" i="93"/>
  <c r="IS786" i="93"/>
  <c r="HR786" i="93"/>
  <c r="GX786" i="93"/>
  <c r="FZ786" i="93"/>
  <c r="FD786" i="93"/>
  <c r="EH786" i="93"/>
  <c r="DJ786" i="93"/>
  <c r="CQ786" i="93"/>
  <c r="BT786" i="93"/>
  <c r="BB786" i="93"/>
  <c r="AI786" i="93"/>
  <c r="JI786" i="93"/>
  <c r="IN786" i="93"/>
  <c r="HP786" i="93"/>
  <c r="GV786" i="93"/>
  <c r="FY786" i="93"/>
  <c r="FA786" i="93"/>
  <c r="EF786" i="93"/>
  <c r="DF786" i="93"/>
  <c r="CM786" i="93"/>
  <c r="BS786" i="93"/>
  <c r="AY786" i="93"/>
  <c r="AH786" i="93"/>
  <c r="JH786" i="93"/>
  <c r="IL786" i="93"/>
  <c r="HO786" i="93"/>
  <c r="GQ786" i="93"/>
  <c r="FX786" i="93"/>
  <c r="EV786" i="93"/>
  <c r="EB786" i="93"/>
  <c r="DE786" i="93"/>
  <c r="CI786" i="93"/>
  <c r="BR786" i="93"/>
  <c r="AX786" i="93"/>
  <c r="AE786" i="93"/>
  <c r="X786" i="93"/>
  <c r="BJ786" i="93"/>
  <c r="CZ786" i="93"/>
  <c r="ET786" i="93"/>
  <c r="GL786" i="93"/>
  <c r="ID786" i="93"/>
  <c r="BT789" i="93"/>
  <c r="EQ789" i="93"/>
  <c r="E805" i="93"/>
  <c r="F805" i="93"/>
  <c r="AB768" i="93"/>
  <c r="AJ768" i="93"/>
  <c r="AR768" i="93"/>
  <c r="AZ768" i="93"/>
  <c r="BH768" i="93"/>
  <c r="BP768" i="93"/>
  <c r="BX768" i="93"/>
  <c r="CF768" i="93"/>
  <c r="CN768" i="93"/>
  <c r="CV768" i="93"/>
  <c r="DD768" i="93"/>
  <c r="DL768" i="93"/>
  <c r="DT768" i="93"/>
  <c r="EB768" i="93"/>
  <c r="EJ768" i="93"/>
  <c r="ER768" i="93"/>
  <c r="EZ768" i="93"/>
  <c r="FH768" i="93"/>
  <c r="FP768" i="93"/>
  <c r="FX768" i="93"/>
  <c r="GF768" i="93"/>
  <c r="GN768" i="93"/>
  <c r="GV768" i="93"/>
  <c r="HD768" i="93"/>
  <c r="HL768" i="93"/>
  <c r="HT768" i="93"/>
  <c r="IB768" i="93"/>
  <c r="IJ768" i="93"/>
  <c r="IR768" i="93"/>
  <c r="IZ768" i="93"/>
  <c r="JH768" i="93"/>
  <c r="JP768" i="93"/>
  <c r="AC773" i="93"/>
  <c r="AK773" i="93"/>
  <c r="AS773" i="93"/>
  <c r="BA773" i="93"/>
  <c r="BI773" i="93"/>
  <c r="BQ773" i="93"/>
  <c r="BY773" i="93"/>
  <c r="CG773" i="93"/>
  <c r="CO773" i="93"/>
  <c r="CW773" i="93"/>
  <c r="DE773" i="93"/>
  <c r="DM773" i="93"/>
  <c r="DU773" i="93"/>
  <c r="EC773" i="93"/>
  <c r="EK773" i="93"/>
  <c r="ES773" i="93"/>
  <c r="FA773" i="93"/>
  <c r="FI773" i="93"/>
  <c r="FQ773" i="93"/>
  <c r="FY773" i="93"/>
  <c r="GG773" i="93"/>
  <c r="GO773" i="93"/>
  <c r="GW773" i="93"/>
  <c r="HE773" i="93"/>
  <c r="HM773" i="93"/>
  <c r="HU773" i="93"/>
  <c r="IC773" i="93"/>
  <c r="IK773" i="93"/>
  <c r="IS773" i="93"/>
  <c r="JA773" i="93"/>
  <c r="JI773" i="93"/>
  <c r="JQ773" i="93"/>
  <c r="Z774" i="93"/>
  <c r="AH774" i="93"/>
  <c r="AP774" i="93"/>
  <c r="AX774" i="93"/>
  <c r="BF774" i="93"/>
  <c r="BN774" i="93"/>
  <c r="BV774" i="93"/>
  <c r="CD774" i="93"/>
  <c r="CL774" i="93"/>
  <c r="CT774" i="93"/>
  <c r="DB774" i="93"/>
  <c r="DJ774" i="93"/>
  <c r="DR774" i="93"/>
  <c r="DZ774" i="93"/>
  <c r="EH774" i="93"/>
  <c r="EP774" i="93"/>
  <c r="EX774" i="93"/>
  <c r="FF774" i="93"/>
  <c r="FN774" i="93"/>
  <c r="FV774" i="93"/>
  <c r="GD774" i="93"/>
  <c r="GL774" i="93"/>
  <c r="GT774" i="93"/>
  <c r="HB774" i="93"/>
  <c r="HJ774" i="93"/>
  <c r="HR774" i="93"/>
  <c r="HZ774" i="93"/>
  <c r="IH774" i="93"/>
  <c r="IP774" i="93"/>
  <c r="IX774" i="93"/>
  <c r="JF774" i="93"/>
  <c r="JN774" i="93"/>
  <c r="IE776" i="93"/>
  <c r="AC776" i="93"/>
  <c r="AL776" i="93"/>
  <c r="AV776" i="93"/>
  <c r="BE776" i="93"/>
  <c r="BN776" i="93"/>
  <c r="BW776" i="93"/>
  <c r="CF776" i="93"/>
  <c r="CO776" i="93"/>
  <c r="CX776" i="93"/>
  <c r="DH776" i="93"/>
  <c r="DQ776" i="93"/>
  <c r="DZ776" i="93"/>
  <c r="EI776" i="93"/>
  <c r="ER776" i="93"/>
  <c r="FA776" i="93"/>
  <c r="FJ776" i="93"/>
  <c r="FT776" i="93"/>
  <c r="GC776" i="93"/>
  <c r="GL776" i="93"/>
  <c r="GU776" i="93"/>
  <c r="HD776" i="93"/>
  <c r="HM776" i="93"/>
  <c r="HV776" i="93"/>
  <c r="IF776" i="93"/>
  <c r="IO776" i="93"/>
  <c r="IX776" i="93"/>
  <c r="JG776" i="93"/>
  <c r="IG778" i="93"/>
  <c r="AE778" i="93"/>
  <c r="AP778" i="93"/>
  <c r="BA778" i="93"/>
  <c r="BK778" i="93"/>
  <c r="BV778" i="93"/>
  <c r="CG778" i="93"/>
  <c r="CQ778" i="93"/>
  <c r="DB778" i="93"/>
  <c r="DM778" i="93"/>
  <c r="DW778" i="93"/>
  <c r="EH778" i="93"/>
  <c r="ES778" i="93"/>
  <c r="FC778" i="93"/>
  <c r="FN778" i="93"/>
  <c r="FY778" i="93"/>
  <c r="GI778" i="93"/>
  <c r="GT778" i="93"/>
  <c r="HE778" i="93"/>
  <c r="HO778" i="93"/>
  <c r="HZ778" i="93"/>
  <c r="IK778" i="93"/>
  <c r="IU778" i="93"/>
  <c r="JF778" i="93"/>
  <c r="AB779" i="93"/>
  <c r="AM779" i="93"/>
  <c r="AX779" i="93"/>
  <c r="BH779" i="93"/>
  <c r="BS779" i="93"/>
  <c r="CD779" i="93"/>
  <c r="CN779" i="93"/>
  <c r="CY779" i="93"/>
  <c r="DJ779" i="93"/>
  <c r="DT779" i="93"/>
  <c r="EE779" i="93"/>
  <c r="EP779" i="93"/>
  <c r="EZ779" i="93"/>
  <c r="FK779" i="93"/>
  <c r="FV779" i="93"/>
  <c r="GF779" i="93"/>
  <c r="GQ779" i="93"/>
  <c r="HB779" i="93"/>
  <c r="HL779" i="93"/>
  <c r="HW779" i="93"/>
  <c r="IH779" i="93"/>
  <c r="IR779" i="93"/>
  <c r="JC779" i="93"/>
  <c r="AB781" i="93"/>
  <c r="AO781" i="93"/>
  <c r="BB781" i="93"/>
  <c r="BM781" i="93"/>
  <c r="BZ781" i="93"/>
  <c r="CL781" i="93"/>
  <c r="DJ781" i="93"/>
  <c r="DW781" i="93"/>
  <c r="EH781" i="93"/>
  <c r="EU781" i="93"/>
  <c r="IN781" i="93"/>
  <c r="AK784" i="93"/>
  <c r="BE784" i="93"/>
  <c r="CR784" i="93"/>
  <c r="DH784" i="93"/>
  <c r="EB784" i="93"/>
  <c r="ES784" i="93"/>
  <c r="IV784" i="93"/>
  <c r="FL788" i="93"/>
  <c r="GT788" i="93"/>
  <c r="DH795" i="93"/>
  <c r="AC768" i="93"/>
  <c r="AK768" i="93"/>
  <c r="AS768" i="93"/>
  <c r="BA768" i="93"/>
  <c r="BI768" i="93"/>
  <c r="BQ768" i="93"/>
  <c r="BY768" i="93"/>
  <c r="CG768" i="93"/>
  <c r="CO768" i="93"/>
  <c r="CW768" i="93"/>
  <c r="DE768" i="93"/>
  <c r="DM768" i="93"/>
  <c r="DU768" i="93"/>
  <c r="EC768" i="93"/>
  <c r="EK768" i="93"/>
  <c r="ES768" i="93"/>
  <c r="FA768" i="93"/>
  <c r="FI768" i="93"/>
  <c r="FQ768" i="93"/>
  <c r="FY768" i="93"/>
  <c r="GG768" i="93"/>
  <c r="GO768" i="93"/>
  <c r="GW768" i="93"/>
  <c r="HE768" i="93"/>
  <c r="HM768" i="93"/>
  <c r="HU768" i="93"/>
  <c r="IC768" i="93"/>
  <c r="IK768" i="93"/>
  <c r="IS768" i="93"/>
  <c r="JA768" i="93"/>
  <c r="JI768" i="93"/>
  <c r="JQ768" i="93"/>
  <c r="JJ773" i="93"/>
  <c r="AA774" i="93"/>
  <c r="AI774" i="93"/>
  <c r="AQ774" i="93"/>
  <c r="AY774" i="93"/>
  <c r="BG774" i="93"/>
  <c r="BO774" i="93"/>
  <c r="CE774" i="93"/>
  <c r="CM774" i="93"/>
  <c r="CU774" i="93"/>
  <c r="II774" i="93"/>
  <c r="JK776" i="93"/>
  <c r="JC776" i="93"/>
  <c r="IU776" i="93"/>
  <c r="IM776" i="93"/>
  <c r="HW776" i="93"/>
  <c r="HO776" i="93"/>
  <c r="HG776" i="93"/>
  <c r="GY776" i="93"/>
  <c r="GQ776" i="93"/>
  <c r="GI776" i="93"/>
  <c r="GA776" i="93"/>
  <c r="FS776" i="93"/>
  <c r="FK776" i="93"/>
  <c r="FC776" i="93"/>
  <c r="EU776" i="93"/>
  <c r="EM776" i="93"/>
  <c r="EE776" i="93"/>
  <c r="DW776" i="93"/>
  <c r="DO776" i="93"/>
  <c r="DG776" i="93"/>
  <c r="CY776" i="93"/>
  <c r="CQ776" i="93"/>
  <c r="CI776" i="93"/>
  <c r="CA776" i="93"/>
  <c r="BS776" i="93"/>
  <c r="BK776" i="93"/>
  <c r="BC776" i="93"/>
  <c r="AU776" i="93"/>
  <c r="AM776" i="93"/>
  <c r="AE776" i="93"/>
  <c r="W776" i="93"/>
  <c r="AD776" i="93"/>
  <c r="AN776" i="93"/>
  <c r="AW776" i="93"/>
  <c r="BF776" i="93"/>
  <c r="BO776" i="93"/>
  <c r="BX776" i="93"/>
  <c r="CG776" i="93"/>
  <c r="CP776" i="93"/>
  <c r="CZ776" i="93"/>
  <c r="DI776" i="93"/>
  <c r="DR776" i="93"/>
  <c r="EA776" i="93"/>
  <c r="EJ776" i="93"/>
  <c r="ES776" i="93"/>
  <c r="FB776" i="93"/>
  <c r="FL776" i="93"/>
  <c r="FU776" i="93"/>
  <c r="GD776" i="93"/>
  <c r="GM776" i="93"/>
  <c r="GV776" i="93"/>
  <c r="HE776" i="93"/>
  <c r="HN776" i="93"/>
  <c r="HX776" i="93"/>
  <c r="IG776" i="93"/>
  <c r="IP776" i="93"/>
  <c r="IY776" i="93"/>
  <c r="JH776" i="93"/>
  <c r="JQ776" i="93"/>
  <c r="JP778" i="93"/>
  <c r="JH778" i="93"/>
  <c r="IZ778" i="93"/>
  <c r="IR778" i="93"/>
  <c r="IJ778" i="93"/>
  <c r="IB778" i="93"/>
  <c r="HT778" i="93"/>
  <c r="HL778" i="93"/>
  <c r="HD778" i="93"/>
  <c r="GV778" i="93"/>
  <c r="GN778" i="93"/>
  <c r="GF778" i="93"/>
  <c r="FX778" i="93"/>
  <c r="FP778" i="93"/>
  <c r="FH778" i="93"/>
  <c r="EZ778" i="93"/>
  <c r="ER778" i="93"/>
  <c r="EJ778" i="93"/>
  <c r="EB778" i="93"/>
  <c r="DT778" i="93"/>
  <c r="DL778" i="93"/>
  <c r="DD778" i="93"/>
  <c r="CV778" i="93"/>
  <c r="CN778" i="93"/>
  <c r="CF778" i="93"/>
  <c r="BX778" i="93"/>
  <c r="BP778" i="93"/>
  <c r="BH778" i="93"/>
  <c r="AZ778" i="93"/>
  <c r="AR778" i="93"/>
  <c r="AJ778" i="93"/>
  <c r="AB778" i="93"/>
  <c r="JM778" i="93"/>
  <c r="JE778" i="93"/>
  <c r="IW778" i="93"/>
  <c r="IO778" i="93"/>
  <c r="HY778" i="93"/>
  <c r="HQ778" i="93"/>
  <c r="HI778" i="93"/>
  <c r="HA778" i="93"/>
  <c r="GS778" i="93"/>
  <c r="GK778" i="93"/>
  <c r="GC778" i="93"/>
  <c r="FU778" i="93"/>
  <c r="FM778" i="93"/>
  <c r="FE778" i="93"/>
  <c r="EW778" i="93"/>
  <c r="EO778" i="93"/>
  <c r="EG778" i="93"/>
  <c r="DY778" i="93"/>
  <c r="DQ778" i="93"/>
  <c r="DI778" i="93"/>
  <c r="DA778" i="93"/>
  <c r="CS778" i="93"/>
  <c r="CK778" i="93"/>
  <c r="CC778" i="93"/>
  <c r="BU778" i="93"/>
  <c r="BM778" i="93"/>
  <c r="BE778" i="93"/>
  <c r="AW778" i="93"/>
  <c r="AO778" i="93"/>
  <c r="AG778" i="93"/>
  <c r="Y778" i="93"/>
  <c r="AF778" i="93"/>
  <c r="AQ778" i="93"/>
  <c r="BB778" i="93"/>
  <c r="BL778" i="93"/>
  <c r="BW778" i="93"/>
  <c r="CH778" i="93"/>
  <c r="CR778" i="93"/>
  <c r="DC778" i="93"/>
  <c r="DN778" i="93"/>
  <c r="DX778" i="93"/>
  <c r="EI778" i="93"/>
  <c r="ET778" i="93"/>
  <c r="FD778" i="93"/>
  <c r="FO778" i="93"/>
  <c r="FZ778" i="93"/>
  <c r="GJ778" i="93"/>
  <c r="GU778" i="93"/>
  <c r="HF778" i="93"/>
  <c r="HP778" i="93"/>
  <c r="IA778" i="93"/>
  <c r="IL778" i="93"/>
  <c r="IV778" i="93"/>
  <c r="JG778" i="93"/>
  <c r="AC779" i="93"/>
  <c r="AN779" i="93"/>
  <c r="AY779" i="93"/>
  <c r="BI779" i="93"/>
  <c r="BT779" i="93"/>
  <c r="CE779" i="93"/>
  <c r="CO779" i="93"/>
  <c r="DK779" i="93"/>
  <c r="DU779" i="93"/>
  <c r="EF779" i="93"/>
  <c r="EQ779" i="93"/>
  <c r="II779" i="93"/>
  <c r="A784" i="93"/>
  <c r="AL784" i="93"/>
  <c r="CS784" i="93"/>
  <c r="DI784" i="93"/>
  <c r="EC784" i="93"/>
  <c r="FM788" i="93"/>
  <c r="A790" i="93"/>
  <c r="EL796" i="93"/>
  <c r="CY796" i="93"/>
  <c r="BJ796" i="93"/>
  <c r="AC796" i="93"/>
  <c r="EB796" i="93"/>
  <c r="CU796" i="93"/>
  <c r="BH796" i="93"/>
  <c r="AB796" i="93"/>
  <c r="IT796" i="93"/>
  <c r="DV796" i="93"/>
  <c r="CP796" i="93"/>
  <c r="BE796" i="93"/>
  <c r="IS796" i="93"/>
  <c r="DU796" i="93"/>
  <c r="CK796" i="93"/>
  <c r="BC796" i="93"/>
  <c r="DF796" i="93"/>
  <c r="AL796" i="93"/>
  <c r="DA796" i="93"/>
  <c r="AJ796" i="93"/>
  <c r="IJ796" i="93"/>
  <c r="CC796" i="93"/>
  <c r="ER796" i="93"/>
  <c r="BZ796" i="93"/>
  <c r="BU796" i="93"/>
  <c r="IT797" i="93"/>
  <c r="EJ797" i="93"/>
  <c r="DV797" i="93"/>
  <c r="DG797" i="93"/>
  <c r="IR797" i="93"/>
  <c r="EU797" i="93"/>
  <c r="EI797" i="93"/>
  <c r="DT797" i="93"/>
  <c r="DF797" i="93"/>
  <c r="JB797" i="93"/>
  <c r="ES797" i="93"/>
  <c r="ED797" i="93"/>
  <c r="DO797" i="93"/>
  <c r="DD797" i="93"/>
  <c r="IZ797" i="93"/>
  <c r="ER797" i="93"/>
  <c r="EB797" i="93"/>
  <c r="DN797" i="93"/>
  <c r="IO797" i="93"/>
  <c r="EG797" i="93"/>
  <c r="DE797" i="93"/>
  <c r="EA797" i="93"/>
  <c r="DY797" i="93"/>
  <c r="DW797" i="93"/>
  <c r="JI797" i="93"/>
  <c r="DM797" i="93"/>
  <c r="JJ797" i="93"/>
  <c r="DL797" i="93"/>
  <c r="JE797" i="93"/>
  <c r="DJ797" i="93"/>
  <c r="IY797" i="93"/>
  <c r="IW797" i="93"/>
  <c r="ET797" i="93"/>
  <c r="EO797" i="93"/>
  <c r="EL797" i="93"/>
  <c r="EK797" i="93"/>
  <c r="DQ797" i="93"/>
  <c r="JC773" i="93"/>
  <c r="AB774" i="93"/>
  <c r="AJ774" i="93"/>
  <c r="AR774" i="93"/>
  <c r="AZ774" i="93"/>
  <c r="BH774" i="93"/>
  <c r="BP774" i="93"/>
  <c r="CF774" i="93"/>
  <c r="CN774" i="93"/>
  <c r="IG779" i="93"/>
  <c r="ID779" i="93"/>
  <c r="AE779" i="93"/>
  <c r="AP779" i="93"/>
  <c r="AZ779" i="93"/>
  <c r="CF779" i="93"/>
  <c r="CQ779" i="93"/>
  <c r="DL779" i="93"/>
  <c r="DW779" i="93"/>
  <c r="EH779" i="93"/>
  <c r="ER779" i="93"/>
  <c r="IJ779" i="93"/>
  <c r="IU779" i="93"/>
  <c r="IE784" i="93"/>
  <c r="IG784" i="93"/>
  <c r="JA784" i="93"/>
  <c r="IP784" i="93"/>
  <c r="ID784" i="93"/>
  <c r="EV784" i="93"/>
  <c r="EJ784" i="93"/>
  <c r="DY784" i="93"/>
  <c r="DK784" i="93"/>
  <c r="CN784" i="93"/>
  <c r="BZ784" i="93"/>
  <c r="AP784" i="93"/>
  <c r="AD784" i="93"/>
  <c r="BO784" i="93"/>
  <c r="BD784" i="93"/>
  <c r="AN784" i="93"/>
  <c r="BH784" i="93"/>
  <c r="CD784" i="93"/>
  <c r="CV784" i="93"/>
  <c r="DN784" i="93"/>
  <c r="EG784" i="93"/>
  <c r="IF784" i="93"/>
  <c r="IX784" i="93"/>
  <c r="JJ788" i="93"/>
  <c r="FJ788" i="93"/>
  <c r="FB788" i="93"/>
  <c r="IB788" i="93"/>
  <c r="HP788" i="93"/>
  <c r="HB788" i="93"/>
  <c r="GQ788" i="93"/>
  <c r="GC788" i="93"/>
  <c r="FP788" i="93"/>
  <c r="FD788" i="93"/>
  <c r="HZ788" i="93"/>
  <c r="HO788" i="93"/>
  <c r="HA788" i="93"/>
  <c r="GN788" i="93"/>
  <c r="GB788" i="93"/>
  <c r="FN788" i="93"/>
  <c r="FC788" i="93"/>
  <c r="HY788" i="93"/>
  <c r="HI788" i="93"/>
  <c r="GS788" i="93"/>
  <c r="GA788" i="93"/>
  <c r="FK788" i="93"/>
  <c r="HX788" i="93"/>
  <c r="HH788" i="93"/>
  <c r="GR788" i="93"/>
  <c r="FX788" i="93"/>
  <c r="FH788" i="93"/>
  <c r="HW788" i="93"/>
  <c r="HG788" i="93"/>
  <c r="GL788" i="93"/>
  <c r="FV788" i="93"/>
  <c r="FF788" i="93"/>
  <c r="HT788" i="93"/>
  <c r="HD788" i="93"/>
  <c r="GK788" i="93"/>
  <c r="FU788" i="93"/>
  <c r="FE788" i="93"/>
  <c r="FS788" i="93"/>
  <c r="GY788" i="93"/>
  <c r="ET795" i="93"/>
  <c r="BY796" i="93"/>
  <c r="W768" i="93"/>
  <c r="AE768" i="93"/>
  <c r="AM768" i="93"/>
  <c r="AU768" i="93"/>
  <c r="BC768" i="93"/>
  <c r="BK768" i="93"/>
  <c r="BS768" i="93"/>
  <c r="CA768" i="93"/>
  <c r="CI768" i="93"/>
  <c r="CQ768" i="93"/>
  <c r="CY768" i="93"/>
  <c r="DG768" i="93"/>
  <c r="DO768" i="93"/>
  <c r="DW768" i="93"/>
  <c r="EE768" i="93"/>
  <c r="EM768" i="93"/>
  <c r="EU768" i="93"/>
  <c r="FC768" i="93"/>
  <c r="FK768" i="93"/>
  <c r="FS768" i="93"/>
  <c r="GA768" i="93"/>
  <c r="GI768" i="93"/>
  <c r="GQ768" i="93"/>
  <c r="GY768" i="93"/>
  <c r="HG768" i="93"/>
  <c r="HO768" i="93"/>
  <c r="HW768" i="93"/>
  <c r="IM768" i="93"/>
  <c r="IU768" i="93"/>
  <c r="JC768" i="93"/>
  <c r="X773" i="93"/>
  <c r="AF773" i="93"/>
  <c r="AN773" i="93"/>
  <c r="AV773" i="93"/>
  <c r="BD773" i="93"/>
  <c r="BL773" i="93"/>
  <c r="BT773" i="93"/>
  <c r="CB773" i="93"/>
  <c r="CJ773" i="93"/>
  <c r="CR773" i="93"/>
  <c r="CZ773" i="93"/>
  <c r="DH773" i="93"/>
  <c r="DP773" i="93"/>
  <c r="DX773" i="93"/>
  <c r="EF773" i="93"/>
  <c r="EN773" i="93"/>
  <c r="EV773" i="93"/>
  <c r="FD773" i="93"/>
  <c r="FL773" i="93"/>
  <c r="FT773" i="93"/>
  <c r="GB773" i="93"/>
  <c r="GJ773" i="93"/>
  <c r="GR773" i="93"/>
  <c r="GZ773" i="93"/>
  <c r="HH773" i="93"/>
  <c r="HP773" i="93"/>
  <c r="HX773" i="93"/>
  <c r="IN773" i="93"/>
  <c r="IV773" i="93"/>
  <c r="JD773" i="93"/>
  <c r="AC774" i="93"/>
  <c r="AK774" i="93"/>
  <c r="AS774" i="93"/>
  <c r="BA774" i="93"/>
  <c r="BI774" i="93"/>
  <c r="BQ774" i="93"/>
  <c r="BY774" i="93"/>
  <c r="CG774" i="93"/>
  <c r="CO774" i="93"/>
  <c r="CW774" i="93"/>
  <c r="DE774" i="93"/>
  <c r="DM774" i="93"/>
  <c r="DU774" i="93"/>
  <c r="EC774" i="93"/>
  <c r="EK774" i="93"/>
  <c r="ES774" i="93"/>
  <c r="FA774" i="93"/>
  <c r="FI774" i="93"/>
  <c r="FQ774" i="93"/>
  <c r="FY774" i="93"/>
  <c r="GG774" i="93"/>
  <c r="GO774" i="93"/>
  <c r="GW774" i="93"/>
  <c r="HE774" i="93"/>
  <c r="HM774" i="93"/>
  <c r="HU774" i="93"/>
  <c r="IC774" i="93"/>
  <c r="IK774" i="93"/>
  <c r="IS774" i="93"/>
  <c r="JA774" i="93"/>
  <c r="JI774" i="93"/>
  <c r="X776" i="93"/>
  <c r="AG776" i="93"/>
  <c r="AP776" i="93"/>
  <c r="AY776" i="93"/>
  <c r="BH776" i="93"/>
  <c r="BQ776" i="93"/>
  <c r="BZ776" i="93"/>
  <c r="CJ776" i="93"/>
  <c r="CS776" i="93"/>
  <c r="DB776" i="93"/>
  <c r="DK776" i="93"/>
  <c r="DT776" i="93"/>
  <c r="EC776" i="93"/>
  <c r="EL776" i="93"/>
  <c r="EV776" i="93"/>
  <c r="FE776" i="93"/>
  <c r="FN776" i="93"/>
  <c r="FW776" i="93"/>
  <c r="GF776" i="93"/>
  <c r="GO776" i="93"/>
  <c r="GX776" i="93"/>
  <c r="HH776" i="93"/>
  <c r="HQ776" i="93"/>
  <c r="HZ776" i="93"/>
  <c r="II776" i="93"/>
  <c r="IR776" i="93"/>
  <c r="JA776" i="93"/>
  <c r="JJ776" i="93"/>
  <c r="X778" i="93"/>
  <c r="AI778" i="93"/>
  <c r="AT778" i="93"/>
  <c r="BD778" i="93"/>
  <c r="BO778" i="93"/>
  <c r="BZ778" i="93"/>
  <c r="CJ778" i="93"/>
  <c r="CU778" i="93"/>
  <c r="DF778" i="93"/>
  <c r="DP778" i="93"/>
  <c r="EA778" i="93"/>
  <c r="EL778" i="93"/>
  <c r="EV778" i="93"/>
  <c r="FG778" i="93"/>
  <c r="FR778" i="93"/>
  <c r="GB778" i="93"/>
  <c r="GM778" i="93"/>
  <c r="GX778" i="93"/>
  <c r="HH778" i="93"/>
  <c r="HS778" i="93"/>
  <c r="ID778" i="93"/>
  <c r="IN778" i="93"/>
  <c r="IY778" i="93"/>
  <c r="JJ778" i="93"/>
  <c r="JM779" i="93"/>
  <c r="JE779" i="93"/>
  <c r="IW779" i="93"/>
  <c r="IO779" i="93"/>
  <c r="HY779" i="93"/>
  <c r="HQ779" i="93"/>
  <c r="HI779" i="93"/>
  <c r="HA779" i="93"/>
  <c r="GS779" i="93"/>
  <c r="GK779" i="93"/>
  <c r="GC779" i="93"/>
  <c r="FU779" i="93"/>
  <c r="FM779" i="93"/>
  <c r="FE779" i="93"/>
  <c r="EW779" i="93"/>
  <c r="EO779" i="93"/>
  <c r="EG779" i="93"/>
  <c r="DY779" i="93"/>
  <c r="DQ779" i="93"/>
  <c r="DI779" i="93"/>
  <c r="DA779" i="93"/>
  <c r="CS779" i="93"/>
  <c r="CK779" i="93"/>
  <c r="CC779" i="93"/>
  <c r="BU779" i="93"/>
  <c r="BM779" i="93"/>
  <c r="BE779" i="93"/>
  <c r="AW779" i="93"/>
  <c r="AO779" i="93"/>
  <c r="AG779" i="93"/>
  <c r="Y779" i="93"/>
  <c r="JJ779" i="93"/>
  <c r="JB779" i="93"/>
  <c r="IT779" i="93"/>
  <c r="IL779" i="93"/>
  <c r="HV779" i="93"/>
  <c r="HN779" i="93"/>
  <c r="HF779" i="93"/>
  <c r="GX779" i="93"/>
  <c r="GP779" i="93"/>
  <c r="GH779" i="93"/>
  <c r="FZ779" i="93"/>
  <c r="FR779" i="93"/>
  <c r="FJ779" i="93"/>
  <c r="FB779" i="93"/>
  <c r="ET779" i="93"/>
  <c r="EL779" i="93"/>
  <c r="ED779" i="93"/>
  <c r="DV779" i="93"/>
  <c r="DN779" i="93"/>
  <c r="DF779" i="93"/>
  <c r="CX779" i="93"/>
  <c r="CP779" i="93"/>
  <c r="CH779" i="93"/>
  <c r="BZ779" i="93"/>
  <c r="BR779" i="93"/>
  <c r="BJ779" i="93"/>
  <c r="BB779" i="93"/>
  <c r="AT779" i="93"/>
  <c r="AL779" i="93"/>
  <c r="AD779" i="93"/>
  <c r="AF779" i="93"/>
  <c r="AQ779" i="93"/>
  <c r="BA779" i="93"/>
  <c r="BL779" i="93"/>
  <c r="BW779" i="93"/>
  <c r="CG779" i="93"/>
  <c r="CR779" i="93"/>
  <c r="DC779" i="93"/>
  <c r="DM779" i="93"/>
  <c r="DX779" i="93"/>
  <c r="EI779" i="93"/>
  <c r="ES779" i="93"/>
  <c r="FD779" i="93"/>
  <c r="FO779" i="93"/>
  <c r="FY779" i="93"/>
  <c r="GJ779" i="93"/>
  <c r="GU779" i="93"/>
  <c r="HE779" i="93"/>
  <c r="HP779" i="93"/>
  <c r="IA779" i="93"/>
  <c r="IK779" i="93"/>
  <c r="IV779" i="93"/>
  <c r="JG779" i="93"/>
  <c r="JQ779" i="93"/>
  <c r="IJ781" i="93"/>
  <c r="CK781" i="93"/>
  <c r="CB781" i="93"/>
  <c r="AH781" i="93"/>
  <c r="Y781" i="93"/>
  <c r="IG781" i="93"/>
  <c r="CQ781" i="93"/>
  <c r="CH781" i="93"/>
  <c r="AN781" i="93"/>
  <c r="AE781" i="93"/>
  <c r="CT781" i="93"/>
  <c r="BS781" i="93"/>
  <c r="BJ781" i="93"/>
  <c r="AZ781" i="93"/>
  <c r="AQ781" i="93"/>
  <c r="BO781" i="93"/>
  <c r="BF781" i="93"/>
  <c r="AW781" i="93"/>
  <c r="AG781" i="93"/>
  <c r="AT781" i="93"/>
  <c r="BE781" i="93"/>
  <c r="BR781" i="93"/>
  <c r="CD781" i="93"/>
  <c r="CP781" i="93"/>
  <c r="DO781" i="93"/>
  <c r="DZ781" i="93"/>
  <c r="EM781" i="93"/>
  <c r="IF781" i="93"/>
  <c r="IR781" i="93"/>
  <c r="IG783" i="93"/>
  <c r="X784" i="93"/>
  <c r="AS784" i="93"/>
  <c r="BL784" i="93"/>
  <c r="CF784" i="93"/>
  <c r="CW784" i="93"/>
  <c r="DQ784" i="93"/>
  <c r="EH784" i="93"/>
  <c r="IH784" i="93"/>
  <c r="IY784" i="93"/>
  <c r="FT788" i="93"/>
  <c r="GZ788" i="93"/>
  <c r="BM789" i="93"/>
  <c r="AW789" i="93"/>
  <c r="BK789" i="93"/>
  <c r="AU789" i="93"/>
  <c r="CX789" i="93"/>
  <c r="BJ789" i="93"/>
  <c r="AT789" i="93"/>
  <c r="BH789" i="93"/>
  <c r="IG795" i="93"/>
  <c r="CV795" i="93"/>
  <c r="CH795" i="93"/>
  <c r="BS795" i="93"/>
  <c r="BE795" i="93"/>
  <c r="AP795" i="93"/>
  <c r="AA795" i="93"/>
  <c r="IV795" i="93"/>
  <c r="IF795" i="93"/>
  <c r="EM795" i="93"/>
  <c r="DW795" i="93"/>
  <c r="DI795" i="93"/>
  <c r="CT795" i="93"/>
  <c r="CG795" i="93"/>
  <c r="BR795" i="93"/>
  <c r="BB795" i="93"/>
  <c r="AN795" i="93"/>
  <c r="Z795" i="93"/>
  <c r="IU795" i="93"/>
  <c r="ES795" i="93"/>
  <c r="DV795" i="93"/>
  <c r="DD795" i="93"/>
  <c r="CK795" i="93"/>
  <c r="BP795" i="93"/>
  <c r="AW795" i="93"/>
  <c r="AE795" i="93"/>
  <c r="IR795" i="93"/>
  <c r="EO795" i="93"/>
  <c r="DU795" i="93"/>
  <c r="DB795" i="93"/>
  <c r="CJ795" i="93"/>
  <c r="BN795" i="93"/>
  <c r="AV795" i="93"/>
  <c r="AD795" i="93"/>
  <c r="IM795" i="93"/>
  <c r="EJ795" i="93"/>
  <c r="DQ795" i="93"/>
  <c r="CY795" i="93"/>
  <c r="CB795" i="93"/>
  <c r="BJ795" i="93"/>
  <c r="AR795" i="93"/>
  <c r="W795" i="93"/>
  <c r="IJ795" i="93"/>
  <c r="EF795" i="93"/>
  <c r="DE795" i="93"/>
  <c r="BY795" i="93"/>
  <c r="AS795" i="93"/>
  <c r="EE795" i="93"/>
  <c r="CZ795" i="93"/>
  <c r="BX795" i="93"/>
  <c r="AM795" i="93"/>
  <c r="ED795" i="93"/>
  <c r="CS795" i="93"/>
  <c r="BT795" i="93"/>
  <c r="AJ795" i="93"/>
  <c r="EB795" i="93"/>
  <c r="CC795" i="93"/>
  <c r="AG795" i="93"/>
  <c r="DR795" i="93"/>
  <c r="CA795" i="93"/>
  <c r="Y795" i="93"/>
  <c r="DN795" i="93"/>
  <c r="BK795" i="93"/>
  <c r="DM795" i="93"/>
  <c r="BI795" i="93"/>
  <c r="BA795" i="93"/>
  <c r="EV795" i="93"/>
  <c r="IP795" i="93"/>
  <c r="DQ796" i="93"/>
  <c r="JQ781" i="93"/>
  <c r="DI781" i="93"/>
  <c r="DR781" i="93"/>
  <c r="EA781" i="93"/>
  <c r="EJ781" i="93"/>
  <c r="ET781" i="93"/>
  <c r="IP781" i="93"/>
  <c r="IY781" i="93"/>
  <c r="AC784" i="93"/>
  <c r="AO784" i="93"/>
  <c r="BB784" i="93"/>
  <c r="BN784" i="93"/>
  <c r="BY784" i="93"/>
  <c r="CM784" i="93"/>
  <c r="CX784" i="93"/>
  <c r="DJ784" i="93"/>
  <c r="DX784" i="93"/>
  <c r="EI784" i="93"/>
  <c r="ET784" i="93"/>
  <c r="FH784" i="93"/>
  <c r="FT784" i="93"/>
  <c r="GE784" i="93"/>
  <c r="GS784" i="93"/>
  <c r="HD784" i="93"/>
  <c r="HP784" i="93"/>
  <c r="IC784" i="93"/>
  <c r="IO784" i="93"/>
  <c r="IZ784" i="93"/>
  <c r="JJ785" i="93"/>
  <c r="JA785" i="93"/>
  <c r="IQ785" i="93"/>
  <c r="EU785" i="93"/>
  <c r="EL785" i="93"/>
  <c r="EC785" i="93"/>
  <c r="DS785" i="93"/>
  <c r="DJ785" i="93"/>
  <c r="DH785" i="93"/>
  <c r="DV785" i="93"/>
  <c r="EG785" i="93"/>
  <c r="ES785" i="93"/>
  <c r="IX785" i="93"/>
  <c r="JL785" i="93"/>
  <c r="A786" i="93"/>
  <c r="CX788" i="93"/>
  <c r="BR788" i="93"/>
  <c r="BJ788" i="93"/>
  <c r="BB788" i="93"/>
  <c r="AT788" i="93"/>
  <c r="BS788" i="93"/>
  <c r="BE788" i="93"/>
  <c r="AR788" i="93"/>
  <c r="BP788" i="93"/>
  <c r="BD788" i="93"/>
  <c r="X788" i="93"/>
  <c r="AN788" i="93"/>
  <c r="BF788" i="93"/>
  <c r="BV788" i="93"/>
  <c r="CL788" i="93"/>
  <c r="DG788" i="93"/>
  <c r="DW788" i="93"/>
  <c r="EM788" i="93"/>
  <c r="JP789" i="93"/>
  <c r="JH789" i="93"/>
  <c r="IZ789" i="93"/>
  <c r="IR789" i="93"/>
  <c r="IJ789" i="93"/>
  <c r="IB789" i="93"/>
  <c r="HT789" i="93"/>
  <c r="HL789" i="93"/>
  <c r="HD789" i="93"/>
  <c r="GV789" i="93"/>
  <c r="GN789" i="93"/>
  <c r="GF789" i="93"/>
  <c r="FX789" i="93"/>
  <c r="FP789" i="93"/>
  <c r="FH789" i="93"/>
  <c r="EZ789" i="93"/>
  <c r="ER789" i="93"/>
  <c r="EJ789" i="93"/>
  <c r="EB789" i="93"/>
  <c r="DT789" i="93"/>
  <c r="DL789" i="93"/>
  <c r="DD789" i="93"/>
  <c r="CV789" i="93"/>
  <c r="CN789" i="93"/>
  <c r="CF789" i="93"/>
  <c r="BX789" i="93"/>
  <c r="BP789" i="93"/>
  <c r="JI789" i="93"/>
  <c r="IY789" i="93"/>
  <c r="IP789" i="93"/>
  <c r="HX789" i="93"/>
  <c r="HO789" i="93"/>
  <c r="HF789" i="93"/>
  <c r="GW789" i="93"/>
  <c r="GM789" i="93"/>
  <c r="GD789" i="93"/>
  <c r="FU789" i="93"/>
  <c r="FL789" i="93"/>
  <c r="FC789" i="93"/>
  <c r="ET789" i="93"/>
  <c r="EK789" i="93"/>
  <c r="EA789" i="93"/>
  <c r="DR789" i="93"/>
  <c r="DI789" i="93"/>
  <c r="CZ789" i="93"/>
  <c r="CQ789" i="93"/>
  <c r="CH789" i="93"/>
  <c r="BY789" i="93"/>
  <c r="BO789" i="93"/>
  <c r="BG789" i="93"/>
  <c r="AY789" i="93"/>
  <c r="AQ789" i="93"/>
  <c r="AI789" i="93"/>
  <c r="AA789" i="93"/>
  <c r="JQ789" i="93"/>
  <c r="JG789" i="93"/>
  <c r="IX789" i="93"/>
  <c r="IO789" i="93"/>
  <c r="HW789" i="93"/>
  <c r="HN789" i="93"/>
  <c r="HE789" i="93"/>
  <c r="GU789" i="93"/>
  <c r="GL789" i="93"/>
  <c r="GC789" i="93"/>
  <c r="FT789" i="93"/>
  <c r="FK789" i="93"/>
  <c r="FB789" i="93"/>
  <c r="ES789" i="93"/>
  <c r="EI789" i="93"/>
  <c r="DZ789" i="93"/>
  <c r="DQ789" i="93"/>
  <c r="DH789" i="93"/>
  <c r="CY789" i="93"/>
  <c r="CP789" i="93"/>
  <c r="CG789" i="93"/>
  <c r="BW789" i="93"/>
  <c r="BN789" i="93"/>
  <c r="BF789" i="93"/>
  <c r="AX789" i="93"/>
  <c r="AP789" i="93"/>
  <c r="AH789" i="93"/>
  <c r="Z789" i="93"/>
  <c r="JN789" i="93"/>
  <c r="JE789" i="93"/>
  <c r="IV789" i="93"/>
  <c r="IM789" i="93"/>
  <c r="HU789" i="93"/>
  <c r="HK789" i="93"/>
  <c r="HB789" i="93"/>
  <c r="GS789" i="93"/>
  <c r="GJ789" i="93"/>
  <c r="GA789" i="93"/>
  <c r="FR789" i="93"/>
  <c r="FI789" i="93"/>
  <c r="EY789" i="93"/>
  <c r="EP789" i="93"/>
  <c r="EG789" i="93"/>
  <c r="DX789" i="93"/>
  <c r="DO789" i="93"/>
  <c r="DF789" i="93"/>
  <c r="CW789" i="93"/>
  <c r="CM789" i="93"/>
  <c r="CD789" i="93"/>
  <c r="BU789" i="93"/>
  <c r="BL789" i="93"/>
  <c r="BD789" i="93"/>
  <c r="AV789" i="93"/>
  <c r="AN789" i="93"/>
  <c r="AF789" i="93"/>
  <c r="X789" i="93"/>
  <c r="JO789" i="93"/>
  <c r="JB789" i="93"/>
  <c r="IL789" i="93"/>
  <c r="HY789" i="93"/>
  <c r="HI789" i="93"/>
  <c r="GT789" i="93"/>
  <c r="GG789" i="93"/>
  <c r="FQ789" i="93"/>
  <c r="FD789" i="93"/>
  <c r="EN789" i="93"/>
  <c r="DY789" i="93"/>
  <c r="DK789" i="93"/>
  <c r="CU789" i="93"/>
  <c r="CI789" i="93"/>
  <c r="BS789" i="93"/>
  <c r="BE789" i="93"/>
  <c r="AS789" i="93"/>
  <c r="AE789" i="93"/>
  <c r="JM789" i="93"/>
  <c r="JA789" i="93"/>
  <c r="IK789" i="93"/>
  <c r="HV789" i="93"/>
  <c r="HH789" i="93"/>
  <c r="GR789" i="93"/>
  <c r="GE789" i="93"/>
  <c r="FO789" i="93"/>
  <c r="FA789" i="93"/>
  <c r="EM789" i="93"/>
  <c r="DW789" i="93"/>
  <c r="DJ789" i="93"/>
  <c r="CT789" i="93"/>
  <c r="CE789" i="93"/>
  <c r="BR789" i="93"/>
  <c r="BC789" i="93"/>
  <c r="AR789" i="93"/>
  <c r="AD789" i="93"/>
  <c r="Y789" i="93"/>
  <c r="AO789" i="93"/>
  <c r="BI789" i="93"/>
  <c r="CA789" i="93"/>
  <c r="CS789" i="93"/>
  <c r="DN789" i="93"/>
  <c r="EF789" i="93"/>
  <c r="EX789" i="93"/>
  <c r="FV789" i="93"/>
  <c r="GO789" i="93"/>
  <c r="HG789" i="93"/>
  <c r="IA789" i="93"/>
  <c r="IT789" i="93"/>
  <c r="JL789" i="93"/>
  <c r="AN790" i="93"/>
  <c r="BG790" i="93"/>
  <c r="CB790" i="93"/>
  <c r="CU790" i="93"/>
  <c r="DM790" i="93"/>
  <c r="EJ790" i="93"/>
  <c r="FB790" i="93"/>
  <c r="FT790" i="93"/>
  <c r="GO790" i="93"/>
  <c r="HK790" i="93"/>
  <c r="JH790" i="93"/>
  <c r="JN791" i="93"/>
  <c r="JD791" i="93"/>
  <c r="HX791" i="93"/>
  <c r="HL791" i="93"/>
  <c r="HB791" i="93"/>
  <c r="GR791" i="93"/>
  <c r="GF791" i="93"/>
  <c r="FV791" i="93"/>
  <c r="FL791" i="93"/>
  <c r="EZ791" i="93"/>
  <c r="JM791" i="93"/>
  <c r="JC791" i="93"/>
  <c r="HW791" i="93"/>
  <c r="HK791" i="93"/>
  <c r="HA791" i="93"/>
  <c r="GQ791" i="93"/>
  <c r="GE791" i="93"/>
  <c r="FU791" i="93"/>
  <c r="FK791" i="93"/>
  <c r="EY791" i="93"/>
  <c r="HS791" i="93"/>
  <c r="HI791" i="93"/>
  <c r="GY791" i="93"/>
  <c r="GM791" i="93"/>
  <c r="GC791" i="93"/>
  <c r="FS791" i="93"/>
  <c r="FG791" i="93"/>
  <c r="EW791" i="93"/>
  <c r="JG791" i="93"/>
  <c r="HZ791" i="93"/>
  <c r="HH791" i="93"/>
  <c r="GS791" i="93"/>
  <c r="GA791" i="93"/>
  <c r="FH791" i="93"/>
  <c r="JF791" i="93"/>
  <c r="HY791" i="93"/>
  <c r="HG791" i="93"/>
  <c r="GN791" i="93"/>
  <c r="FX791" i="93"/>
  <c r="FF791" i="93"/>
  <c r="JE791" i="93"/>
  <c r="HT791" i="93"/>
  <c r="HD791" i="93"/>
  <c r="GL791" i="93"/>
  <c r="FW791" i="93"/>
  <c r="FE791" i="93"/>
  <c r="FO791" i="93"/>
  <c r="GT791" i="93"/>
  <c r="HQ791" i="93"/>
  <c r="JP791" i="93"/>
  <c r="BK792" i="93"/>
  <c r="AS792" i="93"/>
  <c r="BA792" i="93"/>
  <c r="CF792" i="93"/>
  <c r="EF792" i="93"/>
  <c r="JP793" i="93"/>
  <c r="HR793" i="93"/>
  <c r="HG793" i="93"/>
  <c r="GU793" i="93"/>
  <c r="GG793" i="93"/>
  <c r="FV793" i="93"/>
  <c r="FK793" i="93"/>
  <c r="JO793" i="93"/>
  <c r="HQ793" i="93"/>
  <c r="HE793" i="93"/>
  <c r="GT793" i="93"/>
  <c r="GF793" i="93"/>
  <c r="FU793" i="93"/>
  <c r="FI793" i="93"/>
  <c r="HU793" i="93"/>
  <c r="GY793" i="93"/>
  <c r="GE793" i="93"/>
  <c r="FM793" i="93"/>
  <c r="HP793" i="93"/>
  <c r="GW793" i="93"/>
  <c r="GC793" i="93"/>
  <c r="FL793" i="93"/>
  <c r="HM793" i="93"/>
  <c r="GV793" i="93"/>
  <c r="GB793" i="93"/>
  <c r="FF793" i="93"/>
  <c r="FW793" i="93"/>
  <c r="HD793" i="93"/>
  <c r="AZ794" i="93"/>
  <c r="CD794" i="93"/>
  <c r="DM794" i="93"/>
  <c r="ID788" i="93"/>
  <c r="CP788" i="93"/>
  <c r="CH788" i="93"/>
  <c r="BZ788" i="93"/>
  <c r="AL788" i="93"/>
  <c r="AD788" i="93"/>
  <c r="CR788" i="93"/>
  <c r="CD788" i="93"/>
  <c r="AF788" i="93"/>
  <c r="CQ788" i="93"/>
  <c r="CC788" i="93"/>
  <c r="AP788" i="93"/>
  <c r="AE788" i="93"/>
  <c r="Y788" i="93"/>
  <c r="AO788" i="93"/>
  <c r="BH788" i="93"/>
  <c r="BX788" i="93"/>
  <c r="CN788" i="93"/>
  <c r="DH788" i="93"/>
  <c r="DX788" i="93"/>
  <c r="IM788" i="93"/>
  <c r="DP789" i="93"/>
  <c r="EH789" i="93"/>
  <c r="IU789" i="93"/>
  <c r="IG790" i="93"/>
  <c r="IF790" i="93"/>
  <c r="IH790" i="93"/>
  <c r="W790" i="93"/>
  <c r="AP790" i="93"/>
  <c r="BH790" i="93"/>
  <c r="CF790" i="93"/>
  <c r="CX790" i="93"/>
  <c r="DP790" i="93"/>
  <c r="EK790" i="93"/>
  <c r="FC790" i="93"/>
  <c r="FV790" i="93"/>
  <c r="GQ790" i="93"/>
  <c r="HM790" i="93"/>
  <c r="II790" i="93"/>
  <c r="FP791" i="93"/>
  <c r="GU791" i="93"/>
  <c r="HR791" i="93"/>
  <c r="IH792" i="93"/>
  <c r="IG792" i="93"/>
  <c r="IF792" i="93"/>
  <c r="ID792" i="93"/>
  <c r="IO792" i="93"/>
  <c r="ES792" i="93"/>
  <c r="DY792" i="93"/>
  <c r="DL792" i="93"/>
  <c r="CR792" i="93"/>
  <c r="CA792" i="93"/>
  <c r="AD792" i="93"/>
  <c r="AE792" i="93"/>
  <c r="BB792" i="93"/>
  <c r="CG792" i="93"/>
  <c r="DD792" i="93"/>
  <c r="EG792" i="93"/>
  <c r="IK792" i="93"/>
  <c r="FX793" i="93"/>
  <c r="HH793" i="93"/>
  <c r="CF794" i="93"/>
  <c r="A789" i="93"/>
  <c r="JM790" i="93"/>
  <c r="JE790" i="93"/>
  <c r="IW790" i="93"/>
  <c r="IO790" i="93"/>
  <c r="HY790" i="93"/>
  <c r="HQ790" i="93"/>
  <c r="HI790" i="93"/>
  <c r="HA790" i="93"/>
  <c r="GS790" i="93"/>
  <c r="GK790" i="93"/>
  <c r="GC790" i="93"/>
  <c r="FU790" i="93"/>
  <c r="FM790" i="93"/>
  <c r="FE790" i="93"/>
  <c r="EW790" i="93"/>
  <c r="EO790" i="93"/>
  <c r="EG790" i="93"/>
  <c r="DY790" i="93"/>
  <c r="DQ790" i="93"/>
  <c r="DI790" i="93"/>
  <c r="DA790" i="93"/>
  <c r="CS790" i="93"/>
  <c r="CK790" i="93"/>
  <c r="CC790" i="93"/>
  <c r="BU790" i="93"/>
  <c r="BM790" i="93"/>
  <c r="BE790" i="93"/>
  <c r="AW790" i="93"/>
  <c r="AO790" i="93"/>
  <c r="AG790" i="93"/>
  <c r="Y790" i="93"/>
  <c r="JL790" i="93"/>
  <c r="JD790" i="93"/>
  <c r="IV790" i="93"/>
  <c r="IN790" i="93"/>
  <c r="HX790" i="93"/>
  <c r="HP790" i="93"/>
  <c r="HH790" i="93"/>
  <c r="GZ790" i="93"/>
  <c r="GR790" i="93"/>
  <c r="JQ790" i="93"/>
  <c r="JG790" i="93"/>
  <c r="IU790" i="93"/>
  <c r="IK790" i="93"/>
  <c r="IA790" i="93"/>
  <c r="HO790" i="93"/>
  <c r="HE790" i="93"/>
  <c r="GU790" i="93"/>
  <c r="GJ790" i="93"/>
  <c r="GA790" i="93"/>
  <c r="FR790" i="93"/>
  <c r="FI790" i="93"/>
  <c r="EZ790" i="93"/>
  <c r="EQ790" i="93"/>
  <c r="EH790" i="93"/>
  <c r="DX790" i="93"/>
  <c r="DO790" i="93"/>
  <c r="DF790" i="93"/>
  <c r="CW790" i="93"/>
  <c r="CN790" i="93"/>
  <c r="CE790" i="93"/>
  <c r="BV790" i="93"/>
  <c r="BL790" i="93"/>
  <c r="BC790" i="93"/>
  <c r="AT790" i="93"/>
  <c r="AK790" i="93"/>
  <c r="AB790" i="93"/>
  <c r="JP790" i="93"/>
  <c r="JF790" i="93"/>
  <c r="IT790" i="93"/>
  <c r="IJ790" i="93"/>
  <c r="HZ790" i="93"/>
  <c r="HN790" i="93"/>
  <c r="HD790" i="93"/>
  <c r="GT790" i="93"/>
  <c r="GI790" i="93"/>
  <c r="FZ790" i="93"/>
  <c r="FQ790" i="93"/>
  <c r="FH790" i="93"/>
  <c r="EY790" i="93"/>
  <c r="EP790" i="93"/>
  <c r="EF790" i="93"/>
  <c r="DW790" i="93"/>
  <c r="DN790" i="93"/>
  <c r="DE790" i="93"/>
  <c r="CV790" i="93"/>
  <c r="CM790" i="93"/>
  <c r="CD790" i="93"/>
  <c r="BT790" i="93"/>
  <c r="BK790" i="93"/>
  <c r="BB790" i="93"/>
  <c r="AS790" i="93"/>
  <c r="AJ790" i="93"/>
  <c r="AA790" i="93"/>
  <c r="JN790" i="93"/>
  <c r="JB790" i="93"/>
  <c r="IR790" i="93"/>
  <c r="HV790" i="93"/>
  <c r="HL790" i="93"/>
  <c r="HB790" i="93"/>
  <c r="GP790" i="93"/>
  <c r="GG790" i="93"/>
  <c r="FX790" i="93"/>
  <c r="FO790" i="93"/>
  <c r="FF790" i="93"/>
  <c r="EV790" i="93"/>
  <c r="EM790" i="93"/>
  <c r="ED790" i="93"/>
  <c r="DU790" i="93"/>
  <c r="DL790" i="93"/>
  <c r="DC790" i="93"/>
  <c r="CT790" i="93"/>
  <c r="CJ790" i="93"/>
  <c r="CA790" i="93"/>
  <c r="BR790" i="93"/>
  <c r="BI790" i="93"/>
  <c r="AZ790" i="93"/>
  <c r="AQ790" i="93"/>
  <c r="AH790" i="93"/>
  <c r="X790" i="93"/>
  <c r="JC790" i="93"/>
  <c r="IM790" i="93"/>
  <c r="HU790" i="93"/>
  <c r="HF790" i="93"/>
  <c r="GN790" i="93"/>
  <c r="FY790" i="93"/>
  <c r="FK790" i="93"/>
  <c r="EU790" i="93"/>
  <c r="EI790" i="93"/>
  <c r="DS790" i="93"/>
  <c r="DD790" i="93"/>
  <c r="CP790" i="93"/>
  <c r="BZ790" i="93"/>
  <c r="BN790" i="93"/>
  <c r="AX790" i="93"/>
  <c r="AI790" i="93"/>
  <c r="JA790" i="93"/>
  <c r="IL790" i="93"/>
  <c r="HT790" i="93"/>
  <c r="HC790" i="93"/>
  <c r="GM790" i="93"/>
  <c r="FW790" i="93"/>
  <c r="FJ790" i="93"/>
  <c r="ET790" i="93"/>
  <c r="EE790" i="93"/>
  <c r="DR790" i="93"/>
  <c r="DB790" i="93"/>
  <c r="CO790" i="93"/>
  <c r="BY790" i="93"/>
  <c r="BJ790" i="93"/>
  <c r="AV790" i="93"/>
  <c r="AF790" i="93"/>
  <c r="Z790" i="93"/>
  <c r="AR790" i="93"/>
  <c r="BO790" i="93"/>
  <c r="CG790" i="93"/>
  <c r="CY790" i="93"/>
  <c r="DT790" i="93"/>
  <c r="EL790" i="93"/>
  <c r="FD790" i="93"/>
  <c r="GB790" i="93"/>
  <c r="GV790" i="93"/>
  <c r="HR790" i="93"/>
  <c r="IP790" i="93"/>
  <c r="JJ790" i="93"/>
  <c r="FT791" i="93"/>
  <c r="GV791" i="93"/>
  <c r="K793" i="93"/>
  <c r="L793" i="93" s="1"/>
  <c r="BR794" i="93"/>
  <c r="AW794" i="93"/>
  <c r="BF794" i="93"/>
  <c r="DL781" i="93"/>
  <c r="DV781" i="93"/>
  <c r="EE781" i="93"/>
  <c r="EN781" i="93"/>
  <c r="IF783" i="93"/>
  <c r="IE783" i="93"/>
  <c r="JK784" i="93"/>
  <c r="JC784" i="93"/>
  <c r="IU784" i="93"/>
  <c r="IM784" i="93"/>
  <c r="HW784" i="93"/>
  <c r="HO784" i="93"/>
  <c r="HG784" i="93"/>
  <c r="GY784" i="93"/>
  <c r="GQ784" i="93"/>
  <c r="GI784" i="93"/>
  <c r="GA784" i="93"/>
  <c r="FS784" i="93"/>
  <c r="FK784" i="93"/>
  <c r="FC784" i="93"/>
  <c r="EU784" i="93"/>
  <c r="EM784" i="93"/>
  <c r="EE784" i="93"/>
  <c r="DW784" i="93"/>
  <c r="DO784" i="93"/>
  <c r="DG784" i="93"/>
  <c r="CY784" i="93"/>
  <c r="CQ784" i="93"/>
  <c r="CI784" i="93"/>
  <c r="CA784" i="93"/>
  <c r="BS784" i="93"/>
  <c r="BK784" i="93"/>
  <c r="BC784" i="93"/>
  <c r="AU784" i="93"/>
  <c r="AM784" i="93"/>
  <c r="AE784" i="93"/>
  <c r="W784" i="93"/>
  <c r="JM784" i="93"/>
  <c r="JD784" i="93"/>
  <c r="IT784" i="93"/>
  <c r="IK784" i="93"/>
  <c r="IB784" i="93"/>
  <c r="HS784" i="93"/>
  <c r="HJ784" i="93"/>
  <c r="HA784" i="93"/>
  <c r="GR784" i="93"/>
  <c r="GH784" i="93"/>
  <c r="FY784" i="93"/>
  <c r="FP784" i="93"/>
  <c r="FG784" i="93"/>
  <c r="EX784" i="93"/>
  <c r="EO784" i="93"/>
  <c r="EF784" i="93"/>
  <c r="DV784" i="93"/>
  <c r="DM784" i="93"/>
  <c r="DD784" i="93"/>
  <c r="CU784" i="93"/>
  <c r="CL784" i="93"/>
  <c r="CC784" i="93"/>
  <c r="BT784" i="93"/>
  <c r="BJ784" i="93"/>
  <c r="BA784" i="93"/>
  <c r="AR784" i="93"/>
  <c r="AI784" i="93"/>
  <c r="Z784" i="93"/>
  <c r="JL784" i="93"/>
  <c r="JB784" i="93"/>
  <c r="IS784" i="93"/>
  <c r="IJ784" i="93"/>
  <c r="IA784" i="93"/>
  <c r="HR784" i="93"/>
  <c r="HI784" i="93"/>
  <c r="GZ784" i="93"/>
  <c r="GP784" i="93"/>
  <c r="GG784" i="93"/>
  <c r="FX784" i="93"/>
  <c r="FO784" i="93"/>
  <c r="FF784" i="93"/>
  <c r="EW784" i="93"/>
  <c r="EN784" i="93"/>
  <c r="ED784" i="93"/>
  <c r="DU784" i="93"/>
  <c r="DL784" i="93"/>
  <c r="DC784" i="93"/>
  <c r="CT784" i="93"/>
  <c r="CK784" i="93"/>
  <c r="CB784" i="93"/>
  <c r="BR784" i="93"/>
  <c r="BI784" i="93"/>
  <c r="AZ784" i="93"/>
  <c r="AQ784" i="93"/>
  <c r="AH784" i="93"/>
  <c r="Y784" i="93"/>
  <c r="AG784" i="93"/>
  <c r="AT784" i="93"/>
  <c r="BF784" i="93"/>
  <c r="BQ784" i="93"/>
  <c r="CE784" i="93"/>
  <c r="CP784" i="93"/>
  <c r="DB784" i="93"/>
  <c r="DP784" i="93"/>
  <c r="EA784" i="93"/>
  <c r="EL784" i="93"/>
  <c r="EZ784" i="93"/>
  <c r="FL784" i="93"/>
  <c r="FW784" i="93"/>
  <c r="GK784" i="93"/>
  <c r="GV784" i="93"/>
  <c r="HH784" i="93"/>
  <c r="HU784" i="93"/>
  <c r="IR784" i="93"/>
  <c r="JF784" i="93"/>
  <c r="JQ784" i="93"/>
  <c r="ET788" i="93"/>
  <c r="EL788" i="93"/>
  <c r="ED788" i="93"/>
  <c r="DV788" i="93"/>
  <c r="DN788" i="93"/>
  <c r="DF788" i="93"/>
  <c r="IO788" i="93"/>
  <c r="EP788" i="93"/>
  <c r="EE788" i="93"/>
  <c r="DQ788" i="93"/>
  <c r="DD788" i="93"/>
  <c r="IZ788" i="93"/>
  <c r="IN788" i="93"/>
  <c r="EO788" i="93"/>
  <c r="EB788" i="93"/>
  <c r="DP788" i="93"/>
  <c r="AB788" i="93"/>
  <c r="AV788" i="93"/>
  <c r="BL788" i="93"/>
  <c r="CB788" i="93"/>
  <c r="CT788" i="93"/>
  <c r="DJ788" i="93"/>
  <c r="DZ788" i="93"/>
  <c r="EU788" i="93"/>
  <c r="IR788" i="93"/>
  <c r="DU789" i="93"/>
  <c r="JC789" i="93"/>
  <c r="AC790" i="93"/>
  <c r="AU790" i="93"/>
  <c r="BP790" i="93"/>
  <c r="CH790" i="93"/>
  <c r="CZ790" i="93"/>
  <c r="DV790" i="93"/>
  <c r="EN790" i="93"/>
  <c r="FG790" i="93"/>
  <c r="GD790" i="93"/>
  <c r="GW790" i="93"/>
  <c r="HS790" i="93"/>
  <c r="IQ790" i="93"/>
  <c r="JK790" i="93"/>
  <c r="EX791" i="93"/>
  <c r="GB791" i="93"/>
  <c r="GZ791" i="93"/>
  <c r="IB791" i="93"/>
  <c r="AG792" i="93"/>
  <c r="BL792" i="93"/>
  <c r="CI792" i="93"/>
  <c r="DN792" i="93"/>
  <c r="EK792" i="93"/>
  <c r="IU792" i="93"/>
  <c r="A793" i="93"/>
  <c r="FC793" i="93"/>
  <c r="GL793" i="93"/>
  <c r="HL793" i="93"/>
  <c r="IF794" i="93"/>
  <c r="IE794" i="93"/>
  <c r="ID794" i="93"/>
  <c r="IJ794" i="93"/>
  <c r="EH794" i="93"/>
  <c r="DI794" i="93"/>
  <c r="CJ794" i="93"/>
  <c r="AF794" i="93"/>
  <c r="IH794" i="93"/>
  <c r="IG794" i="93"/>
  <c r="AG794" i="93"/>
  <c r="BH794" i="93"/>
  <c r="CQ794" i="93"/>
  <c r="DV794" i="93"/>
  <c r="IK794" i="93"/>
  <c r="IH795" i="93"/>
  <c r="JM797" i="93"/>
  <c r="HG797" i="93"/>
  <c r="GF797" i="93"/>
  <c r="FC797" i="93"/>
  <c r="GX797" i="93"/>
  <c r="FP797" i="93"/>
  <c r="GU797" i="93"/>
  <c r="FO797" i="93"/>
  <c r="HV797" i="93"/>
  <c r="GP797" i="93"/>
  <c r="HE797" i="93"/>
  <c r="AC781" i="93"/>
  <c r="AK781" i="93"/>
  <c r="AS781" i="93"/>
  <c r="BA781" i="93"/>
  <c r="BI781" i="93"/>
  <c r="BQ781" i="93"/>
  <c r="BY781" i="93"/>
  <c r="CG781" i="93"/>
  <c r="CO781" i="93"/>
  <c r="CW781" i="93"/>
  <c r="DE781" i="93"/>
  <c r="DM781" i="93"/>
  <c r="DU781" i="93"/>
  <c r="EC781" i="93"/>
  <c r="EK781" i="93"/>
  <c r="ES781" i="93"/>
  <c r="FA781" i="93"/>
  <c r="FI781" i="93"/>
  <c r="FQ781" i="93"/>
  <c r="FY781" i="93"/>
  <c r="GG781" i="93"/>
  <c r="GO781" i="93"/>
  <c r="GW781" i="93"/>
  <c r="HE781" i="93"/>
  <c r="HM781" i="93"/>
  <c r="HU781" i="93"/>
  <c r="IC781" i="93"/>
  <c r="IK781" i="93"/>
  <c r="IS781" i="93"/>
  <c r="JA781" i="93"/>
  <c r="JI781" i="93"/>
  <c r="JP785" i="93"/>
  <c r="JH785" i="93"/>
  <c r="IZ785" i="93"/>
  <c r="IR785" i="93"/>
  <c r="IJ785" i="93"/>
  <c r="IB785" i="93"/>
  <c r="HT785" i="93"/>
  <c r="HL785" i="93"/>
  <c r="HD785" i="93"/>
  <c r="GV785" i="93"/>
  <c r="GN785" i="93"/>
  <c r="GF785" i="93"/>
  <c r="FX785" i="93"/>
  <c r="FP785" i="93"/>
  <c r="FH785" i="93"/>
  <c r="EZ785" i="93"/>
  <c r="ER785" i="93"/>
  <c r="EJ785" i="93"/>
  <c r="EB785" i="93"/>
  <c r="DT785" i="93"/>
  <c r="DL785" i="93"/>
  <c r="DD785" i="93"/>
  <c r="CV785" i="93"/>
  <c r="CN785" i="93"/>
  <c r="CF785" i="93"/>
  <c r="BX785" i="93"/>
  <c r="BP785" i="93"/>
  <c r="BH785" i="93"/>
  <c r="AZ785" i="93"/>
  <c r="AR785" i="93"/>
  <c r="AJ785" i="93"/>
  <c r="AB785" i="93"/>
  <c r="AE785" i="93"/>
  <c r="AN785" i="93"/>
  <c r="AW785" i="93"/>
  <c r="BF785" i="93"/>
  <c r="BO785" i="93"/>
  <c r="BY785" i="93"/>
  <c r="CH785" i="93"/>
  <c r="CQ785" i="93"/>
  <c r="CZ785" i="93"/>
  <c r="DI785" i="93"/>
  <c r="DR785" i="93"/>
  <c r="EA785" i="93"/>
  <c r="EK785" i="93"/>
  <c r="ET785" i="93"/>
  <c r="FC785" i="93"/>
  <c r="FL785" i="93"/>
  <c r="FU785" i="93"/>
  <c r="GD785" i="93"/>
  <c r="GM785" i="93"/>
  <c r="GW785" i="93"/>
  <c r="HF785" i="93"/>
  <c r="HO785" i="93"/>
  <c r="HX785" i="93"/>
  <c r="IG785" i="93"/>
  <c r="IP785" i="93"/>
  <c r="IY785" i="93"/>
  <c r="JI785" i="93"/>
  <c r="ID791" i="93"/>
  <c r="IR791" i="93"/>
  <c r="IH791" i="93"/>
  <c r="EP791" i="93"/>
  <c r="EF791" i="93"/>
  <c r="DT791" i="93"/>
  <c r="DJ791" i="93"/>
  <c r="CN791" i="93"/>
  <c r="CD791" i="93"/>
  <c r="AN791" i="93"/>
  <c r="AB791" i="93"/>
  <c r="IQ791" i="93"/>
  <c r="IG791" i="93"/>
  <c r="EO791" i="93"/>
  <c r="EE791" i="93"/>
  <c r="DS791" i="93"/>
  <c r="DI791" i="93"/>
  <c r="CM791" i="93"/>
  <c r="CC791" i="93"/>
  <c r="AM791" i="93"/>
  <c r="AA791" i="93"/>
  <c r="IE791" i="93"/>
  <c r="CK791" i="93"/>
  <c r="CA791" i="93"/>
  <c r="AI791" i="93"/>
  <c r="Y791" i="93"/>
  <c r="BT791" i="93"/>
  <c r="BH791" i="93"/>
  <c r="AX791" i="93"/>
  <c r="BS791" i="93"/>
  <c r="BG791" i="93"/>
  <c r="AW791" i="93"/>
  <c r="CU791" i="93"/>
  <c r="BO791" i="93"/>
  <c r="BE791" i="93"/>
  <c r="AU791" i="93"/>
  <c r="X791" i="93"/>
  <c r="AP791" i="93"/>
  <c r="BF791" i="93"/>
  <c r="CQ791" i="93"/>
  <c r="DD791" i="93"/>
  <c r="DX791" i="93"/>
  <c r="EN791" i="93"/>
  <c r="IM791" i="93"/>
  <c r="JO792" i="93"/>
  <c r="JG792" i="93"/>
  <c r="IY792" i="93"/>
  <c r="IQ792" i="93"/>
  <c r="II792" i="93"/>
  <c r="IA792" i="93"/>
  <c r="HS792" i="93"/>
  <c r="HK792" i="93"/>
  <c r="HC792" i="93"/>
  <c r="GU792" i="93"/>
  <c r="GM792" i="93"/>
  <c r="GE792" i="93"/>
  <c r="FW792" i="93"/>
  <c r="FO792" i="93"/>
  <c r="FG792" i="93"/>
  <c r="EY792" i="93"/>
  <c r="EQ792" i="93"/>
  <c r="EI792" i="93"/>
  <c r="EA792" i="93"/>
  <c r="DS792" i="93"/>
  <c r="DK792" i="93"/>
  <c r="DC792" i="93"/>
  <c r="CU792" i="93"/>
  <c r="CM792" i="93"/>
  <c r="CE792" i="93"/>
  <c r="BW792" i="93"/>
  <c r="BO792" i="93"/>
  <c r="BG792" i="93"/>
  <c r="AY792" i="93"/>
  <c r="AQ792" i="93"/>
  <c r="AI792" i="93"/>
  <c r="AA792" i="93"/>
  <c r="JN792" i="93"/>
  <c r="JF792" i="93"/>
  <c r="IX792" i="93"/>
  <c r="IP792" i="93"/>
  <c r="HZ792" i="93"/>
  <c r="HR792" i="93"/>
  <c r="HJ792" i="93"/>
  <c r="HB792" i="93"/>
  <c r="GT792" i="93"/>
  <c r="GL792" i="93"/>
  <c r="GD792" i="93"/>
  <c r="FV792" i="93"/>
  <c r="FN792" i="93"/>
  <c r="FF792" i="93"/>
  <c r="EX792" i="93"/>
  <c r="EP792" i="93"/>
  <c r="EH792" i="93"/>
  <c r="DZ792" i="93"/>
  <c r="DR792" i="93"/>
  <c r="DJ792" i="93"/>
  <c r="DB792" i="93"/>
  <c r="CT792" i="93"/>
  <c r="CL792" i="93"/>
  <c r="CD792" i="93"/>
  <c r="BV792" i="93"/>
  <c r="BN792" i="93"/>
  <c r="BF792" i="93"/>
  <c r="AX792" i="93"/>
  <c r="AP792" i="93"/>
  <c r="AH792" i="93"/>
  <c r="Z792" i="93"/>
  <c r="JM792" i="93"/>
  <c r="JC792" i="93"/>
  <c r="IS792" i="93"/>
  <c r="HW792" i="93"/>
  <c r="HM792" i="93"/>
  <c r="HA792" i="93"/>
  <c r="GQ792" i="93"/>
  <c r="GG792" i="93"/>
  <c r="FU792" i="93"/>
  <c r="FK792" i="93"/>
  <c r="FA792" i="93"/>
  <c r="EO792" i="93"/>
  <c r="EE792" i="93"/>
  <c r="DU792" i="93"/>
  <c r="DI792" i="93"/>
  <c r="CY792" i="93"/>
  <c r="CO792" i="93"/>
  <c r="CC792" i="93"/>
  <c r="BS792" i="93"/>
  <c r="BI792" i="93"/>
  <c r="AW792" i="93"/>
  <c r="AM792" i="93"/>
  <c r="AC792" i="93"/>
  <c r="JL792" i="93"/>
  <c r="JB792" i="93"/>
  <c r="IR792" i="93"/>
  <c r="HV792" i="93"/>
  <c r="HL792" i="93"/>
  <c r="GZ792" i="93"/>
  <c r="GP792" i="93"/>
  <c r="GF792" i="93"/>
  <c r="FT792" i="93"/>
  <c r="FJ792" i="93"/>
  <c r="EZ792" i="93"/>
  <c r="EN792" i="93"/>
  <c r="ED792" i="93"/>
  <c r="DT792" i="93"/>
  <c r="DH792" i="93"/>
  <c r="CX792" i="93"/>
  <c r="CN792" i="93"/>
  <c r="CB792" i="93"/>
  <c r="BR792" i="93"/>
  <c r="BH792" i="93"/>
  <c r="AV792" i="93"/>
  <c r="AL792" i="93"/>
  <c r="AB792" i="93"/>
  <c r="JJ792" i="93"/>
  <c r="IZ792" i="93"/>
  <c r="IN792" i="93"/>
  <c r="HT792" i="93"/>
  <c r="HH792" i="93"/>
  <c r="GX792" i="93"/>
  <c r="GN792" i="93"/>
  <c r="GB792" i="93"/>
  <c r="FR792" i="93"/>
  <c r="FH792" i="93"/>
  <c r="EV792" i="93"/>
  <c r="EL792" i="93"/>
  <c r="EB792" i="93"/>
  <c r="DP792" i="93"/>
  <c r="DF792" i="93"/>
  <c r="CV792" i="93"/>
  <c r="CJ792" i="93"/>
  <c r="BZ792" i="93"/>
  <c r="BP792" i="93"/>
  <c r="BD792" i="93"/>
  <c r="AT792" i="93"/>
  <c r="AJ792" i="93"/>
  <c r="X792" i="93"/>
  <c r="W792" i="93"/>
  <c r="AO792" i="93"/>
  <c r="BE792" i="93"/>
  <c r="BX792" i="93"/>
  <c r="CP792" i="93"/>
  <c r="DE792" i="93"/>
  <c r="DW792" i="93"/>
  <c r="EM792" i="93"/>
  <c r="FD792" i="93"/>
  <c r="FX792" i="93"/>
  <c r="GK792" i="93"/>
  <c r="HE792" i="93"/>
  <c r="HU792" i="93"/>
  <c r="IL792" i="93"/>
  <c r="JD792" i="93"/>
  <c r="ID793" i="93"/>
  <c r="IF793" i="93"/>
  <c r="CO793" i="93"/>
  <c r="CB793" i="93"/>
  <c r="AJ793" i="93"/>
  <c r="Z793" i="93"/>
  <c r="IE793" i="93"/>
  <c r="CN793" i="93"/>
  <c r="CA793" i="93"/>
  <c r="AI793" i="93"/>
  <c r="Y793" i="93"/>
  <c r="BP793" i="93"/>
  <c r="BF793" i="93"/>
  <c r="AT793" i="93"/>
  <c r="BO793" i="93"/>
  <c r="BE793" i="93"/>
  <c r="AS793" i="93"/>
  <c r="AL793" i="93"/>
  <c r="BB793" i="93"/>
  <c r="CQ793" i="93"/>
  <c r="IH793" i="93"/>
  <c r="JO794" i="93"/>
  <c r="JG794" i="93"/>
  <c r="IY794" i="93"/>
  <c r="IQ794" i="93"/>
  <c r="II794" i="93"/>
  <c r="IA794" i="93"/>
  <c r="HS794" i="93"/>
  <c r="HK794" i="93"/>
  <c r="HC794" i="93"/>
  <c r="GU794" i="93"/>
  <c r="GM794" i="93"/>
  <c r="GE794" i="93"/>
  <c r="FW794" i="93"/>
  <c r="FO794" i="93"/>
  <c r="FG794" i="93"/>
  <c r="EY794" i="93"/>
  <c r="EQ794" i="93"/>
  <c r="EI794" i="93"/>
  <c r="EA794" i="93"/>
  <c r="DS794" i="93"/>
  <c r="DK794" i="93"/>
  <c r="DC794" i="93"/>
  <c r="CU794" i="93"/>
  <c r="CM794" i="93"/>
  <c r="CE794" i="93"/>
  <c r="BW794" i="93"/>
  <c r="BO794" i="93"/>
  <c r="BG794" i="93"/>
  <c r="AY794" i="93"/>
  <c r="AQ794" i="93"/>
  <c r="AI794" i="93"/>
  <c r="AA794" i="93"/>
  <c r="JL794" i="93"/>
  <c r="JD794" i="93"/>
  <c r="IV794" i="93"/>
  <c r="IN794" i="93"/>
  <c r="HX794" i="93"/>
  <c r="HP794" i="93"/>
  <c r="HH794" i="93"/>
  <c r="GZ794" i="93"/>
  <c r="GR794" i="93"/>
  <c r="GJ794" i="93"/>
  <c r="GB794" i="93"/>
  <c r="FT794" i="93"/>
  <c r="FL794" i="93"/>
  <c r="FD794" i="93"/>
  <c r="EV794" i="93"/>
  <c r="EN794" i="93"/>
  <c r="EF794" i="93"/>
  <c r="DX794" i="93"/>
  <c r="DP794" i="93"/>
  <c r="DH794" i="93"/>
  <c r="CZ794" i="93"/>
  <c r="CR794" i="93"/>
  <c r="JK794" i="93"/>
  <c r="JC794" i="93"/>
  <c r="IU794" i="93"/>
  <c r="IM794" i="93"/>
  <c r="HW794" i="93"/>
  <c r="HO794" i="93"/>
  <c r="HG794" i="93"/>
  <c r="GY794" i="93"/>
  <c r="GQ794" i="93"/>
  <c r="GI794" i="93"/>
  <c r="GA794" i="93"/>
  <c r="FS794" i="93"/>
  <c r="FK794" i="93"/>
  <c r="FC794" i="93"/>
  <c r="EU794" i="93"/>
  <c r="EM794" i="93"/>
  <c r="EE794" i="93"/>
  <c r="JN794" i="93"/>
  <c r="JA794" i="93"/>
  <c r="IO794" i="93"/>
  <c r="IB794" i="93"/>
  <c r="HN794" i="93"/>
  <c r="HB794" i="93"/>
  <c r="GO794" i="93"/>
  <c r="GC794" i="93"/>
  <c r="FP794" i="93"/>
  <c r="FB794" i="93"/>
  <c r="EP794" i="93"/>
  <c r="EC794" i="93"/>
  <c r="DR794" i="93"/>
  <c r="DG794" i="93"/>
  <c r="CW794" i="93"/>
  <c r="CL794" i="93"/>
  <c r="CC794" i="93"/>
  <c r="BT794" i="93"/>
  <c r="BK794" i="93"/>
  <c r="BB794" i="93"/>
  <c r="AS794" i="93"/>
  <c r="AJ794" i="93"/>
  <c r="Z794" i="93"/>
  <c r="JM794" i="93"/>
  <c r="IZ794" i="93"/>
  <c r="IL794" i="93"/>
  <c r="HZ794" i="93"/>
  <c r="HM794" i="93"/>
  <c r="HA794" i="93"/>
  <c r="GN794" i="93"/>
  <c r="FZ794" i="93"/>
  <c r="FN794" i="93"/>
  <c r="FA794" i="93"/>
  <c r="EO794" i="93"/>
  <c r="EB794" i="93"/>
  <c r="DQ794" i="93"/>
  <c r="DF794" i="93"/>
  <c r="CV794" i="93"/>
  <c r="CK794" i="93"/>
  <c r="CB794" i="93"/>
  <c r="BS794" i="93"/>
  <c r="BJ794" i="93"/>
  <c r="BA794" i="93"/>
  <c r="AR794" i="93"/>
  <c r="AH794" i="93"/>
  <c r="Y794" i="93"/>
  <c r="JJ794" i="93"/>
  <c r="IT794" i="93"/>
  <c r="HL794" i="93"/>
  <c r="GV794" i="93"/>
  <c r="GF794" i="93"/>
  <c r="FM794" i="93"/>
  <c r="EW794" i="93"/>
  <c r="EG794" i="93"/>
  <c r="DO794" i="93"/>
  <c r="DB794" i="93"/>
  <c r="CO794" i="93"/>
  <c r="CA794" i="93"/>
  <c r="BP794" i="93"/>
  <c r="BD794" i="93"/>
  <c r="AP794" i="93"/>
  <c r="AE794" i="93"/>
  <c r="JI794" i="93"/>
  <c r="IS794" i="93"/>
  <c r="IC794" i="93"/>
  <c r="HJ794" i="93"/>
  <c r="GT794" i="93"/>
  <c r="GD794" i="93"/>
  <c r="FJ794" i="93"/>
  <c r="ET794" i="93"/>
  <c r="ED794" i="93"/>
  <c r="DN794" i="93"/>
  <c r="DA794" i="93"/>
  <c r="CN794" i="93"/>
  <c r="BZ794" i="93"/>
  <c r="BN794" i="93"/>
  <c r="BC794" i="93"/>
  <c r="AO794" i="93"/>
  <c r="AD794" i="93"/>
  <c r="JF794" i="93"/>
  <c r="IP794" i="93"/>
  <c r="HV794" i="93"/>
  <c r="HF794" i="93"/>
  <c r="GP794" i="93"/>
  <c r="FX794" i="93"/>
  <c r="FH794" i="93"/>
  <c r="ER794" i="93"/>
  <c r="DY794" i="93"/>
  <c r="DL794" i="93"/>
  <c r="CX794" i="93"/>
  <c r="CI794" i="93"/>
  <c r="BX794" i="93"/>
  <c r="BL794" i="93"/>
  <c r="AX794" i="93"/>
  <c r="AM794" i="93"/>
  <c r="AB794" i="93"/>
  <c r="X794" i="93"/>
  <c r="AU794" i="93"/>
  <c r="BM794" i="93"/>
  <c r="CG794" i="93"/>
  <c r="DD794" i="93"/>
  <c r="DW794" i="93"/>
  <c r="EZ794" i="93"/>
  <c r="FY794" i="93"/>
  <c r="HD794" i="93"/>
  <c r="JE794" i="93"/>
  <c r="FF795" i="93"/>
  <c r="GP795" i="93"/>
  <c r="HZ795" i="93"/>
  <c r="HF797" i="93"/>
  <c r="IG786" i="93"/>
  <c r="IF786" i="93"/>
  <c r="JJ791" i="93"/>
  <c r="CZ791" i="93"/>
  <c r="CY791" i="93"/>
  <c r="Z791" i="93"/>
  <c r="AQ791" i="93"/>
  <c r="BK791" i="93"/>
  <c r="BX791" i="93"/>
  <c r="CR791" i="93"/>
  <c r="DH791" i="93"/>
  <c r="DY791" i="93"/>
  <c r="EQ791" i="93"/>
  <c r="IN791" i="93"/>
  <c r="Y792" i="93"/>
  <c r="AR792" i="93"/>
  <c r="BJ792" i="93"/>
  <c r="BY792" i="93"/>
  <c r="CQ792" i="93"/>
  <c r="DG792" i="93"/>
  <c r="DX792" i="93"/>
  <c r="ER792" i="93"/>
  <c r="FE792" i="93"/>
  <c r="FY792" i="93"/>
  <c r="GO792" i="93"/>
  <c r="HF792" i="93"/>
  <c r="HX792" i="93"/>
  <c r="IM792" i="93"/>
  <c r="JE792" i="93"/>
  <c r="AO793" i="93"/>
  <c r="BG793" i="93"/>
  <c r="CR793" i="93"/>
  <c r="II793" i="93"/>
  <c r="AC794" i="93"/>
  <c r="AV794" i="93"/>
  <c r="BQ794" i="93"/>
  <c r="CH794" i="93"/>
  <c r="DE794" i="93"/>
  <c r="DZ794" i="93"/>
  <c r="FE794" i="93"/>
  <c r="GG794" i="93"/>
  <c r="HE794" i="93"/>
  <c r="JH794" i="93"/>
  <c r="HP795" i="93"/>
  <c r="GZ795" i="93"/>
  <c r="GI795" i="93"/>
  <c r="FQ795" i="93"/>
  <c r="FC795" i="93"/>
  <c r="HO795" i="93"/>
  <c r="GV795" i="93"/>
  <c r="GF795" i="93"/>
  <c r="FP795" i="93"/>
  <c r="FB795" i="93"/>
  <c r="HY795" i="93"/>
  <c r="HD795" i="93"/>
  <c r="GD795" i="93"/>
  <c r="FK795" i="93"/>
  <c r="HW795" i="93"/>
  <c r="HA795" i="93"/>
  <c r="GA795" i="93"/>
  <c r="FH795" i="93"/>
  <c r="HQ795" i="93"/>
  <c r="GS795" i="93"/>
  <c r="FX795" i="93"/>
  <c r="FE795" i="93"/>
  <c r="FL795" i="93"/>
  <c r="GQ795" i="93"/>
  <c r="IB795" i="93"/>
  <c r="FB797" i="93"/>
  <c r="HS797" i="93"/>
  <c r="A792" i="93"/>
  <c r="FI792" i="93"/>
  <c r="FZ792" i="93"/>
  <c r="GR792" i="93"/>
  <c r="HG792" i="93"/>
  <c r="JH792" i="93"/>
  <c r="BR796" i="93"/>
  <c r="FQ797" i="93"/>
  <c r="HT797" i="93"/>
  <c r="AA788" i="93"/>
  <c r="AI788" i="93"/>
  <c r="AQ788" i="93"/>
  <c r="AY788" i="93"/>
  <c r="BG788" i="93"/>
  <c r="BO788" i="93"/>
  <c r="BW788" i="93"/>
  <c r="CE788" i="93"/>
  <c r="CM788" i="93"/>
  <c r="CU788" i="93"/>
  <c r="DC788" i="93"/>
  <c r="DK788" i="93"/>
  <c r="DS788" i="93"/>
  <c r="EA788" i="93"/>
  <c r="EI788" i="93"/>
  <c r="EQ788" i="93"/>
  <c r="EY788" i="93"/>
  <c r="FG788" i="93"/>
  <c r="FO788" i="93"/>
  <c r="FW788" i="93"/>
  <c r="GE788" i="93"/>
  <c r="GM788" i="93"/>
  <c r="GU788" i="93"/>
  <c r="HC788" i="93"/>
  <c r="HK788" i="93"/>
  <c r="HS788" i="93"/>
  <c r="IA788" i="93"/>
  <c r="II788" i="93"/>
  <c r="IQ788" i="93"/>
  <c r="IY788" i="93"/>
  <c r="JG788" i="93"/>
  <c r="JO788" i="93"/>
  <c r="DG791" i="93"/>
  <c r="DQ791" i="93"/>
  <c r="EA791" i="93"/>
  <c r="EM791" i="93"/>
  <c r="IO791" i="93"/>
  <c r="JK791" i="93"/>
  <c r="JJ793" i="93"/>
  <c r="JB793" i="93"/>
  <c r="IT793" i="93"/>
  <c r="IL793" i="93"/>
  <c r="HV793" i="93"/>
  <c r="HN793" i="93"/>
  <c r="HF793" i="93"/>
  <c r="GX793" i="93"/>
  <c r="GP793" i="93"/>
  <c r="GH793" i="93"/>
  <c r="FZ793" i="93"/>
  <c r="FR793" i="93"/>
  <c r="FJ793" i="93"/>
  <c r="FB793" i="93"/>
  <c r="ET793" i="93"/>
  <c r="EL793" i="93"/>
  <c r="ED793" i="93"/>
  <c r="DV793" i="93"/>
  <c r="DN793" i="93"/>
  <c r="DF793" i="93"/>
  <c r="CX793" i="93"/>
  <c r="CP793" i="93"/>
  <c r="CH793" i="93"/>
  <c r="BZ793" i="93"/>
  <c r="BR793" i="93"/>
  <c r="JN793" i="93"/>
  <c r="JE793" i="93"/>
  <c r="IV793" i="93"/>
  <c r="IM793" i="93"/>
  <c r="IC793" i="93"/>
  <c r="HT793" i="93"/>
  <c r="HK793" i="93"/>
  <c r="HB793" i="93"/>
  <c r="GS793" i="93"/>
  <c r="GJ793" i="93"/>
  <c r="GA793" i="93"/>
  <c r="FQ793" i="93"/>
  <c r="FH793" i="93"/>
  <c r="EY793" i="93"/>
  <c r="EP793" i="93"/>
  <c r="EG793" i="93"/>
  <c r="DX793" i="93"/>
  <c r="DO793" i="93"/>
  <c r="DE793" i="93"/>
  <c r="CV793" i="93"/>
  <c r="CM793" i="93"/>
  <c r="CD793" i="93"/>
  <c r="BU793" i="93"/>
  <c r="BL793" i="93"/>
  <c r="BD793" i="93"/>
  <c r="AV793" i="93"/>
  <c r="AN793" i="93"/>
  <c r="AF793" i="93"/>
  <c r="X793" i="93"/>
  <c r="JM793" i="93"/>
  <c r="JD793" i="93"/>
  <c r="IU793" i="93"/>
  <c r="IK793" i="93"/>
  <c r="IB793" i="93"/>
  <c r="HS793" i="93"/>
  <c r="HJ793" i="93"/>
  <c r="HA793" i="93"/>
  <c r="GR793" i="93"/>
  <c r="GI793" i="93"/>
  <c r="FY793" i="93"/>
  <c r="FP793" i="93"/>
  <c r="FG793" i="93"/>
  <c r="EX793" i="93"/>
  <c r="EO793" i="93"/>
  <c r="EF793" i="93"/>
  <c r="DW793" i="93"/>
  <c r="DM793" i="93"/>
  <c r="DD793" i="93"/>
  <c r="CU793" i="93"/>
  <c r="CL793" i="93"/>
  <c r="CC793" i="93"/>
  <c r="BT793" i="93"/>
  <c r="BK793" i="93"/>
  <c r="BC793" i="93"/>
  <c r="AU793" i="93"/>
  <c r="AM793" i="93"/>
  <c r="AE793" i="93"/>
  <c r="W793" i="93"/>
  <c r="AG793" i="93"/>
  <c r="AQ793" i="93"/>
  <c r="BA793" i="93"/>
  <c r="BM793" i="93"/>
  <c r="BX793" i="93"/>
  <c r="CJ793" i="93"/>
  <c r="CW793" i="93"/>
  <c r="DI793" i="93"/>
  <c r="DT793" i="93"/>
  <c r="EH793" i="93"/>
  <c r="ES793" i="93"/>
  <c r="FE793" i="93"/>
  <c r="FS793" i="93"/>
  <c r="GD793" i="93"/>
  <c r="GO793" i="93"/>
  <c r="HC793" i="93"/>
  <c r="HO793" i="93"/>
  <c r="HZ793" i="93"/>
  <c r="IN793" i="93"/>
  <c r="IY793" i="93"/>
  <c r="JK793" i="93"/>
  <c r="AM796" i="93"/>
  <c r="BI796" i="93"/>
  <c r="CI796" i="93"/>
  <c r="DE796" i="93"/>
  <c r="EA796" i="93"/>
  <c r="II796" i="93"/>
  <c r="AT797" i="93"/>
  <c r="FX798" i="93"/>
  <c r="HX798" i="93"/>
  <c r="DK799" i="93"/>
  <c r="ET799" i="93"/>
  <c r="DH799" i="93"/>
  <c r="DX799" i="93"/>
  <c r="AC788" i="93"/>
  <c r="AK788" i="93"/>
  <c r="AS788" i="93"/>
  <c r="BA788" i="93"/>
  <c r="BI788" i="93"/>
  <c r="BQ788" i="93"/>
  <c r="BY788" i="93"/>
  <c r="CG788" i="93"/>
  <c r="CO788" i="93"/>
  <c r="CW788" i="93"/>
  <c r="DE788" i="93"/>
  <c r="DM788" i="93"/>
  <c r="DU788" i="93"/>
  <c r="EC788" i="93"/>
  <c r="EK788" i="93"/>
  <c r="ES788" i="93"/>
  <c r="FA788" i="93"/>
  <c r="FI788" i="93"/>
  <c r="FQ788" i="93"/>
  <c r="FY788" i="93"/>
  <c r="GG788" i="93"/>
  <c r="GO788" i="93"/>
  <c r="GW788" i="93"/>
  <c r="HE788" i="93"/>
  <c r="HM788" i="93"/>
  <c r="HU788" i="93"/>
  <c r="IC788" i="93"/>
  <c r="IK788" i="93"/>
  <c r="IS788" i="93"/>
  <c r="JA788" i="93"/>
  <c r="JI788" i="93"/>
  <c r="JQ788" i="93"/>
  <c r="JP795" i="93"/>
  <c r="W796" i="93"/>
  <c r="AS796" i="93"/>
  <c r="CN796" i="93"/>
  <c r="DI796" i="93"/>
  <c r="EG796" i="93"/>
  <c r="BE797" i="93"/>
  <c r="GK798" i="93"/>
  <c r="ED799" i="93"/>
  <c r="FR788" i="93"/>
  <c r="FZ788" i="93"/>
  <c r="GH788" i="93"/>
  <c r="GP788" i="93"/>
  <c r="GX788" i="93"/>
  <c r="HF788" i="93"/>
  <c r="HN788" i="93"/>
  <c r="HV788" i="93"/>
  <c r="IL788" i="93"/>
  <c r="IT788" i="93"/>
  <c r="JB788" i="93"/>
  <c r="IW795" i="93"/>
  <c r="IH796" i="93"/>
  <c r="IF796" i="93"/>
  <c r="IE796" i="93"/>
  <c r="IZ796" i="93"/>
  <c r="IO796" i="93"/>
  <c r="ID796" i="93"/>
  <c r="JB796" i="93"/>
  <c r="IG796" i="93"/>
  <c r="EE796" i="93"/>
  <c r="DO796" i="93"/>
  <c r="CF796" i="93"/>
  <c r="AI796" i="93"/>
  <c r="IY796" i="93"/>
  <c r="EU796" i="93"/>
  <c r="ED796" i="93"/>
  <c r="DL796" i="93"/>
  <c r="CE796" i="93"/>
  <c r="AD796" i="93"/>
  <c r="CX796" i="93"/>
  <c r="BP796" i="93"/>
  <c r="AY796" i="93"/>
  <c r="CV796" i="93"/>
  <c r="BO796" i="93"/>
  <c r="AW796" i="93"/>
  <c r="Y796" i="93"/>
  <c r="AT796" i="93"/>
  <c r="BS796" i="93"/>
  <c r="CO796" i="93"/>
  <c r="DK796" i="93"/>
  <c r="EK796" i="93"/>
  <c r="IR796" i="93"/>
  <c r="BS797" i="93"/>
  <c r="BK797" i="93"/>
  <c r="BC797" i="93"/>
  <c r="AU797" i="93"/>
  <c r="CV797" i="93"/>
  <c r="BN797" i="93"/>
  <c r="BD797" i="93"/>
  <c r="AR797" i="93"/>
  <c r="CU797" i="93"/>
  <c r="BM797" i="93"/>
  <c r="BB797" i="93"/>
  <c r="AQ797" i="93"/>
  <c r="BJ797" i="93"/>
  <c r="AY797" i="93"/>
  <c r="BT797" i="93"/>
  <c r="BH797" i="93"/>
  <c r="AX797" i="93"/>
  <c r="AZ797" i="93"/>
  <c r="BR797" i="93"/>
  <c r="AW797" i="93"/>
  <c r="BF797" i="93"/>
  <c r="CX797" i="93"/>
  <c r="JL798" i="93"/>
  <c r="HT798" i="93"/>
  <c r="HJ798" i="93"/>
  <c r="GZ798" i="93"/>
  <c r="GN798" i="93"/>
  <c r="GD798" i="93"/>
  <c r="FT798" i="93"/>
  <c r="FH798" i="93"/>
  <c r="EX798" i="93"/>
  <c r="JH798" i="93"/>
  <c r="IB798" i="93"/>
  <c r="HR798" i="93"/>
  <c r="HH798" i="93"/>
  <c r="GV798" i="93"/>
  <c r="GL798" i="93"/>
  <c r="GB798" i="93"/>
  <c r="FP798" i="93"/>
  <c r="FF798" i="93"/>
  <c r="JP798" i="93"/>
  <c r="JD798" i="93"/>
  <c r="HZ798" i="93"/>
  <c r="HL798" i="93"/>
  <c r="GX798" i="93"/>
  <c r="GJ798" i="93"/>
  <c r="FV798" i="93"/>
  <c r="FG798" i="93"/>
  <c r="JO798" i="93"/>
  <c r="HY798" i="93"/>
  <c r="HK798" i="93"/>
  <c r="GU798" i="93"/>
  <c r="GH798" i="93"/>
  <c r="FU798" i="93"/>
  <c r="FE798" i="93"/>
  <c r="JM798" i="93"/>
  <c r="HV798" i="93"/>
  <c r="HF798" i="93"/>
  <c r="GS798" i="93"/>
  <c r="GE798" i="93"/>
  <c r="FO798" i="93"/>
  <c r="FB798" i="93"/>
  <c r="JJ798" i="93"/>
  <c r="HS798" i="93"/>
  <c r="HD798" i="93"/>
  <c r="GR798" i="93"/>
  <c r="GC798" i="93"/>
  <c r="FN798" i="93"/>
  <c r="EZ798" i="93"/>
  <c r="HQ798" i="93"/>
  <c r="GP798" i="93"/>
  <c r="FM798" i="93"/>
  <c r="A798" i="93"/>
  <c r="HP798" i="93"/>
  <c r="GM798" i="93"/>
  <c r="FL798" i="93"/>
  <c r="JN798" i="93"/>
  <c r="HI798" i="93"/>
  <c r="GF798" i="93"/>
  <c r="FD798" i="93"/>
  <c r="EW798" i="93"/>
  <c r="GT798" i="93"/>
  <c r="JG798" i="93"/>
  <c r="A803" i="93"/>
  <c r="AC791" i="93"/>
  <c r="AK791" i="93"/>
  <c r="AS791" i="93"/>
  <c r="BA791" i="93"/>
  <c r="BI791" i="93"/>
  <c r="BQ791" i="93"/>
  <c r="BY791" i="93"/>
  <c r="CG791" i="93"/>
  <c r="CO791" i="93"/>
  <c r="CW791" i="93"/>
  <c r="DE791" i="93"/>
  <c r="DM791" i="93"/>
  <c r="DU791" i="93"/>
  <c r="EC791" i="93"/>
  <c r="EK791" i="93"/>
  <c r="ES791" i="93"/>
  <c r="FA791" i="93"/>
  <c r="FI791" i="93"/>
  <c r="FQ791" i="93"/>
  <c r="FY791" i="93"/>
  <c r="GG791" i="93"/>
  <c r="GO791" i="93"/>
  <c r="GW791" i="93"/>
  <c r="HE791" i="93"/>
  <c r="HM791" i="93"/>
  <c r="HU791" i="93"/>
  <c r="IC791" i="93"/>
  <c r="IK791" i="93"/>
  <c r="IS791" i="93"/>
  <c r="JA791" i="93"/>
  <c r="JI791" i="93"/>
  <c r="JQ791" i="93"/>
  <c r="A794" i="93"/>
  <c r="JM795" i="93"/>
  <c r="IH797" i="93"/>
  <c r="IF797" i="93"/>
  <c r="CI797" i="93"/>
  <c r="CA797" i="93"/>
  <c r="AM797" i="93"/>
  <c r="AE797" i="93"/>
  <c r="W797" i="93"/>
  <c r="IE797" i="93"/>
  <c r="ID797" i="93"/>
  <c r="CK797" i="93"/>
  <c r="AH797" i="93"/>
  <c r="X797" i="93"/>
  <c r="CH797" i="93"/>
  <c r="AG797" i="93"/>
  <c r="IM797" i="93"/>
  <c r="CQ797" i="93"/>
  <c r="CE797" i="93"/>
  <c r="AO797" i="93"/>
  <c r="AD797" i="93"/>
  <c r="A797" i="93"/>
  <c r="IL797" i="93"/>
  <c r="CO797" i="93"/>
  <c r="CD797" i="93"/>
  <c r="AN797" i="93"/>
  <c r="AB797" i="93"/>
  <c r="AA797" i="93"/>
  <c r="CF797" i="93"/>
  <c r="IK797" i="93"/>
  <c r="AD791" i="93"/>
  <c r="AL791" i="93"/>
  <c r="AT791" i="93"/>
  <c r="BB791" i="93"/>
  <c r="BJ791" i="93"/>
  <c r="BR791" i="93"/>
  <c r="BZ791" i="93"/>
  <c r="CH791" i="93"/>
  <c r="CP791" i="93"/>
  <c r="CX791" i="93"/>
  <c r="DF791" i="93"/>
  <c r="DN791" i="93"/>
  <c r="DV791" i="93"/>
  <c r="ED791" i="93"/>
  <c r="EL791" i="93"/>
  <c r="ET791" i="93"/>
  <c r="FB791" i="93"/>
  <c r="FJ791" i="93"/>
  <c r="FR791" i="93"/>
  <c r="FZ791" i="93"/>
  <c r="GH791" i="93"/>
  <c r="GP791" i="93"/>
  <c r="GX791" i="93"/>
  <c r="HF791" i="93"/>
  <c r="HN791" i="93"/>
  <c r="HV791" i="93"/>
  <c r="IL791" i="93"/>
  <c r="IT791" i="93"/>
  <c r="JB791" i="93"/>
  <c r="DL795" i="93"/>
  <c r="DZ795" i="93"/>
  <c r="EN795" i="93"/>
  <c r="JH797" i="93"/>
  <c r="HQ797" i="93"/>
  <c r="HD797" i="93"/>
  <c r="GN797" i="93"/>
  <c r="FZ797" i="93"/>
  <c r="FM797" i="93"/>
  <c r="EW797" i="93"/>
  <c r="JG797" i="93"/>
  <c r="IC797" i="93"/>
  <c r="HO797" i="93"/>
  <c r="HA797" i="93"/>
  <c r="GM797" i="93"/>
  <c r="FY797" i="93"/>
  <c r="FJ797" i="93"/>
  <c r="JQ797" i="93"/>
  <c r="IA797" i="93"/>
  <c r="HL797" i="93"/>
  <c r="GW797" i="93"/>
  <c r="GI797" i="93"/>
  <c r="FU797" i="93"/>
  <c r="FG797" i="93"/>
  <c r="JP797" i="93"/>
  <c r="HY797" i="93"/>
  <c r="HI797" i="93"/>
  <c r="GV797" i="93"/>
  <c r="GH797" i="93"/>
  <c r="FR797" i="93"/>
  <c r="FE797" i="93"/>
  <c r="AF797" i="93"/>
  <c r="CL797" i="93"/>
  <c r="FH797" i="93"/>
  <c r="GK797" i="93"/>
  <c r="HN797" i="93"/>
  <c r="JP799" i="93"/>
  <c r="JH799" i="93"/>
  <c r="IZ799" i="93"/>
  <c r="IR799" i="93"/>
  <c r="IJ799" i="93"/>
  <c r="IB799" i="93"/>
  <c r="HT799" i="93"/>
  <c r="HL799" i="93"/>
  <c r="HD799" i="93"/>
  <c r="GV799" i="93"/>
  <c r="GN799" i="93"/>
  <c r="GF799" i="93"/>
  <c r="FX799" i="93"/>
  <c r="FP799" i="93"/>
  <c r="FH799" i="93"/>
  <c r="EZ799" i="93"/>
  <c r="ER799" i="93"/>
  <c r="EJ799" i="93"/>
  <c r="EB799" i="93"/>
  <c r="DT799" i="93"/>
  <c r="DL799" i="93"/>
  <c r="DD799" i="93"/>
  <c r="CV799" i="93"/>
  <c r="CN799" i="93"/>
  <c r="CF799" i="93"/>
  <c r="BX799" i="93"/>
  <c r="BP799" i="93"/>
  <c r="BH799" i="93"/>
  <c r="AZ799" i="93"/>
  <c r="AR799" i="93"/>
  <c r="AJ799" i="93"/>
  <c r="AB799" i="93"/>
  <c r="JN799" i="93"/>
  <c r="JF799" i="93"/>
  <c r="IX799" i="93"/>
  <c r="IP799" i="93"/>
  <c r="HZ799" i="93"/>
  <c r="HR799" i="93"/>
  <c r="HJ799" i="93"/>
  <c r="HB799" i="93"/>
  <c r="GT799" i="93"/>
  <c r="GL799" i="93"/>
  <c r="GD799" i="93"/>
  <c r="FV799" i="93"/>
  <c r="FN799" i="93"/>
  <c r="FF799" i="93"/>
  <c r="EX799" i="93"/>
  <c r="EP799" i="93"/>
  <c r="EH799" i="93"/>
  <c r="DZ799" i="93"/>
  <c r="DR799" i="93"/>
  <c r="DJ799" i="93"/>
  <c r="DB799" i="93"/>
  <c r="CT799" i="93"/>
  <c r="CL799" i="93"/>
  <c r="CD799" i="93"/>
  <c r="BV799" i="93"/>
  <c r="BN799" i="93"/>
  <c r="BF799" i="93"/>
  <c r="AX799" i="93"/>
  <c r="AP799" i="93"/>
  <c r="AH799" i="93"/>
  <c r="Z799" i="93"/>
  <c r="JJ799" i="93"/>
  <c r="IY799" i="93"/>
  <c r="IN799" i="93"/>
  <c r="ID799" i="93"/>
  <c r="HS799" i="93"/>
  <c r="HH799" i="93"/>
  <c r="GX799" i="93"/>
  <c r="GM799" i="93"/>
  <c r="GB799" i="93"/>
  <c r="FR799" i="93"/>
  <c r="FG799" i="93"/>
  <c r="EV799" i="93"/>
  <c r="EL799" i="93"/>
  <c r="EA799" i="93"/>
  <c r="DP799" i="93"/>
  <c r="DF799" i="93"/>
  <c r="CU799" i="93"/>
  <c r="CJ799" i="93"/>
  <c r="BZ799" i="93"/>
  <c r="JI799" i="93"/>
  <c r="IW799" i="93"/>
  <c r="IM799" i="93"/>
  <c r="IC799" i="93"/>
  <c r="HQ799" i="93"/>
  <c r="HG799" i="93"/>
  <c r="GW799" i="93"/>
  <c r="GK799" i="93"/>
  <c r="GA799" i="93"/>
  <c r="FQ799" i="93"/>
  <c r="FE799" i="93"/>
  <c r="EU799" i="93"/>
  <c r="EK799" i="93"/>
  <c r="DY799" i="93"/>
  <c r="DO799" i="93"/>
  <c r="DE799" i="93"/>
  <c r="CS799" i="93"/>
  <c r="CI799" i="93"/>
  <c r="BY799" i="93"/>
  <c r="BM799" i="93"/>
  <c r="BC799" i="93"/>
  <c r="AS799" i="93"/>
  <c r="AG799" i="93"/>
  <c r="W799" i="93"/>
  <c r="JQ799" i="93"/>
  <c r="JE799" i="93"/>
  <c r="IU799" i="93"/>
  <c r="IK799" i="93"/>
  <c r="HY799" i="93"/>
  <c r="HO799" i="93"/>
  <c r="HE799" i="93"/>
  <c r="GS799" i="93"/>
  <c r="GI799" i="93"/>
  <c r="FY799" i="93"/>
  <c r="FM799" i="93"/>
  <c r="FC799" i="93"/>
  <c r="ES799" i="93"/>
  <c r="EG799" i="93"/>
  <c r="DW799" i="93"/>
  <c r="DM799" i="93"/>
  <c r="DA799" i="93"/>
  <c r="CQ799" i="93"/>
  <c r="CG799" i="93"/>
  <c r="BU799" i="93"/>
  <c r="BK799" i="93"/>
  <c r="BA799" i="93"/>
  <c r="AO799" i="93"/>
  <c r="AE799" i="93"/>
  <c r="JO799" i="93"/>
  <c r="JD799" i="93"/>
  <c r="IT799" i="93"/>
  <c r="II799" i="93"/>
  <c r="HX799" i="93"/>
  <c r="HN799" i="93"/>
  <c r="HC799" i="93"/>
  <c r="GR799" i="93"/>
  <c r="GH799" i="93"/>
  <c r="FW799" i="93"/>
  <c r="FL799" i="93"/>
  <c r="FB799" i="93"/>
  <c r="EQ799" i="93"/>
  <c r="EF799" i="93"/>
  <c r="JM799" i="93"/>
  <c r="IS799" i="93"/>
  <c r="HW799" i="93"/>
  <c r="HA799" i="93"/>
  <c r="GG799" i="93"/>
  <c r="FK799" i="93"/>
  <c r="EO799" i="93"/>
  <c r="DV799" i="93"/>
  <c r="DG799" i="93"/>
  <c r="CO799" i="93"/>
  <c r="BW799" i="93"/>
  <c r="BI799" i="93"/>
  <c r="AU799" i="93"/>
  <c r="AF799" i="93"/>
  <c r="JL799" i="93"/>
  <c r="IQ799" i="93"/>
  <c r="HV799" i="93"/>
  <c r="GZ799" i="93"/>
  <c r="GE799" i="93"/>
  <c r="FJ799" i="93"/>
  <c r="EN799" i="93"/>
  <c r="DU799" i="93"/>
  <c r="DC799" i="93"/>
  <c r="CM799" i="93"/>
  <c r="BT799" i="93"/>
  <c r="BG799" i="93"/>
  <c r="AT799" i="93"/>
  <c r="AD799" i="93"/>
  <c r="JG799" i="93"/>
  <c r="IL799" i="93"/>
  <c r="HP799" i="93"/>
  <c r="GU799" i="93"/>
  <c r="FZ799" i="93"/>
  <c r="FD799" i="93"/>
  <c r="EI799" i="93"/>
  <c r="DQ799" i="93"/>
  <c r="CY799" i="93"/>
  <c r="CH799" i="93"/>
  <c r="BR799" i="93"/>
  <c r="BD799" i="93"/>
  <c r="AN799" i="93"/>
  <c r="AA799" i="93"/>
  <c r="JC799" i="93"/>
  <c r="IG799" i="93"/>
  <c r="HM799" i="93"/>
  <c r="GQ799" i="93"/>
  <c r="FU799" i="93"/>
  <c r="FA799" i="93"/>
  <c r="EE799" i="93"/>
  <c r="DN799" i="93"/>
  <c r="CX799" i="93"/>
  <c r="CE799" i="93"/>
  <c r="BQ799" i="93"/>
  <c r="BB799" i="93"/>
  <c r="AM799" i="93"/>
  <c r="Y799" i="93"/>
  <c r="AC799" i="93"/>
  <c r="BE799" i="93"/>
  <c r="CK799" i="93"/>
  <c r="DS799" i="93"/>
  <c r="FI799" i="93"/>
  <c r="GY799" i="93"/>
  <c r="IO799" i="93"/>
  <c r="AB795" i="93"/>
  <c r="AK795" i="93"/>
  <c r="AT795" i="93"/>
  <c r="BC795" i="93"/>
  <c r="BL795" i="93"/>
  <c r="BU795" i="93"/>
  <c r="CD795" i="93"/>
  <c r="CN795" i="93"/>
  <c r="CW795" i="93"/>
  <c r="DF795" i="93"/>
  <c r="DO795" i="93"/>
  <c r="DX795" i="93"/>
  <c r="EG795" i="93"/>
  <c r="EP795" i="93"/>
  <c r="EZ795" i="93"/>
  <c r="FI795" i="93"/>
  <c r="FR795" i="93"/>
  <c r="GB795" i="93"/>
  <c r="GL795" i="93"/>
  <c r="GX795" i="93"/>
  <c r="HH795" i="93"/>
  <c r="HR795" i="93"/>
  <c r="ID795" i="93"/>
  <c r="IN795" i="93"/>
  <c r="IX795" i="93"/>
  <c r="JN796" i="93"/>
  <c r="JF796" i="93"/>
  <c r="IX796" i="93"/>
  <c r="IP796" i="93"/>
  <c r="HZ796" i="93"/>
  <c r="HR796" i="93"/>
  <c r="HJ796" i="93"/>
  <c r="HB796" i="93"/>
  <c r="GT796" i="93"/>
  <c r="GL796" i="93"/>
  <c r="GD796" i="93"/>
  <c r="FV796" i="93"/>
  <c r="FN796" i="93"/>
  <c r="FF796" i="93"/>
  <c r="EX796" i="93"/>
  <c r="EP796" i="93"/>
  <c r="EH796" i="93"/>
  <c r="DZ796" i="93"/>
  <c r="DR796" i="93"/>
  <c r="DJ796" i="93"/>
  <c r="DB796" i="93"/>
  <c r="CT796" i="93"/>
  <c r="CL796" i="93"/>
  <c r="CD796" i="93"/>
  <c r="BV796" i="93"/>
  <c r="BN796" i="93"/>
  <c r="BF796" i="93"/>
  <c r="AX796" i="93"/>
  <c r="AP796" i="93"/>
  <c r="AH796" i="93"/>
  <c r="Z796" i="93"/>
  <c r="JL796" i="93"/>
  <c r="JD796" i="93"/>
  <c r="IV796" i="93"/>
  <c r="IN796" i="93"/>
  <c r="HX796" i="93"/>
  <c r="HP796" i="93"/>
  <c r="HH796" i="93"/>
  <c r="GZ796" i="93"/>
  <c r="GR796" i="93"/>
  <c r="GJ796" i="93"/>
  <c r="GB796" i="93"/>
  <c r="FT796" i="93"/>
  <c r="FL796" i="93"/>
  <c r="FD796" i="93"/>
  <c r="EV796" i="93"/>
  <c r="EN796" i="93"/>
  <c r="EF796" i="93"/>
  <c r="DX796" i="93"/>
  <c r="DP796" i="93"/>
  <c r="DH796" i="93"/>
  <c r="CZ796" i="93"/>
  <c r="CR796" i="93"/>
  <c r="CJ796" i="93"/>
  <c r="CB796" i="93"/>
  <c r="BT796" i="93"/>
  <c r="BL796" i="93"/>
  <c r="BD796" i="93"/>
  <c r="AV796" i="93"/>
  <c r="AN796" i="93"/>
  <c r="AF796" i="93"/>
  <c r="X796" i="93"/>
  <c r="AE796" i="93"/>
  <c r="AQ796" i="93"/>
  <c r="BA796" i="93"/>
  <c r="BK796" i="93"/>
  <c r="BW796" i="93"/>
  <c r="CG796" i="93"/>
  <c r="CQ796" i="93"/>
  <c r="DC796" i="93"/>
  <c r="DM796" i="93"/>
  <c r="DW796" i="93"/>
  <c r="EI796" i="93"/>
  <c r="ES796" i="93"/>
  <c r="FC796" i="93"/>
  <c r="FO796" i="93"/>
  <c r="FY796" i="93"/>
  <c r="GI796" i="93"/>
  <c r="GU796" i="93"/>
  <c r="HE796" i="93"/>
  <c r="HO796" i="93"/>
  <c r="IA796" i="93"/>
  <c r="IK796" i="93"/>
  <c r="IU796" i="93"/>
  <c r="JG796" i="93"/>
  <c r="JQ796" i="93"/>
  <c r="AD798" i="93"/>
  <c r="AQ798" i="93"/>
  <c r="BG798" i="93"/>
  <c r="CF798" i="93"/>
  <c r="CU798" i="93"/>
  <c r="DJ798" i="93"/>
  <c r="DX798" i="93"/>
  <c r="EL798" i="93"/>
  <c r="IH798" i="93"/>
  <c r="IV798" i="93"/>
  <c r="FP800" i="93"/>
  <c r="JQ795" i="93"/>
  <c r="JI795" i="93"/>
  <c r="JA795" i="93"/>
  <c r="IS795" i="93"/>
  <c r="IK795" i="93"/>
  <c r="IC795" i="93"/>
  <c r="HU795" i="93"/>
  <c r="HM795" i="93"/>
  <c r="HE795" i="93"/>
  <c r="GW795" i="93"/>
  <c r="GO795" i="93"/>
  <c r="GG795" i="93"/>
  <c r="FY795" i="93"/>
  <c r="JO795" i="93"/>
  <c r="JG795" i="93"/>
  <c r="IY795" i="93"/>
  <c r="IQ795" i="93"/>
  <c r="II795" i="93"/>
  <c r="IA795" i="93"/>
  <c r="HS795" i="93"/>
  <c r="HK795" i="93"/>
  <c r="HC795" i="93"/>
  <c r="GU795" i="93"/>
  <c r="GM795" i="93"/>
  <c r="GE795" i="93"/>
  <c r="FW795" i="93"/>
  <c r="FO795" i="93"/>
  <c r="FG795" i="93"/>
  <c r="EY795" i="93"/>
  <c r="EQ795" i="93"/>
  <c r="EI795" i="93"/>
  <c r="EA795" i="93"/>
  <c r="DS795" i="93"/>
  <c r="DK795" i="93"/>
  <c r="DC795" i="93"/>
  <c r="CU795" i="93"/>
  <c r="CM795" i="93"/>
  <c r="CE795" i="93"/>
  <c r="BW795" i="93"/>
  <c r="BO795" i="93"/>
  <c r="BG795" i="93"/>
  <c r="AY795" i="93"/>
  <c r="AQ795" i="93"/>
  <c r="AI795" i="93"/>
  <c r="AC795" i="93"/>
  <c r="AL795" i="93"/>
  <c r="AU795" i="93"/>
  <c r="BD795" i="93"/>
  <c r="BM795" i="93"/>
  <c r="BV795" i="93"/>
  <c r="CF795" i="93"/>
  <c r="CO795" i="93"/>
  <c r="CX795" i="93"/>
  <c r="DG795" i="93"/>
  <c r="DP795" i="93"/>
  <c r="DY795" i="93"/>
  <c r="EH795" i="93"/>
  <c r="ER795" i="93"/>
  <c r="FA795" i="93"/>
  <c r="FJ795" i="93"/>
  <c r="FS795" i="93"/>
  <c r="GC795" i="93"/>
  <c r="GN795" i="93"/>
  <c r="GY795" i="93"/>
  <c r="HI795" i="93"/>
  <c r="HT795" i="93"/>
  <c r="IE795" i="93"/>
  <c r="IO795" i="93"/>
  <c r="IZ795" i="93"/>
  <c r="JK795" i="93"/>
  <c r="AG796" i="93"/>
  <c r="AR796" i="93"/>
  <c r="BB796" i="93"/>
  <c r="BM796" i="93"/>
  <c r="BX796" i="93"/>
  <c r="CH796" i="93"/>
  <c r="CS796" i="93"/>
  <c r="DD796" i="93"/>
  <c r="DN796" i="93"/>
  <c r="DY796" i="93"/>
  <c r="EJ796" i="93"/>
  <c r="ET796" i="93"/>
  <c r="FE796" i="93"/>
  <c r="FP796" i="93"/>
  <c r="FZ796" i="93"/>
  <c r="GK796" i="93"/>
  <c r="GV796" i="93"/>
  <c r="HF796" i="93"/>
  <c r="HQ796" i="93"/>
  <c r="IB796" i="93"/>
  <c r="IL796" i="93"/>
  <c r="IW796" i="93"/>
  <c r="JH796" i="93"/>
  <c r="AF798" i="93"/>
  <c r="AT798" i="93"/>
  <c r="BH798" i="93"/>
  <c r="CH798" i="93"/>
  <c r="DK798" i="93"/>
  <c r="DY798" i="93"/>
  <c r="EO798" i="93"/>
  <c r="II798" i="93"/>
  <c r="L799" i="93"/>
  <c r="JO800" i="93"/>
  <c r="HS800" i="93"/>
  <c r="GZ800" i="93"/>
  <c r="GH800" i="93"/>
  <c r="FW800" i="93"/>
  <c r="FI800" i="93"/>
  <c r="EX800" i="93"/>
  <c r="JL800" i="93"/>
  <c r="HL800" i="93"/>
  <c r="GX800" i="93"/>
  <c r="GF800" i="93"/>
  <c r="FR800" i="93"/>
  <c r="FG800" i="93"/>
  <c r="FQ800" i="93"/>
  <c r="HI800" i="93"/>
  <c r="IE798" i="93"/>
  <c r="IF798" i="93"/>
  <c r="CL798" i="93"/>
  <c r="CB798" i="93"/>
  <c r="AJ798" i="93"/>
  <c r="Z798" i="93"/>
  <c r="CJ798" i="93"/>
  <c r="AH798" i="93"/>
  <c r="X798" i="93"/>
  <c r="CV798" i="93"/>
  <c r="BP798" i="93"/>
  <c r="BF798" i="93"/>
  <c r="AV798" i="93"/>
  <c r="CT798" i="93"/>
  <c r="BN798" i="93"/>
  <c r="BD798" i="93"/>
  <c r="AR798" i="93"/>
  <c r="AI798" i="93"/>
  <c r="AX798" i="93"/>
  <c r="BL798" i="93"/>
  <c r="CM798" i="93"/>
  <c r="DN798" i="93"/>
  <c r="ED798" i="93"/>
  <c r="EQ798" i="93"/>
  <c r="IL798" i="93"/>
  <c r="JB798" i="93"/>
  <c r="GD800" i="93"/>
  <c r="HW800" i="93"/>
  <c r="X795" i="93"/>
  <c r="AF795" i="93"/>
  <c r="AO795" i="93"/>
  <c r="AX795" i="93"/>
  <c r="BH795" i="93"/>
  <c r="BQ795" i="93"/>
  <c r="BZ795" i="93"/>
  <c r="CI795" i="93"/>
  <c r="CR795" i="93"/>
  <c r="DA795" i="93"/>
  <c r="DJ795" i="93"/>
  <c r="DT795" i="93"/>
  <c r="EC795" i="93"/>
  <c r="EL795" i="93"/>
  <c r="EU795" i="93"/>
  <c r="FD795" i="93"/>
  <c r="FM795" i="93"/>
  <c r="FV795" i="93"/>
  <c r="GH795" i="93"/>
  <c r="GR795" i="93"/>
  <c r="HB795" i="93"/>
  <c r="HN795" i="93"/>
  <c r="HX795" i="93"/>
  <c r="IT795" i="93"/>
  <c r="JD795" i="93"/>
  <c r="JN795" i="93"/>
  <c r="AA796" i="93"/>
  <c r="AK796" i="93"/>
  <c r="AU796" i="93"/>
  <c r="BG796" i="93"/>
  <c r="BQ796" i="93"/>
  <c r="CA796" i="93"/>
  <c r="CM796" i="93"/>
  <c r="CW796" i="93"/>
  <c r="DG796" i="93"/>
  <c r="DS796" i="93"/>
  <c r="EC796" i="93"/>
  <c r="EM796" i="93"/>
  <c r="EY796" i="93"/>
  <c r="FI796" i="93"/>
  <c r="FS796" i="93"/>
  <c r="GE796" i="93"/>
  <c r="GO796" i="93"/>
  <c r="GY796" i="93"/>
  <c r="HK796" i="93"/>
  <c r="HU796" i="93"/>
  <c r="IQ796" i="93"/>
  <c r="JA796" i="93"/>
  <c r="JK796" i="93"/>
  <c r="JK798" i="93"/>
  <c r="AL798" i="93"/>
  <c r="AY798" i="93"/>
  <c r="BM798" i="93"/>
  <c r="BZ798" i="93"/>
  <c r="CN798" i="93"/>
  <c r="DQ798" i="93"/>
  <c r="EF798" i="93"/>
  <c r="ER798" i="93"/>
  <c r="IO798" i="93"/>
  <c r="FA800" i="93"/>
  <c r="GE800" i="93"/>
  <c r="HX800" i="93"/>
  <c r="HE801" i="93"/>
  <c r="IO801" i="93"/>
  <c r="EC802" i="93"/>
  <c r="GH802" i="93"/>
  <c r="CE804" i="93"/>
  <c r="IK804" i="93"/>
  <c r="JN797" i="93"/>
  <c r="JF797" i="93"/>
  <c r="IX797" i="93"/>
  <c r="IP797" i="93"/>
  <c r="HZ797" i="93"/>
  <c r="HR797" i="93"/>
  <c r="HJ797" i="93"/>
  <c r="HB797" i="93"/>
  <c r="GT797" i="93"/>
  <c r="GL797" i="93"/>
  <c r="GD797" i="93"/>
  <c r="FV797" i="93"/>
  <c r="FN797" i="93"/>
  <c r="FF797" i="93"/>
  <c r="EX797" i="93"/>
  <c r="EP797" i="93"/>
  <c r="EH797" i="93"/>
  <c r="DZ797" i="93"/>
  <c r="DR797" i="93"/>
  <c r="JL797" i="93"/>
  <c r="JD797" i="93"/>
  <c r="IV797" i="93"/>
  <c r="IN797" i="93"/>
  <c r="HX797" i="93"/>
  <c r="HP797" i="93"/>
  <c r="HH797" i="93"/>
  <c r="GZ797" i="93"/>
  <c r="GR797" i="93"/>
  <c r="GJ797" i="93"/>
  <c r="GB797" i="93"/>
  <c r="FT797" i="93"/>
  <c r="FL797" i="93"/>
  <c r="FD797" i="93"/>
  <c r="EV797" i="93"/>
  <c r="EN797" i="93"/>
  <c r="EF797" i="93"/>
  <c r="DX797" i="93"/>
  <c r="DP797" i="93"/>
  <c r="DH797" i="93"/>
  <c r="CZ797" i="93"/>
  <c r="CR797" i="93"/>
  <c r="CJ797" i="93"/>
  <c r="AC797" i="93"/>
  <c r="AK797" i="93"/>
  <c r="AS797" i="93"/>
  <c r="BA797" i="93"/>
  <c r="BI797" i="93"/>
  <c r="BQ797" i="93"/>
  <c r="BY797" i="93"/>
  <c r="CG797" i="93"/>
  <c r="CP797" i="93"/>
  <c r="CY797" i="93"/>
  <c r="DI797" i="93"/>
  <c r="DS797" i="93"/>
  <c r="EC797" i="93"/>
  <c r="EM797" i="93"/>
  <c r="EY797" i="93"/>
  <c r="FI797" i="93"/>
  <c r="FS797" i="93"/>
  <c r="GE797" i="93"/>
  <c r="GO797" i="93"/>
  <c r="GY797" i="93"/>
  <c r="HK797" i="93"/>
  <c r="HU797" i="93"/>
  <c r="IQ797" i="93"/>
  <c r="JA797" i="93"/>
  <c r="JK797" i="93"/>
  <c r="DD798" i="93"/>
  <c r="DP798" i="93"/>
  <c r="DZ798" i="93"/>
  <c r="EJ798" i="93"/>
  <c r="EV798" i="93"/>
  <c r="IN798" i="93"/>
  <c r="IX798" i="93"/>
  <c r="IH799" i="93"/>
  <c r="AB800" i="93"/>
  <c r="AL800" i="93"/>
  <c r="AX800" i="93"/>
  <c r="BI800" i="93"/>
  <c r="BW800" i="93"/>
  <c r="CH800" i="93"/>
  <c r="CV800" i="93"/>
  <c r="DJ800" i="93"/>
  <c r="DU800" i="93"/>
  <c r="EI800" i="93"/>
  <c r="ET800" i="93"/>
  <c r="FH800" i="93"/>
  <c r="FV800" i="93"/>
  <c r="GG800" i="93"/>
  <c r="GY800" i="93"/>
  <c r="HN800" i="93"/>
  <c r="IF800" i="93"/>
  <c r="IY800" i="93"/>
  <c r="JM800" i="93"/>
  <c r="AT801" i="93"/>
  <c r="CF801" i="93"/>
  <c r="DP801" i="93"/>
  <c r="ES801" i="93"/>
  <c r="GC801" i="93"/>
  <c r="HN801" i="93"/>
  <c r="IR801" i="93"/>
  <c r="EL802" i="93"/>
  <c r="DQ802" i="93"/>
  <c r="JE802" i="93"/>
  <c r="EG802" i="93"/>
  <c r="DM802" i="93"/>
  <c r="JB802" i="93"/>
  <c r="ED802" i="93"/>
  <c r="DI802" i="93"/>
  <c r="ET802" i="93"/>
  <c r="CS797" i="93"/>
  <c r="DB797" i="93"/>
  <c r="DK797" i="93"/>
  <c r="DU797" i="93"/>
  <c r="EE797" i="93"/>
  <c r="EQ797" i="93"/>
  <c r="FA797" i="93"/>
  <c r="FK797" i="93"/>
  <c r="FW797" i="93"/>
  <c r="GG797" i="93"/>
  <c r="GQ797" i="93"/>
  <c r="HC797" i="93"/>
  <c r="HM797" i="93"/>
  <c r="HW797" i="93"/>
  <c r="II797" i="93"/>
  <c r="IS797" i="93"/>
  <c r="JC797" i="93"/>
  <c r="JO797" i="93"/>
  <c r="DH798" i="93"/>
  <c r="DR798" i="93"/>
  <c r="EB798" i="93"/>
  <c r="EN798" i="93"/>
  <c r="IP798" i="93"/>
  <c r="AD800" i="93"/>
  <c r="AP800" i="93"/>
  <c r="AZ800" i="93"/>
  <c r="BN800" i="93"/>
  <c r="BY800" i="93"/>
  <c r="CM800" i="93"/>
  <c r="CX800" i="93"/>
  <c r="DL800" i="93"/>
  <c r="DZ800" i="93"/>
  <c r="EK800" i="93"/>
  <c r="EY800" i="93"/>
  <c r="FJ800" i="93"/>
  <c r="FX800" i="93"/>
  <c r="GM800" i="93"/>
  <c r="HA800" i="93"/>
  <c r="HT800" i="93"/>
  <c r="II800" i="93"/>
  <c r="X801" i="93"/>
  <c r="BE801" i="93"/>
  <c r="CP801" i="93"/>
  <c r="DT801" i="93"/>
  <c r="FD801" i="93"/>
  <c r="GO801" i="93"/>
  <c r="HQ801" i="93"/>
  <c r="GC802" i="93"/>
  <c r="FI802" i="93"/>
  <c r="HN802" i="93"/>
  <c r="GS802" i="93"/>
  <c r="FY802" i="93"/>
  <c r="FB802" i="93"/>
  <c r="HM802" i="93"/>
  <c r="GP802" i="93"/>
  <c r="FU802" i="93"/>
  <c r="HE802" i="93"/>
  <c r="IT802" i="93"/>
  <c r="IH804" i="93"/>
  <c r="IE804" i="93"/>
  <c r="CM804" i="93"/>
  <c r="CB804" i="93"/>
  <c r="AK804" i="93"/>
  <c r="AA804" i="93"/>
  <c r="IL804" i="93"/>
  <c r="CK804" i="93"/>
  <c r="BZ804" i="93"/>
  <c r="AJ804" i="93"/>
  <c r="Y804" i="93"/>
  <c r="IG804" i="93"/>
  <c r="AG804" i="93"/>
  <c r="IF804" i="93"/>
  <c r="CN804" i="93"/>
  <c r="CC804" i="93"/>
  <c r="AL804" i="93"/>
  <c r="AB804" i="93"/>
  <c r="ID804" i="93"/>
  <c r="DV804" i="93"/>
  <c r="AO804" i="93"/>
  <c r="DU804" i="93"/>
  <c r="CP804" i="93"/>
  <c r="AN804" i="93"/>
  <c r="ES804" i="93"/>
  <c r="DP804" i="93"/>
  <c r="CO804" i="93"/>
  <c r="AI804" i="93"/>
  <c r="ER804" i="93"/>
  <c r="DL804" i="93"/>
  <c r="CJ804" i="93"/>
  <c r="AD804" i="93"/>
  <c r="JA804" i="93"/>
  <c r="EK804" i="93"/>
  <c r="DK804" i="93"/>
  <c r="CF804" i="93"/>
  <c r="AC804" i="93"/>
  <c r="CW804" i="93"/>
  <c r="BQ804" i="93"/>
  <c r="BG804" i="93"/>
  <c r="AV804" i="93"/>
  <c r="CV804" i="93"/>
  <c r="BP804" i="93"/>
  <c r="BE804" i="93"/>
  <c r="AT804" i="93"/>
  <c r="BR804" i="93"/>
  <c r="BH804" i="93"/>
  <c r="AW804" i="93"/>
  <c r="CU804" i="93"/>
  <c r="BT804" i="93"/>
  <c r="BO804" i="93"/>
  <c r="BJ804" i="93"/>
  <c r="BI804" i="93"/>
  <c r="BD804" i="93"/>
  <c r="AS804" i="93"/>
  <c r="DE804" i="93"/>
  <c r="JQ800" i="93"/>
  <c r="JI800" i="93"/>
  <c r="JA800" i="93"/>
  <c r="IS800" i="93"/>
  <c r="IK800" i="93"/>
  <c r="IC800" i="93"/>
  <c r="HU800" i="93"/>
  <c r="HM800" i="93"/>
  <c r="HE800" i="93"/>
  <c r="GW800" i="93"/>
  <c r="GO800" i="93"/>
  <c r="JN800" i="93"/>
  <c r="JF800" i="93"/>
  <c r="IX800" i="93"/>
  <c r="IP800" i="93"/>
  <c r="HZ800" i="93"/>
  <c r="HR800" i="93"/>
  <c r="HJ800" i="93"/>
  <c r="HB800" i="93"/>
  <c r="GT800" i="93"/>
  <c r="GL800" i="93"/>
  <c r="JH800" i="93"/>
  <c r="IW800" i="93"/>
  <c r="IM800" i="93"/>
  <c r="IB800" i="93"/>
  <c r="HQ800" i="93"/>
  <c r="HG800" i="93"/>
  <c r="GV800" i="93"/>
  <c r="GK800" i="93"/>
  <c r="GC800" i="93"/>
  <c r="FU800" i="93"/>
  <c r="FM800" i="93"/>
  <c r="FE800" i="93"/>
  <c r="EW800" i="93"/>
  <c r="EO800" i="93"/>
  <c r="EG800" i="93"/>
  <c r="DY800" i="93"/>
  <c r="DQ800" i="93"/>
  <c r="DI800" i="93"/>
  <c r="DA800" i="93"/>
  <c r="CS800" i="93"/>
  <c r="CK800" i="93"/>
  <c r="CC800" i="93"/>
  <c r="BU800" i="93"/>
  <c r="BM800" i="93"/>
  <c r="BE800" i="93"/>
  <c r="AW800" i="93"/>
  <c r="AO800" i="93"/>
  <c r="AG800" i="93"/>
  <c r="Y800" i="93"/>
  <c r="JG800" i="93"/>
  <c r="IV800" i="93"/>
  <c r="IL800" i="93"/>
  <c r="IA800" i="93"/>
  <c r="HP800" i="93"/>
  <c r="HF800" i="93"/>
  <c r="GU800" i="93"/>
  <c r="GJ800" i="93"/>
  <c r="GB800" i="93"/>
  <c r="FT800" i="93"/>
  <c r="FL800" i="93"/>
  <c r="FD800" i="93"/>
  <c r="EV800" i="93"/>
  <c r="EN800" i="93"/>
  <c r="EF800" i="93"/>
  <c r="DX800" i="93"/>
  <c r="DP800" i="93"/>
  <c r="DH800" i="93"/>
  <c r="CZ800" i="93"/>
  <c r="CR800" i="93"/>
  <c r="CJ800" i="93"/>
  <c r="CB800" i="93"/>
  <c r="BT800" i="93"/>
  <c r="BL800" i="93"/>
  <c r="BD800" i="93"/>
  <c r="JP800" i="93"/>
  <c r="JE800" i="93"/>
  <c r="IU800" i="93"/>
  <c r="IJ800" i="93"/>
  <c r="HY800" i="93"/>
  <c r="HO800" i="93"/>
  <c r="HD800" i="93"/>
  <c r="GS800" i="93"/>
  <c r="GI800" i="93"/>
  <c r="GA800" i="93"/>
  <c r="FS800" i="93"/>
  <c r="FK800" i="93"/>
  <c r="FC800" i="93"/>
  <c r="EU800" i="93"/>
  <c r="EM800" i="93"/>
  <c r="EE800" i="93"/>
  <c r="DW800" i="93"/>
  <c r="DO800" i="93"/>
  <c r="DG800" i="93"/>
  <c r="CY800" i="93"/>
  <c r="CQ800" i="93"/>
  <c r="CI800" i="93"/>
  <c r="CA800" i="93"/>
  <c r="BS800" i="93"/>
  <c r="BK800" i="93"/>
  <c r="BC800" i="93"/>
  <c r="AU800" i="93"/>
  <c r="AM800" i="93"/>
  <c r="AE800" i="93"/>
  <c r="W800" i="93"/>
  <c r="AF800" i="93"/>
  <c r="AQ800" i="93"/>
  <c r="BA800" i="93"/>
  <c r="BO800" i="93"/>
  <c r="BZ800" i="93"/>
  <c r="CN800" i="93"/>
  <c r="DB800" i="93"/>
  <c r="DM800" i="93"/>
  <c r="EA800" i="93"/>
  <c r="EL800" i="93"/>
  <c r="EZ800" i="93"/>
  <c r="FN800" i="93"/>
  <c r="FY800" i="93"/>
  <c r="GN800" i="93"/>
  <c r="HC800" i="93"/>
  <c r="HV800" i="93"/>
  <c r="IN800" i="93"/>
  <c r="JC800" i="93"/>
  <c r="JO801" i="93"/>
  <c r="JG801" i="93"/>
  <c r="IY801" i="93"/>
  <c r="IQ801" i="93"/>
  <c r="II801" i="93"/>
  <c r="IA801" i="93"/>
  <c r="HS801" i="93"/>
  <c r="HK801" i="93"/>
  <c r="HC801" i="93"/>
  <c r="GU801" i="93"/>
  <c r="GM801" i="93"/>
  <c r="GE801" i="93"/>
  <c r="FW801" i="93"/>
  <c r="FO801" i="93"/>
  <c r="FG801" i="93"/>
  <c r="EY801" i="93"/>
  <c r="EQ801" i="93"/>
  <c r="EI801" i="93"/>
  <c r="EA801" i="93"/>
  <c r="DS801" i="93"/>
  <c r="DK801" i="93"/>
  <c r="DC801" i="93"/>
  <c r="CU801" i="93"/>
  <c r="CM801" i="93"/>
  <c r="CE801" i="93"/>
  <c r="BW801" i="93"/>
  <c r="BO801" i="93"/>
  <c r="BG801" i="93"/>
  <c r="AY801" i="93"/>
  <c r="AQ801" i="93"/>
  <c r="JN801" i="93"/>
  <c r="JF801" i="93"/>
  <c r="IX801" i="93"/>
  <c r="IP801" i="93"/>
  <c r="HZ801" i="93"/>
  <c r="HR801" i="93"/>
  <c r="HJ801" i="93"/>
  <c r="HB801" i="93"/>
  <c r="GT801" i="93"/>
  <c r="GL801" i="93"/>
  <c r="GD801" i="93"/>
  <c r="FV801" i="93"/>
  <c r="FN801" i="93"/>
  <c r="FF801" i="93"/>
  <c r="EX801" i="93"/>
  <c r="EP801" i="93"/>
  <c r="EH801" i="93"/>
  <c r="DZ801" i="93"/>
  <c r="DR801" i="93"/>
  <c r="DJ801" i="93"/>
  <c r="DB801" i="93"/>
  <c r="CT801" i="93"/>
  <c r="CL801" i="93"/>
  <c r="CD801" i="93"/>
  <c r="BV801" i="93"/>
  <c r="BN801" i="93"/>
  <c r="BF801" i="93"/>
  <c r="AX801" i="93"/>
  <c r="AP801" i="93"/>
  <c r="AH801" i="93"/>
  <c r="Z801" i="93"/>
  <c r="JK801" i="93"/>
  <c r="JC801" i="93"/>
  <c r="IU801" i="93"/>
  <c r="IM801" i="93"/>
  <c r="HW801" i="93"/>
  <c r="HO801" i="93"/>
  <c r="HG801" i="93"/>
  <c r="GY801" i="93"/>
  <c r="GQ801" i="93"/>
  <c r="GI801" i="93"/>
  <c r="GA801" i="93"/>
  <c r="FS801" i="93"/>
  <c r="FK801" i="93"/>
  <c r="FC801" i="93"/>
  <c r="EU801" i="93"/>
  <c r="EM801" i="93"/>
  <c r="EE801" i="93"/>
  <c r="DW801" i="93"/>
  <c r="DO801" i="93"/>
  <c r="DG801" i="93"/>
  <c r="CY801" i="93"/>
  <c r="CQ801" i="93"/>
  <c r="CI801" i="93"/>
  <c r="CA801" i="93"/>
  <c r="BS801" i="93"/>
  <c r="BK801" i="93"/>
  <c r="BC801" i="93"/>
  <c r="AU801" i="93"/>
  <c r="AM801" i="93"/>
  <c r="AE801" i="93"/>
  <c r="W801" i="93"/>
  <c r="JL801" i="93"/>
  <c r="IZ801" i="93"/>
  <c r="IL801" i="93"/>
  <c r="HY801" i="93"/>
  <c r="HM801" i="93"/>
  <c r="GZ801" i="93"/>
  <c r="GN801" i="93"/>
  <c r="FZ801" i="93"/>
  <c r="FM801" i="93"/>
  <c r="FA801" i="93"/>
  <c r="EN801" i="93"/>
  <c r="EB801" i="93"/>
  <c r="DN801" i="93"/>
  <c r="DA801" i="93"/>
  <c r="CO801" i="93"/>
  <c r="CB801" i="93"/>
  <c r="BP801" i="93"/>
  <c r="BB801" i="93"/>
  <c r="AO801" i="93"/>
  <c r="AD801" i="93"/>
  <c r="JJ801" i="93"/>
  <c r="IW801" i="93"/>
  <c r="IK801" i="93"/>
  <c r="HX801" i="93"/>
  <c r="HL801" i="93"/>
  <c r="GX801" i="93"/>
  <c r="GK801" i="93"/>
  <c r="FY801" i="93"/>
  <c r="FL801" i="93"/>
  <c r="EZ801" i="93"/>
  <c r="EL801" i="93"/>
  <c r="DY801" i="93"/>
  <c r="DM801" i="93"/>
  <c r="CZ801" i="93"/>
  <c r="CN801" i="93"/>
  <c r="BZ801" i="93"/>
  <c r="BM801" i="93"/>
  <c r="BA801" i="93"/>
  <c r="AN801" i="93"/>
  <c r="AC801" i="93"/>
  <c r="A801" i="93"/>
  <c r="JI801" i="93"/>
  <c r="IV801" i="93"/>
  <c r="IJ801" i="93"/>
  <c r="HV801" i="93"/>
  <c r="HI801" i="93"/>
  <c r="GW801" i="93"/>
  <c r="GJ801" i="93"/>
  <c r="FX801" i="93"/>
  <c r="FJ801" i="93"/>
  <c r="EW801" i="93"/>
  <c r="EK801" i="93"/>
  <c r="DX801" i="93"/>
  <c r="DL801" i="93"/>
  <c r="CX801" i="93"/>
  <c r="CK801" i="93"/>
  <c r="BY801" i="93"/>
  <c r="BL801" i="93"/>
  <c r="AZ801" i="93"/>
  <c r="AL801" i="93"/>
  <c r="AB801" i="93"/>
  <c r="JH801" i="93"/>
  <c r="IT801" i="93"/>
  <c r="IG801" i="93"/>
  <c r="HU801" i="93"/>
  <c r="HH801" i="93"/>
  <c r="GV801" i="93"/>
  <c r="GH801" i="93"/>
  <c r="FU801" i="93"/>
  <c r="FI801" i="93"/>
  <c r="EV801" i="93"/>
  <c r="EJ801" i="93"/>
  <c r="DV801" i="93"/>
  <c r="DI801" i="93"/>
  <c r="CW801" i="93"/>
  <c r="CJ801" i="93"/>
  <c r="BX801" i="93"/>
  <c r="BJ801" i="93"/>
  <c r="AW801" i="93"/>
  <c r="AK801" i="93"/>
  <c r="AA801" i="93"/>
  <c r="JE801" i="93"/>
  <c r="IS801" i="93"/>
  <c r="IF801" i="93"/>
  <c r="HT801" i="93"/>
  <c r="HF801" i="93"/>
  <c r="GS801" i="93"/>
  <c r="GG801" i="93"/>
  <c r="FT801" i="93"/>
  <c r="FH801" i="93"/>
  <c r="ET801" i="93"/>
  <c r="EG801" i="93"/>
  <c r="DU801" i="93"/>
  <c r="DH801" i="93"/>
  <c r="CV801" i="93"/>
  <c r="CH801" i="93"/>
  <c r="BU801" i="93"/>
  <c r="BI801" i="93"/>
  <c r="AV801" i="93"/>
  <c r="AJ801" i="93"/>
  <c r="Y801" i="93"/>
  <c r="AF801" i="93"/>
  <c r="BH801" i="93"/>
  <c r="CR801" i="93"/>
  <c r="EC801" i="93"/>
  <c r="FE801" i="93"/>
  <c r="GP801" i="93"/>
  <c r="IB801" i="93"/>
  <c r="JD801" i="93"/>
  <c r="DE802" i="93"/>
  <c r="HF802" i="93"/>
  <c r="IW802" i="93"/>
  <c r="AY804" i="93"/>
  <c r="EA804" i="93"/>
  <c r="FR803" i="93"/>
  <c r="GM803" i="93"/>
  <c r="HJ803" i="93"/>
  <c r="FV803" i="93"/>
  <c r="GP803" i="93"/>
  <c r="HK803" i="93"/>
  <c r="IN804" i="93"/>
  <c r="E975" i="93"/>
  <c r="E971" i="93"/>
  <c r="E970" i="93"/>
  <c r="F969" i="93"/>
  <c r="E977" i="93"/>
  <c r="AC798" i="93"/>
  <c r="AK798" i="93"/>
  <c r="AS798" i="93"/>
  <c r="BA798" i="93"/>
  <c r="BI798" i="93"/>
  <c r="BQ798" i="93"/>
  <c r="BY798" i="93"/>
  <c r="CG798" i="93"/>
  <c r="CO798" i="93"/>
  <c r="CW798" i="93"/>
  <c r="DE798" i="93"/>
  <c r="DM798" i="93"/>
  <c r="DU798" i="93"/>
  <c r="EC798" i="93"/>
  <c r="EK798" i="93"/>
  <c r="ES798" i="93"/>
  <c r="FA798" i="93"/>
  <c r="FI798" i="93"/>
  <c r="FQ798" i="93"/>
  <c r="FY798" i="93"/>
  <c r="GG798" i="93"/>
  <c r="GO798" i="93"/>
  <c r="GW798" i="93"/>
  <c r="HE798" i="93"/>
  <c r="HM798" i="93"/>
  <c r="HU798" i="93"/>
  <c r="IC798" i="93"/>
  <c r="IK798" i="93"/>
  <c r="IS798" i="93"/>
  <c r="JA798" i="93"/>
  <c r="JI798" i="93"/>
  <c r="JQ798" i="93"/>
  <c r="JO802" i="93"/>
  <c r="JG802" i="93"/>
  <c r="IY802" i="93"/>
  <c r="IQ802" i="93"/>
  <c r="II802" i="93"/>
  <c r="IA802" i="93"/>
  <c r="HS802" i="93"/>
  <c r="HK802" i="93"/>
  <c r="HC802" i="93"/>
  <c r="GU802" i="93"/>
  <c r="GM802" i="93"/>
  <c r="GE802" i="93"/>
  <c r="FW802" i="93"/>
  <c r="FO802" i="93"/>
  <c r="FG802" i="93"/>
  <c r="EY802" i="93"/>
  <c r="EQ802" i="93"/>
  <c r="EI802" i="93"/>
  <c r="EA802" i="93"/>
  <c r="DS802" i="93"/>
  <c r="DK802" i="93"/>
  <c r="DC802" i="93"/>
  <c r="JN802" i="93"/>
  <c r="JF802" i="93"/>
  <c r="IX802" i="93"/>
  <c r="IP802" i="93"/>
  <c r="IH802" i="93"/>
  <c r="HZ802" i="93"/>
  <c r="HR802" i="93"/>
  <c r="HJ802" i="93"/>
  <c r="HB802" i="93"/>
  <c r="GT802" i="93"/>
  <c r="GL802" i="93"/>
  <c r="GD802" i="93"/>
  <c r="FV802" i="93"/>
  <c r="FN802" i="93"/>
  <c r="FF802" i="93"/>
  <c r="EX802" i="93"/>
  <c r="EP802" i="93"/>
  <c r="EH802" i="93"/>
  <c r="DZ802" i="93"/>
  <c r="DR802" i="93"/>
  <c r="DJ802" i="93"/>
  <c r="DB802" i="93"/>
  <c r="JL802" i="93"/>
  <c r="JD802" i="93"/>
  <c r="IV802" i="93"/>
  <c r="IN802" i="93"/>
  <c r="HX802" i="93"/>
  <c r="HP802" i="93"/>
  <c r="HH802" i="93"/>
  <c r="GZ802" i="93"/>
  <c r="GR802" i="93"/>
  <c r="GJ802" i="93"/>
  <c r="GB802" i="93"/>
  <c r="FT802" i="93"/>
  <c r="FL802" i="93"/>
  <c r="FD802" i="93"/>
  <c r="EV802" i="93"/>
  <c r="EN802" i="93"/>
  <c r="EF802" i="93"/>
  <c r="DX802" i="93"/>
  <c r="DP802" i="93"/>
  <c r="DH802" i="93"/>
  <c r="CZ802" i="93"/>
  <c r="CR802" i="93"/>
  <c r="CJ802" i="93"/>
  <c r="CB802" i="93"/>
  <c r="BT802" i="93"/>
  <c r="BL802" i="93"/>
  <c r="BD802" i="93"/>
  <c r="AV802" i="93"/>
  <c r="AN802" i="93"/>
  <c r="AF802" i="93"/>
  <c r="X802" i="93"/>
  <c r="JK802" i="93"/>
  <c r="JC802" i="93"/>
  <c r="IU802" i="93"/>
  <c r="IM802" i="93"/>
  <c r="HW802" i="93"/>
  <c r="HO802" i="93"/>
  <c r="HG802" i="93"/>
  <c r="GY802" i="93"/>
  <c r="GQ802" i="93"/>
  <c r="GI802" i="93"/>
  <c r="GA802" i="93"/>
  <c r="FS802" i="93"/>
  <c r="FK802" i="93"/>
  <c r="FC802" i="93"/>
  <c r="EU802" i="93"/>
  <c r="EM802" i="93"/>
  <c r="EE802" i="93"/>
  <c r="DW802" i="93"/>
  <c r="DO802" i="93"/>
  <c r="DG802" i="93"/>
  <c r="CY802" i="93"/>
  <c r="CQ802" i="93"/>
  <c r="CI802" i="93"/>
  <c r="CA802" i="93"/>
  <c r="BS802" i="93"/>
  <c r="BK802" i="93"/>
  <c r="BC802" i="93"/>
  <c r="AU802" i="93"/>
  <c r="AM802" i="93"/>
  <c r="AE802" i="93"/>
  <c r="W802" i="93"/>
  <c r="JP802" i="93"/>
  <c r="JH802" i="93"/>
  <c r="IZ802" i="93"/>
  <c r="IR802" i="93"/>
  <c r="IJ802" i="93"/>
  <c r="IB802" i="93"/>
  <c r="HT802" i="93"/>
  <c r="HL802" i="93"/>
  <c r="HD802" i="93"/>
  <c r="GV802" i="93"/>
  <c r="GN802" i="93"/>
  <c r="GF802" i="93"/>
  <c r="FX802" i="93"/>
  <c r="FP802" i="93"/>
  <c r="FH802" i="93"/>
  <c r="EZ802" i="93"/>
  <c r="ER802" i="93"/>
  <c r="EJ802" i="93"/>
  <c r="EB802" i="93"/>
  <c r="DT802" i="93"/>
  <c r="DL802" i="93"/>
  <c r="DD802" i="93"/>
  <c r="CV802" i="93"/>
  <c r="CN802" i="93"/>
  <c r="CF802" i="93"/>
  <c r="BX802" i="93"/>
  <c r="BP802" i="93"/>
  <c r="BH802" i="93"/>
  <c r="AZ802" i="93"/>
  <c r="AR802" i="93"/>
  <c r="AJ802" i="93"/>
  <c r="AB802" i="93"/>
  <c r="AI802" i="93"/>
  <c r="AW802" i="93"/>
  <c r="BI802" i="93"/>
  <c r="BV802" i="93"/>
  <c r="CH802" i="93"/>
  <c r="CU802" i="93"/>
  <c r="DN802" i="93"/>
  <c r="EK802" i="93"/>
  <c r="FE802" i="93"/>
  <c r="FZ802" i="93"/>
  <c r="GW802" i="93"/>
  <c r="HQ802" i="93"/>
  <c r="IL802" i="93"/>
  <c r="JI802" i="93"/>
  <c r="HP803" i="93"/>
  <c r="FB803" i="93"/>
  <c r="FW803" i="93"/>
  <c r="GT803" i="93"/>
  <c r="HN803" i="93"/>
  <c r="JG803" i="93"/>
  <c r="GX802" i="93"/>
  <c r="HU802" i="93"/>
  <c r="IO802" i="93"/>
  <c r="JJ802" i="93"/>
  <c r="FF803" i="93"/>
  <c r="FZ803" i="93"/>
  <c r="GU803" i="93"/>
  <c r="HR803" i="93"/>
  <c r="W798" i="93"/>
  <c r="AE798" i="93"/>
  <c r="AM798" i="93"/>
  <c r="AU798" i="93"/>
  <c r="BC798" i="93"/>
  <c r="BK798" i="93"/>
  <c r="BS798" i="93"/>
  <c r="CA798" i="93"/>
  <c r="CI798" i="93"/>
  <c r="CQ798" i="93"/>
  <c r="CY798" i="93"/>
  <c r="DG798" i="93"/>
  <c r="DO798" i="93"/>
  <c r="DW798" i="93"/>
  <c r="EE798" i="93"/>
  <c r="EM798" i="93"/>
  <c r="EU798" i="93"/>
  <c r="FC798" i="93"/>
  <c r="FK798" i="93"/>
  <c r="FS798" i="93"/>
  <c r="GA798" i="93"/>
  <c r="GI798" i="93"/>
  <c r="GQ798" i="93"/>
  <c r="GY798" i="93"/>
  <c r="HG798" i="93"/>
  <c r="HO798" i="93"/>
  <c r="HW798" i="93"/>
  <c r="IM798" i="93"/>
  <c r="IU798" i="93"/>
  <c r="JC798" i="93"/>
  <c r="IH801" i="93"/>
  <c r="IE801" i="93"/>
  <c r="Z802" i="93"/>
  <c r="AL802" i="93"/>
  <c r="AY802" i="93"/>
  <c r="BM802" i="93"/>
  <c r="BY802" i="93"/>
  <c r="CL802" i="93"/>
  <c r="CX802" i="93"/>
  <c r="DU802" i="93"/>
  <c r="EO802" i="93"/>
  <c r="FJ802" i="93"/>
  <c r="GG802" i="93"/>
  <c r="HA802" i="93"/>
  <c r="HV802" i="93"/>
  <c r="IS802" i="93"/>
  <c r="JM802" i="93"/>
  <c r="FG803" i="93"/>
  <c r="GD803" i="93"/>
  <c r="GX803" i="93"/>
  <c r="Y803" i="93"/>
  <c r="AG803" i="93"/>
  <c r="AO803" i="93"/>
  <c r="AW803" i="93"/>
  <c r="BE803" i="93"/>
  <c r="BM803" i="93"/>
  <c r="BU803" i="93"/>
  <c r="CC803" i="93"/>
  <c r="CK803" i="93"/>
  <c r="CS803" i="93"/>
  <c r="DA803" i="93"/>
  <c r="DI803" i="93"/>
  <c r="DQ803" i="93"/>
  <c r="DY803" i="93"/>
  <c r="EG803" i="93"/>
  <c r="EO803" i="93"/>
  <c r="EW803" i="93"/>
  <c r="FE803" i="93"/>
  <c r="FM803" i="93"/>
  <c r="FU803" i="93"/>
  <c r="GC803" i="93"/>
  <c r="GK803" i="93"/>
  <c r="GS803" i="93"/>
  <c r="HA803" i="93"/>
  <c r="HI803" i="93"/>
  <c r="HQ803" i="93"/>
  <c r="HY803" i="93"/>
  <c r="IO803" i="93"/>
  <c r="IW803" i="93"/>
  <c r="JE803" i="93"/>
  <c r="JP803" i="93"/>
  <c r="CX804" i="93"/>
  <c r="DI804" i="93"/>
  <c r="DT804" i="93"/>
  <c r="ED804" i="93"/>
  <c r="EO804" i="93"/>
  <c r="FB804" i="93"/>
  <c r="FP804" i="93"/>
  <c r="GC804" i="93"/>
  <c r="GS804" i="93"/>
  <c r="HI804" i="93"/>
  <c r="HY804" i="93"/>
  <c r="IO804" i="93"/>
  <c r="IE802" i="93"/>
  <c r="AB803" i="93"/>
  <c r="AJ803" i="93"/>
  <c r="AR803" i="93"/>
  <c r="AZ803" i="93"/>
  <c r="BH803" i="93"/>
  <c r="BP803" i="93"/>
  <c r="BX803" i="93"/>
  <c r="CF803" i="93"/>
  <c r="CN803" i="93"/>
  <c r="CV803" i="93"/>
  <c r="DD803" i="93"/>
  <c r="DL803" i="93"/>
  <c r="DT803" i="93"/>
  <c r="EB803" i="93"/>
  <c r="EJ803" i="93"/>
  <c r="ER803" i="93"/>
  <c r="EZ803" i="93"/>
  <c r="FH803" i="93"/>
  <c r="FP803" i="93"/>
  <c r="FX803" i="93"/>
  <c r="GF803" i="93"/>
  <c r="GN803" i="93"/>
  <c r="GV803" i="93"/>
  <c r="HD803" i="93"/>
  <c r="HL803" i="93"/>
  <c r="HT803" i="93"/>
  <c r="IB803" i="93"/>
  <c r="IJ803" i="93"/>
  <c r="IR803" i="93"/>
  <c r="IZ803" i="93"/>
  <c r="JP804" i="93"/>
  <c r="JH804" i="93"/>
  <c r="IZ804" i="93"/>
  <c r="IR804" i="93"/>
  <c r="IJ804" i="93"/>
  <c r="IB804" i="93"/>
  <c r="HT804" i="93"/>
  <c r="HL804" i="93"/>
  <c r="HD804" i="93"/>
  <c r="GV804" i="93"/>
  <c r="GN804" i="93"/>
  <c r="GF804" i="93"/>
  <c r="FX804" i="93"/>
  <c r="JO804" i="93"/>
  <c r="JG804" i="93"/>
  <c r="IY804" i="93"/>
  <c r="IQ804" i="93"/>
  <c r="II804" i="93"/>
  <c r="IA804" i="93"/>
  <c r="HS804" i="93"/>
  <c r="HK804" i="93"/>
  <c r="HC804" i="93"/>
  <c r="GU804" i="93"/>
  <c r="GM804" i="93"/>
  <c r="GE804" i="93"/>
  <c r="FW804" i="93"/>
  <c r="FO804" i="93"/>
  <c r="FG804" i="93"/>
  <c r="EY804" i="93"/>
  <c r="EQ804" i="93"/>
  <c r="JN804" i="93"/>
  <c r="JF804" i="93"/>
  <c r="IX804" i="93"/>
  <c r="IP804" i="93"/>
  <c r="HZ804" i="93"/>
  <c r="HR804" i="93"/>
  <c r="HJ804" i="93"/>
  <c r="HB804" i="93"/>
  <c r="GT804" i="93"/>
  <c r="GL804" i="93"/>
  <c r="GD804" i="93"/>
  <c r="FV804" i="93"/>
  <c r="FN804" i="93"/>
  <c r="FF804" i="93"/>
  <c r="EX804" i="93"/>
  <c r="EP804" i="93"/>
  <c r="EH804" i="93"/>
  <c r="DZ804" i="93"/>
  <c r="DR804" i="93"/>
  <c r="DJ804" i="93"/>
  <c r="DB804" i="93"/>
  <c r="CT804" i="93"/>
  <c r="CL804" i="93"/>
  <c r="CD804" i="93"/>
  <c r="BV804" i="93"/>
  <c r="BN804" i="93"/>
  <c r="BF804" i="93"/>
  <c r="AX804" i="93"/>
  <c r="AP804" i="93"/>
  <c r="AH804" i="93"/>
  <c r="Z804" i="93"/>
  <c r="JK804" i="93"/>
  <c r="JC804" i="93"/>
  <c r="IU804" i="93"/>
  <c r="IM804" i="93"/>
  <c r="HW804" i="93"/>
  <c r="HO804" i="93"/>
  <c r="HG804" i="93"/>
  <c r="GY804" i="93"/>
  <c r="GQ804" i="93"/>
  <c r="GI804" i="93"/>
  <c r="GA804" i="93"/>
  <c r="FS804" i="93"/>
  <c r="FK804" i="93"/>
  <c r="FC804" i="93"/>
  <c r="EU804" i="93"/>
  <c r="EM804" i="93"/>
  <c r="EE804" i="93"/>
  <c r="DW804" i="93"/>
  <c r="DO804" i="93"/>
  <c r="DG804" i="93"/>
  <c r="CY804" i="93"/>
  <c r="CQ804" i="93"/>
  <c r="CI804" i="93"/>
  <c r="CA804" i="93"/>
  <c r="BS804" i="93"/>
  <c r="BK804" i="93"/>
  <c r="BC804" i="93"/>
  <c r="AU804" i="93"/>
  <c r="AM804" i="93"/>
  <c r="AE804" i="93"/>
  <c r="W804" i="93"/>
  <c r="AF804" i="93"/>
  <c r="AQ804" i="93"/>
  <c r="BA804" i="93"/>
  <c r="BL804" i="93"/>
  <c r="BW804" i="93"/>
  <c r="CG804" i="93"/>
  <c r="CR804" i="93"/>
  <c r="DC804" i="93"/>
  <c r="DM804" i="93"/>
  <c r="DX804" i="93"/>
  <c r="EI804" i="93"/>
  <c r="ET804" i="93"/>
  <c r="FH804" i="93"/>
  <c r="FT804" i="93"/>
  <c r="GJ804" i="93"/>
  <c r="GZ804" i="93"/>
  <c r="HP804" i="93"/>
  <c r="IV804" i="93"/>
  <c r="JL804" i="93"/>
  <c r="JQ803" i="93"/>
  <c r="JI803" i="93"/>
  <c r="JN803" i="93"/>
  <c r="JF803" i="93"/>
  <c r="AC803" i="93"/>
  <c r="AK803" i="93"/>
  <c r="AS803" i="93"/>
  <c r="BA803" i="93"/>
  <c r="BI803" i="93"/>
  <c r="BQ803" i="93"/>
  <c r="BY803" i="93"/>
  <c r="CG803" i="93"/>
  <c r="CO803" i="93"/>
  <c r="CW803" i="93"/>
  <c r="DE803" i="93"/>
  <c r="DM803" i="93"/>
  <c r="DU803" i="93"/>
  <c r="EC803" i="93"/>
  <c r="EK803" i="93"/>
  <c r="ES803" i="93"/>
  <c r="FA803" i="93"/>
  <c r="FI803" i="93"/>
  <c r="FQ803" i="93"/>
  <c r="FY803" i="93"/>
  <c r="GG803" i="93"/>
  <c r="GO803" i="93"/>
  <c r="GW803" i="93"/>
  <c r="HE803" i="93"/>
  <c r="HM803" i="93"/>
  <c r="HU803" i="93"/>
  <c r="IC803" i="93"/>
  <c r="IK803" i="93"/>
  <c r="IS803" i="93"/>
  <c r="JA803" i="93"/>
  <c r="JK803" i="93"/>
  <c r="AR804" i="93"/>
  <c r="BB804" i="93"/>
  <c r="BM804" i="93"/>
  <c r="BX804" i="93"/>
  <c r="CH804" i="93"/>
  <c r="CS804" i="93"/>
  <c r="DD804" i="93"/>
  <c r="DN804" i="93"/>
  <c r="DY804" i="93"/>
  <c r="EJ804" i="93"/>
  <c r="EV804" i="93"/>
  <c r="FI804" i="93"/>
  <c r="FU804" i="93"/>
  <c r="GK804" i="93"/>
  <c r="HA804" i="93"/>
  <c r="HQ804" i="93"/>
  <c r="IW804" i="93"/>
  <c r="JM804" i="93"/>
  <c r="W803" i="93"/>
  <c r="AE803" i="93"/>
  <c r="AM803" i="93"/>
  <c r="AU803" i="93"/>
  <c r="BC803" i="93"/>
  <c r="BK803" i="93"/>
  <c r="BS803" i="93"/>
  <c r="CA803" i="93"/>
  <c r="CI803" i="93"/>
  <c r="CQ803" i="93"/>
  <c r="CY803" i="93"/>
  <c r="DG803" i="93"/>
  <c r="DO803" i="93"/>
  <c r="DW803" i="93"/>
  <c r="EE803" i="93"/>
  <c r="EM803" i="93"/>
  <c r="EU803" i="93"/>
  <c r="FC803" i="93"/>
  <c r="FK803" i="93"/>
  <c r="FS803" i="93"/>
  <c r="GA803" i="93"/>
  <c r="GI803" i="93"/>
  <c r="GQ803" i="93"/>
  <c r="GY803" i="93"/>
  <c r="HG803" i="93"/>
  <c r="HO803" i="93"/>
  <c r="HW803" i="93"/>
  <c r="IE803" i="93"/>
  <c r="IM803" i="93"/>
  <c r="IU803" i="93"/>
  <c r="JC803" i="93"/>
  <c r="JM803" i="93"/>
  <c r="DF804" i="93"/>
  <c r="DQ804" i="93"/>
  <c r="EB804" i="93"/>
  <c r="EL804" i="93"/>
  <c r="EZ804" i="93"/>
  <c r="FL804" i="93"/>
  <c r="FZ804" i="93"/>
  <c r="GP804" i="93"/>
  <c r="HF804" i="93"/>
  <c r="HV804" i="93"/>
  <c r="JB804" i="93"/>
  <c r="X803" i="93"/>
  <c r="AF803" i="93"/>
  <c r="AN803" i="93"/>
  <c r="AV803" i="93"/>
  <c r="BD803" i="93"/>
  <c r="BL803" i="93"/>
  <c r="BT803" i="93"/>
  <c r="CB803" i="93"/>
  <c r="CJ803" i="93"/>
  <c r="CR803" i="93"/>
  <c r="CZ803" i="93"/>
  <c r="DH803" i="93"/>
  <c r="DP803" i="93"/>
  <c r="DX803" i="93"/>
  <c r="EF803" i="93"/>
  <c r="EN803" i="93"/>
  <c r="FD803" i="93"/>
  <c r="FL803" i="93"/>
  <c r="FT803" i="93"/>
  <c r="GB803" i="93"/>
  <c r="GJ803" i="93"/>
  <c r="GR803" i="93"/>
  <c r="GZ803" i="93"/>
  <c r="HH803" i="93"/>
  <c r="HX803" i="93"/>
  <c r="IF803" i="93"/>
  <c r="IN803" i="93"/>
  <c r="IV803" i="93"/>
  <c r="JD803" i="93"/>
  <c r="JO803" i="93"/>
  <c r="DH804" i="93"/>
  <c r="DS804" i="93"/>
  <c r="EC804" i="93"/>
  <c r="EN804" i="93"/>
  <c r="FA804" i="93"/>
  <c r="FM804" i="93"/>
  <c r="GB804" i="93"/>
  <c r="GR804" i="93"/>
  <c r="HH804" i="93"/>
  <c r="HX804" i="93"/>
  <c r="G903" i="93"/>
  <c r="O903" i="93"/>
  <c r="F945" i="93"/>
  <c r="H894" i="93"/>
  <c r="P894" i="93"/>
  <c r="M907" i="93"/>
  <c r="D975" i="93"/>
  <c r="D971" i="93"/>
  <c r="D970" i="93"/>
  <c r="D977" i="93"/>
  <c r="K889" i="93"/>
  <c r="I916" i="93"/>
  <c r="P924" i="93"/>
  <c r="K923" i="93"/>
  <c r="K942" i="93"/>
  <c r="N885" i="93"/>
  <c r="G894" i="93"/>
  <c r="O894" i="93"/>
  <c r="G912" i="93"/>
  <c r="C971" i="93"/>
  <c r="C975" i="93"/>
  <c r="L1667" i="93"/>
  <c r="Q1667" i="93"/>
  <c r="J1935" i="93"/>
  <c r="L1859" i="93"/>
  <c r="Q1859" i="93"/>
  <c r="M1719" i="93"/>
  <c r="O1719" i="93" s="1"/>
  <c r="Q1828" i="93"/>
  <c r="H99" i="94"/>
  <c r="H83" i="93"/>
  <c r="N1901" i="93"/>
  <c r="Q1901" i="93"/>
  <c r="L1901" i="93"/>
  <c r="O2017" i="94"/>
  <c r="E1666" i="94" s="1"/>
  <c r="E18" i="72"/>
  <c r="O1968" i="94"/>
  <c r="O1834" i="93"/>
  <c r="M1829" i="93"/>
  <c r="O1927" i="94"/>
  <c r="H1732" i="93"/>
  <c r="H1826" i="94"/>
  <c r="O171" i="72"/>
  <c r="I1828" i="94"/>
  <c r="I1830" i="94"/>
  <c r="I1735" i="93"/>
  <c r="L1815" i="94"/>
  <c r="M1815" i="94" s="1"/>
  <c r="T1815" i="94" s="1"/>
  <c r="M1718" i="93"/>
  <c r="O1718" i="93" s="1"/>
  <c r="U166" i="72"/>
  <c r="L1814" i="94"/>
  <c r="M1814" i="94" s="1"/>
  <c r="T1814" i="94" s="1"/>
  <c r="M1717" i="93"/>
  <c r="O1717" i="93" s="1"/>
  <c r="N95" i="93"/>
  <c r="M1397" i="93"/>
  <c r="L1397" i="93" s="1"/>
  <c r="N88" i="66"/>
  <c r="H1325" i="94"/>
  <c r="I1325" i="94"/>
  <c r="K1325" i="94"/>
  <c r="F1325" i="94"/>
  <c r="J1090" i="94"/>
  <c r="K1090" i="94"/>
  <c r="R975" i="93"/>
  <c r="H1090" i="94"/>
  <c r="M103" i="75" l="1"/>
  <c r="G1043" i="94"/>
  <c r="J141" i="75"/>
  <c r="B67" i="74"/>
  <c r="B1082" i="94" s="1"/>
  <c r="O1977" i="94"/>
  <c r="K113" i="75"/>
  <c r="B5" i="92"/>
  <c r="O150" i="75"/>
  <c r="O86" i="75"/>
  <c r="C972" i="93"/>
  <c r="C1015" i="93"/>
  <c r="P988" i="94"/>
  <c r="E38" i="78"/>
  <c r="G34" i="78" s="1"/>
  <c r="F128" i="74"/>
  <c r="F1143" i="94" s="1"/>
  <c r="N138" i="75"/>
  <c r="G1046" i="94"/>
  <c r="G985" i="93"/>
  <c r="O131" i="75"/>
  <c r="M109" i="75"/>
  <c r="M577" i="94"/>
  <c r="M594" i="94" s="1"/>
  <c r="M596" i="94" s="1"/>
  <c r="M598" i="94" s="1"/>
  <c r="C1041" i="94"/>
  <c r="P153" i="72"/>
  <c r="O768" i="94"/>
  <c r="M763" i="93"/>
  <c r="D1041" i="94"/>
  <c r="F1153" i="93"/>
  <c r="F1152" i="93"/>
  <c r="J97" i="74"/>
  <c r="J1112" i="94" s="1"/>
  <c r="C62" i="84"/>
  <c r="L142" i="75"/>
  <c r="K109" i="75"/>
  <c r="M138" i="75"/>
  <c r="K136" i="75"/>
  <c r="K1200" i="94" s="1"/>
  <c r="K103" i="75"/>
  <c r="G55" i="73"/>
  <c r="R20" i="75"/>
  <c r="R17" i="75"/>
  <c r="C980" i="93"/>
  <c r="C988" i="93" s="1"/>
  <c r="T174" i="72"/>
  <c r="O51" i="93"/>
  <c r="K1157" i="93"/>
  <c r="N1157" i="93" s="1"/>
  <c r="J142" i="75"/>
  <c r="N106" i="75"/>
  <c r="M136" i="75"/>
  <c r="P1954" i="94"/>
  <c r="M568" i="93"/>
  <c r="M585" i="93" s="1"/>
  <c r="M587" i="93" s="1"/>
  <c r="M589" i="93" s="1"/>
  <c r="P237" i="75"/>
  <c r="O58" i="75"/>
  <c r="H87" i="94" s="1"/>
  <c r="N109" i="75"/>
  <c r="N142" i="75"/>
  <c r="K66" i="73" s="1"/>
  <c r="O98" i="75"/>
  <c r="O66" i="75"/>
  <c r="C36" i="84"/>
  <c r="E481" i="94"/>
  <c r="L136" i="75"/>
  <c r="L106" i="75"/>
  <c r="L138" i="75"/>
  <c r="K1144" i="93" s="1"/>
  <c r="O94" i="75"/>
  <c r="E58" i="84"/>
  <c r="E62" i="84" s="1"/>
  <c r="K58" i="84"/>
  <c r="K62" i="84" s="1"/>
  <c r="I58" i="84"/>
  <c r="J152" i="75"/>
  <c r="K1160" i="93"/>
  <c r="M1160" i="93" s="1"/>
  <c r="K152" i="75"/>
  <c r="K154" i="75" s="1"/>
  <c r="P235" i="75"/>
  <c r="M115" i="75"/>
  <c r="O116" i="75"/>
  <c r="K141" i="75"/>
  <c r="F1221" i="94" s="1"/>
  <c r="O107" i="75"/>
  <c r="N88" i="75"/>
  <c r="L135" i="75"/>
  <c r="F1137" i="93" s="1"/>
  <c r="O81" i="75"/>
  <c r="I85" i="94" s="1"/>
  <c r="N63" i="75"/>
  <c r="D11" i="88" s="1"/>
  <c r="E11" i="88" s="1"/>
  <c r="K63" i="73"/>
  <c r="N63" i="73" s="1"/>
  <c r="J137" i="75"/>
  <c r="O149" i="75"/>
  <c r="O237" i="75"/>
  <c r="O108" i="75"/>
  <c r="O102" i="75"/>
  <c r="M99" i="75"/>
  <c r="J138" i="75"/>
  <c r="K48" i="73" s="1"/>
  <c r="L137" i="75"/>
  <c r="F50" i="73" s="1"/>
  <c r="J135" i="75"/>
  <c r="M106" i="75"/>
  <c r="J88" i="75"/>
  <c r="N103" i="75"/>
  <c r="O85" i="75"/>
  <c r="O119" i="75"/>
  <c r="O82" i="75"/>
  <c r="K63" i="75"/>
  <c r="K76" i="75" s="1"/>
  <c r="K838" i="94" s="1"/>
  <c r="N136" i="75"/>
  <c r="K1203" i="94" s="1"/>
  <c r="N1203" i="94" s="1"/>
  <c r="O151" i="75"/>
  <c r="O97" i="75"/>
  <c r="L88" i="75"/>
  <c r="L63" i="75"/>
  <c r="L77" i="75" s="1"/>
  <c r="L839" i="94" s="1"/>
  <c r="J106" i="75"/>
  <c r="O83" i="75"/>
  <c r="P236" i="75"/>
  <c r="O101" i="75"/>
  <c r="K99" i="75"/>
  <c r="N137" i="75"/>
  <c r="F1210" i="94" s="1"/>
  <c r="O120" i="75"/>
  <c r="F1214" i="94"/>
  <c r="N99" i="75"/>
  <c r="J63" i="75"/>
  <c r="D7" i="88" s="1"/>
  <c r="J99" i="75"/>
  <c r="K88" i="75"/>
  <c r="M113" i="75"/>
  <c r="F1150" i="93"/>
  <c r="I1150" i="93" s="1"/>
  <c r="O147" i="75"/>
  <c r="K135" i="75"/>
  <c r="F42" i="73" s="1"/>
  <c r="K106" i="75"/>
  <c r="M88" i="75"/>
  <c r="F59" i="73"/>
  <c r="H59" i="73" s="1"/>
  <c r="J115" i="75"/>
  <c r="O235" i="75"/>
  <c r="K1216" i="94"/>
  <c r="M1216" i="94" s="1"/>
  <c r="O56" i="75"/>
  <c r="K1215" i="94"/>
  <c r="M1215" i="94" s="1"/>
  <c r="M137" i="75"/>
  <c r="O118" i="75"/>
  <c r="O130" i="75"/>
  <c r="O93" i="75"/>
  <c r="O64" i="75"/>
  <c r="O62" i="75"/>
  <c r="M152" i="75"/>
  <c r="M154" i="75" s="1"/>
  <c r="M156" i="75" s="1"/>
  <c r="K138" i="75"/>
  <c r="K1207" i="94" s="1"/>
  <c r="O148" i="75"/>
  <c r="K58" i="73"/>
  <c r="M58" i="73" s="1"/>
  <c r="L152" i="75"/>
  <c r="L154" i="75" s="1"/>
  <c r="L156" i="75" s="1"/>
  <c r="O145" i="75"/>
  <c r="J103" i="75"/>
  <c r="O236" i="75"/>
  <c r="L99" i="75"/>
  <c r="M63" i="75"/>
  <c r="M76" i="75" s="1"/>
  <c r="M838" i="94" s="1"/>
  <c r="B480" i="93"/>
  <c r="E482" i="94"/>
  <c r="E473" i="93"/>
  <c r="L410" i="94"/>
  <c r="E3" i="86"/>
  <c r="I35" i="86" s="1"/>
  <c r="K29" i="84"/>
  <c r="L394" i="93"/>
  <c r="L395" i="93" s="1"/>
  <c r="F34" i="78"/>
  <c r="B489" i="94"/>
  <c r="F492" i="94" s="1"/>
  <c r="G577" i="94"/>
  <c r="F1157" i="93"/>
  <c r="I1157" i="93" s="1"/>
  <c r="F63" i="73"/>
  <c r="EY805" i="93"/>
  <c r="EL805" i="93"/>
  <c r="N835" i="93" s="1"/>
  <c r="GW805" i="93"/>
  <c r="L845" i="93" s="1"/>
  <c r="BY805" i="93"/>
  <c r="N818" i="93" s="1"/>
  <c r="BW805" i="93"/>
  <c r="L818" i="93" s="1"/>
  <c r="J577" i="94"/>
  <c r="J594" i="94" s="1"/>
  <c r="J596" i="94" s="1"/>
  <c r="J598" i="94" s="1"/>
  <c r="N152" i="75"/>
  <c r="N154" i="75" s="1"/>
  <c r="N156" i="75" s="1"/>
  <c r="O127" i="75"/>
  <c r="O126" i="75"/>
  <c r="O57" i="75"/>
  <c r="J113" i="75"/>
  <c r="M142" i="75"/>
  <c r="O142" i="75" s="1"/>
  <c r="GN805" i="93"/>
  <c r="M855" i="93" s="1"/>
  <c r="C54" i="86"/>
  <c r="K1224" i="94"/>
  <c r="N1224" i="94" s="1"/>
  <c r="M135" i="75"/>
  <c r="O122" i="75"/>
  <c r="K56" i="73"/>
  <c r="N56" i="73" s="1"/>
  <c r="O105" i="75"/>
  <c r="O155" i="75"/>
  <c r="P94" i="94" s="1"/>
  <c r="IS805" i="93"/>
  <c r="GG805" i="93"/>
  <c r="K854" i="93" s="1"/>
  <c r="GU805" i="93"/>
  <c r="J845" i="93" s="1"/>
  <c r="O128" i="75"/>
  <c r="K1214" i="94"/>
  <c r="M1214" i="94" s="1"/>
  <c r="L115" i="75"/>
  <c r="L103" i="75"/>
  <c r="BA805" i="93"/>
  <c r="J821" i="93" s="1"/>
  <c r="FX805" i="93"/>
  <c r="L856" i="93" s="1"/>
  <c r="HA805" i="93"/>
  <c r="K846" i="93" s="1"/>
  <c r="S577" i="94"/>
  <c r="C35" i="74"/>
  <c r="C1050" i="94" s="1"/>
  <c r="O124" i="75"/>
  <c r="O84" i="75"/>
  <c r="O117" i="75"/>
  <c r="L113" i="75"/>
  <c r="R780" i="94"/>
  <c r="N135" i="75"/>
  <c r="P932" i="93"/>
  <c r="IB805" i="93"/>
  <c r="M851" i="93" s="1"/>
  <c r="DD805" i="93"/>
  <c r="J829" i="93" s="1"/>
  <c r="E471" i="93"/>
  <c r="R19" i="75"/>
  <c r="C1042" i="94"/>
  <c r="O123" i="75"/>
  <c r="O92" i="75"/>
  <c r="K115" i="75"/>
  <c r="L109" i="75"/>
  <c r="L141" i="75"/>
  <c r="C978" i="93"/>
  <c r="HK805" i="93"/>
  <c r="K848" i="93" s="1"/>
  <c r="K865" i="93" s="1"/>
  <c r="HM805" i="93"/>
  <c r="M848" i="93" s="1"/>
  <c r="M865" i="93" s="1"/>
  <c r="CN805" i="93"/>
  <c r="K97" i="74"/>
  <c r="K1112" i="94" s="1"/>
  <c r="O146" i="75"/>
  <c r="O87" i="75"/>
  <c r="E480" i="94"/>
  <c r="G58" i="73"/>
  <c r="G59" i="73"/>
  <c r="K1158" i="93"/>
  <c r="M1158" i="93" s="1"/>
  <c r="K1222" i="94"/>
  <c r="N1222" i="94" s="1"/>
  <c r="K64" i="73"/>
  <c r="M64" i="73" s="1"/>
  <c r="K1139" i="93"/>
  <c r="M1139" i="93" s="1"/>
  <c r="J136" i="75"/>
  <c r="N115" i="75"/>
  <c r="ED805" i="93"/>
  <c r="O95" i="75"/>
  <c r="O61" i="75"/>
  <c r="O125" i="75"/>
  <c r="FQ805" i="93"/>
  <c r="J859" i="93" s="1"/>
  <c r="N113" i="75"/>
  <c r="O121" i="75"/>
  <c r="K59" i="73"/>
  <c r="N59" i="73" s="1"/>
  <c r="K1217" i="94"/>
  <c r="FH805" i="93"/>
  <c r="K853" i="93" s="1"/>
  <c r="HJ805" i="93"/>
  <c r="J848" i="93" s="1"/>
  <c r="J865" i="93" s="1"/>
  <c r="O129" i="75"/>
  <c r="JP805" i="93"/>
  <c r="HD805" i="93"/>
  <c r="N846" i="93" s="1"/>
  <c r="BB805" i="93"/>
  <c r="K821" i="93" s="1"/>
  <c r="FZ805" i="93"/>
  <c r="N856" i="93" s="1"/>
  <c r="EC805" i="93"/>
  <c r="MR810" i="94"/>
  <c r="DN805" i="93"/>
  <c r="BE805" i="93"/>
  <c r="N821" i="93" s="1"/>
  <c r="GM805" i="93"/>
  <c r="L855" i="93" s="1"/>
  <c r="GO805" i="93"/>
  <c r="N855" i="93" s="1"/>
  <c r="IY805" i="93"/>
  <c r="GK805" i="93"/>
  <c r="J855" i="93" s="1"/>
  <c r="AW805" i="93"/>
  <c r="K822" i="93" s="1"/>
  <c r="FJ805" i="93"/>
  <c r="M853" i="93" s="1"/>
  <c r="HV805" i="93"/>
  <c r="L850" i="93" s="1"/>
  <c r="GQ805" i="93"/>
  <c r="K844" i="93" s="1"/>
  <c r="K863" i="93" s="1"/>
  <c r="EX805" i="93"/>
  <c r="DA805" i="93"/>
  <c r="L875" i="93" s="1"/>
  <c r="GA810" i="94"/>
  <c r="J917" i="94" s="1"/>
  <c r="K156" i="75"/>
  <c r="EE805" i="93"/>
  <c r="Z805" i="93"/>
  <c r="M813" i="93" s="1"/>
  <c r="GP805" i="93"/>
  <c r="J844" i="93" s="1"/>
  <c r="K1145" i="93"/>
  <c r="K1209" i="94"/>
  <c r="K51" i="73"/>
  <c r="ER805" i="93"/>
  <c r="CF805" i="93"/>
  <c r="K871" i="93" s="1"/>
  <c r="FW805" i="93"/>
  <c r="K856" i="93" s="1"/>
  <c r="BX805" i="93"/>
  <c r="M818" i="93" s="1"/>
  <c r="AD805" i="93"/>
  <c r="L814" i="93" s="1"/>
  <c r="JQ805" i="93"/>
  <c r="FG805" i="93"/>
  <c r="J853" i="93" s="1"/>
  <c r="BH805" i="93"/>
  <c r="BK805" i="93"/>
  <c r="J826" i="93" s="1"/>
  <c r="DW805" i="93"/>
  <c r="N832" i="93" s="1"/>
  <c r="GI805" i="93"/>
  <c r="M854" i="93" s="1"/>
  <c r="JC805" i="93"/>
  <c r="BT805" i="93"/>
  <c r="N825" i="93" s="1"/>
  <c r="EF805" i="93"/>
  <c r="GR805" i="93"/>
  <c r="L844" i="93" s="1"/>
  <c r="JL805" i="93"/>
  <c r="CD805" i="93"/>
  <c r="N870" i="93" s="1"/>
  <c r="EP805" i="93"/>
  <c r="M836" i="93" s="1"/>
  <c r="HB805" i="93"/>
  <c r="L846" i="93" s="1"/>
  <c r="ET805" i="93"/>
  <c r="CC805" i="93"/>
  <c r="M870" i="93" s="1"/>
  <c r="AL805" i="93"/>
  <c r="J816" i="93" s="1"/>
  <c r="KM810" i="94"/>
  <c r="K882" i="94" s="1"/>
  <c r="K901" i="94" s="1"/>
  <c r="IA810" i="94"/>
  <c r="FO810" i="94"/>
  <c r="M913" i="94" s="1"/>
  <c r="DC810" i="94"/>
  <c r="N859" i="94" s="1"/>
  <c r="AQ810" i="94"/>
  <c r="J822" i="94" s="1"/>
  <c r="LZ810" i="94"/>
  <c r="JF810" i="94"/>
  <c r="M891" i="94" s="1"/>
  <c r="GT810" i="94"/>
  <c r="EH810" i="94"/>
  <c r="J907" i="94" s="1"/>
  <c r="BV810" i="94"/>
  <c r="K847" i="94" s="1"/>
  <c r="H979" i="93"/>
  <c r="H1040" i="94"/>
  <c r="E14" i="87"/>
  <c r="H45" i="82"/>
  <c r="H1216" i="94"/>
  <c r="I1216" i="94"/>
  <c r="F1143" i="93"/>
  <c r="F1207" i="94"/>
  <c r="F49" i="73"/>
  <c r="AT805" i="93"/>
  <c r="CL805" i="93"/>
  <c r="EK805" i="93"/>
  <c r="M835" i="93" s="1"/>
  <c r="EA805" i="93"/>
  <c r="M833" i="93" s="1"/>
  <c r="JA805" i="93"/>
  <c r="BQ805" i="93"/>
  <c r="K825" i="93" s="1"/>
  <c r="BP805" i="93"/>
  <c r="J825" i="93" s="1"/>
  <c r="IT805" i="93"/>
  <c r="EW805" i="93"/>
  <c r="AY805" i="93"/>
  <c r="M822" i="93" s="1"/>
  <c r="IR805" i="93"/>
  <c r="EG805" i="93"/>
  <c r="AI805" i="93"/>
  <c r="CA805" i="93"/>
  <c r="K870" i="93" s="1"/>
  <c r="EM805" i="93"/>
  <c r="J836" i="93" s="1"/>
  <c r="GY805" i="93"/>
  <c r="N845" i="93" s="1"/>
  <c r="X805" i="93"/>
  <c r="K813" i="93" s="1"/>
  <c r="CJ805" i="93"/>
  <c r="EV805" i="93"/>
  <c r="HH805" i="93"/>
  <c r="M847" i="93" s="1"/>
  <c r="M868" i="93" s="1"/>
  <c r="AH805" i="93"/>
  <c r="CT805" i="93"/>
  <c r="FF805" i="93"/>
  <c r="N852" i="93" s="1"/>
  <c r="HR805" i="93"/>
  <c r="M849" i="93" s="1"/>
  <c r="M866" i="93" s="1"/>
  <c r="HF805" i="93"/>
  <c r="K847" i="93" s="1"/>
  <c r="DC805" i="93"/>
  <c r="N875" i="93" s="1"/>
  <c r="AO805" i="93"/>
  <c r="M816" i="93" s="1"/>
  <c r="KN810" i="94"/>
  <c r="L882" i="94" s="1"/>
  <c r="L901" i="94" s="1"/>
  <c r="IB810" i="94"/>
  <c r="FP810" i="94"/>
  <c r="N913" i="94" s="1"/>
  <c r="DD810" i="94"/>
  <c r="J858" i="94" s="1"/>
  <c r="AR810" i="94"/>
  <c r="K822" i="94" s="1"/>
  <c r="LU810" i="94"/>
  <c r="JI810" i="94"/>
  <c r="K888" i="94" s="1"/>
  <c r="GW810" i="94"/>
  <c r="L866" i="94" s="1"/>
  <c r="EK810" i="94"/>
  <c r="M907" i="94" s="1"/>
  <c r="BY810" i="94"/>
  <c r="N847" i="94" s="1"/>
  <c r="HF810" i="94"/>
  <c r="G979" i="93"/>
  <c r="G1040" i="94"/>
  <c r="E13" i="87"/>
  <c r="G45" i="82"/>
  <c r="B982" i="93"/>
  <c r="B990" i="93" s="1"/>
  <c r="B1043" i="94"/>
  <c r="R23" i="74"/>
  <c r="S23" i="74" s="1"/>
  <c r="B36" i="74"/>
  <c r="B1051" i="94" s="1"/>
  <c r="F1012" i="93"/>
  <c r="F1020" i="93" s="1"/>
  <c r="F68" i="74"/>
  <c r="F1083" i="94" s="1"/>
  <c r="F1149" i="93"/>
  <c r="F1213" i="94"/>
  <c r="F55" i="73"/>
  <c r="O139" i="75"/>
  <c r="H1836" i="93"/>
  <c r="H76" i="93"/>
  <c r="H92" i="94"/>
  <c r="H69" i="66"/>
  <c r="P153" i="75"/>
  <c r="JH805" i="93"/>
  <c r="BS805" i="93"/>
  <c r="M825" i="93" s="1"/>
  <c r="GZ805" i="93"/>
  <c r="J846" i="93" s="1"/>
  <c r="EQ805" i="93"/>
  <c r="N836" i="93" s="1"/>
  <c r="C992" i="93"/>
  <c r="DU805" i="93"/>
  <c r="L832" i="93" s="1"/>
  <c r="II805" i="93"/>
  <c r="EJ805" i="93"/>
  <c r="L835" i="93" s="1"/>
  <c r="AK805" i="93"/>
  <c r="HS805" i="93"/>
  <c r="N849" i="93" s="1"/>
  <c r="N866" i="93" s="1"/>
  <c r="DT805" i="93"/>
  <c r="K832" i="93" s="1"/>
  <c r="W805" i="93"/>
  <c r="J813" i="93" s="1"/>
  <c r="CI805" i="93"/>
  <c r="N871" i="93" s="1"/>
  <c r="EU805" i="93"/>
  <c r="HG805" i="93"/>
  <c r="L847" i="93" s="1"/>
  <c r="AF805" i="93"/>
  <c r="N814" i="93" s="1"/>
  <c r="CR805" i="93"/>
  <c r="M873" i="93" s="1"/>
  <c r="FD805" i="93"/>
  <c r="L852" i="93" s="1"/>
  <c r="HP805" i="93"/>
  <c r="K849" i="93" s="1"/>
  <c r="K866" i="93" s="1"/>
  <c r="AP805" i="93"/>
  <c r="N816" i="93" s="1"/>
  <c r="DB805" i="93"/>
  <c r="M875" i="93" s="1"/>
  <c r="FN805" i="93"/>
  <c r="L858" i="93" s="1"/>
  <c r="HZ805" i="93"/>
  <c r="K851" i="93" s="1"/>
  <c r="JI805" i="93"/>
  <c r="CH805" i="93"/>
  <c r="M871" i="93" s="1"/>
  <c r="BR805" i="93"/>
  <c r="L825" i="93" s="1"/>
  <c r="DI805" i="93"/>
  <c r="J830" i="93" s="1"/>
  <c r="IO805" i="93"/>
  <c r="AZ805" i="93"/>
  <c r="N822" i="93" s="1"/>
  <c r="IE805" i="93"/>
  <c r="DS805" i="93"/>
  <c r="J832" i="93" s="1"/>
  <c r="JO805" i="93"/>
  <c r="HN805" i="93"/>
  <c r="N848" i="93" s="1"/>
  <c r="N865" i="93" s="1"/>
  <c r="A805" i="93"/>
  <c r="A762" i="93" s="1"/>
  <c r="J1010" i="93"/>
  <c r="J1018" i="93" s="1"/>
  <c r="J66" i="74"/>
  <c r="J1081" i="94" s="1"/>
  <c r="D1010" i="93"/>
  <c r="D1018" i="93" s="1"/>
  <c r="D66" i="74"/>
  <c r="D1081" i="94" s="1"/>
  <c r="C979" i="93"/>
  <c r="C1040" i="94"/>
  <c r="C45" i="82"/>
  <c r="E9" i="87"/>
  <c r="F970" i="93"/>
  <c r="G969" i="93"/>
  <c r="F977" i="93"/>
  <c r="F971" i="93"/>
  <c r="F975" i="93"/>
  <c r="IK805" i="93"/>
  <c r="FY805" i="93"/>
  <c r="M856" i="93" s="1"/>
  <c r="DM805" i="93"/>
  <c r="N830" i="93" s="1"/>
  <c r="HU805" i="93"/>
  <c r="K850" i="93" s="1"/>
  <c r="DV805" i="93"/>
  <c r="M832" i="93" s="1"/>
  <c r="Y805" i="93"/>
  <c r="L813" i="93" s="1"/>
  <c r="L815" i="93" s="1"/>
  <c r="GE805" i="93"/>
  <c r="N857" i="93" s="1"/>
  <c r="HE805" i="93"/>
  <c r="J847" i="93" s="1"/>
  <c r="DF805" i="93"/>
  <c r="L829" i="93" s="1"/>
  <c r="AE805" i="93"/>
  <c r="M814" i="93" s="1"/>
  <c r="CQ805" i="93"/>
  <c r="L873" i="93" s="1"/>
  <c r="FC805" i="93"/>
  <c r="K852" i="93" s="1"/>
  <c r="HO805" i="93"/>
  <c r="J849" i="93" s="1"/>
  <c r="AN805" i="93"/>
  <c r="L816" i="93" s="1"/>
  <c r="CZ805" i="93"/>
  <c r="K875" i="93" s="1"/>
  <c r="FL805" i="93"/>
  <c r="J858" i="93" s="1"/>
  <c r="HX805" i="93"/>
  <c r="N850" i="93" s="1"/>
  <c r="AX805" i="93"/>
  <c r="L822" i="93" s="1"/>
  <c r="DJ805" i="93"/>
  <c r="K830" i="93" s="1"/>
  <c r="FV805" i="93"/>
  <c r="J856" i="93" s="1"/>
  <c r="IP805" i="93"/>
  <c r="FE805" i="93"/>
  <c r="M852" i="93" s="1"/>
  <c r="JJ805" i="93"/>
  <c r="IA805" i="93"/>
  <c r="L851" i="93" s="1"/>
  <c r="CE805" i="93"/>
  <c r="J871" i="93" s="1"/>
  <c r="GC805" i="93"/>
  <c r="L857" i="93" s="1"/>
  <c r="IL805" i="93"/>
  <c r="G568" i="93"/>
  <c r="MD810" i="94"/>
  <c r="LP810" i="94"/>
  <c r="JD810" i="94"/>
  <c r="K891" i="94" s="1"/>
  <c r="GR810" i="94"/>
  <c r="EF810" i="94"/>
  <c r="M828" i="94" s="1"/>
  <c r="BT810" i="94"/>
  <c r="N848" i="94" s="1"/>
  <c r="P1707" i="93"/>
  <c r="L235" i="72"/>
  <c r="E1010" i="93"/>
  <c r="E1018" i="93" s="1"/>
  <c r="E66" i="74"/>
  <c r="E1081" i="94" s="1"/>
  <c r="P1861" i="93"/>
  <c r="P306" i="72"/>
  <c r="P1848" i="93" s="1"/>
  <c r="E1042" i="93"/>
  <c r="E1049" i="93" s="1"/>
  <c r="E99" i="74"/>
  <c r="E1114" i="94" s="1"/>
  <c r="E979" i="93"/>
  <c r="E1040" i="94"/>
  <c r="E11" i="87"/>
  <c r="E45" i="82"/>
  <c r="BJ805" i="93"/>
  <c r="CB805" i="93"/>
  <c r="L870" i="93" s="1"/>
  <c r="AG805" i="93"/>
  <c r="D1039" i="93"/>
  <c r="E30" i="87"/>
  <c r="H65" i="66"/>
  <c r="E972" i="93"/>
  <c r="E992" i="93" s="1"/>
  <c r="IC805" i="93"/>
  <c r="N851" i="93" s="1"/>
  <c r="AS805" i="93"/>
  <c r="FP805" i="93"/>
  <c r="N858" i="93" s="1"/>
  <c r="AR805" i="93"/>
  <c r="HI805" i="93"/>
  <c r="N847" i="93" s="1"/>
  <c r="DK805" i="93"/>
  <c r="L830" i="93" s="1"/>
  <c r="BO805" i="93"/>
  <c r="N826" i="93" s="1"/>
  <c r="GS805" i="93"/>
  <c r="M844" i="93" s="1"/>
  <c r="CU805" i="93"/>
  <c r="AM805" i="93"/>
  <c r="K816" i="93" s="1"/>
  <c r="CY805" i="93"/>
  <c r="J875" i="93" s="1"/>
  <c r="FK805" i="93"/>
  <c r="N853" i="93" s="1"/>
  <c r="HW805" i="93"/>
  <c r="M850" i="93" s="1"/>
  <c r="AV805" i="93"/>
  <c r="J822" i="93" s="1"/>
  <c r="DH805" i="93"/>
  <c r="N829" i="93" s="1"/>
  <c r="FT805" i="93"/>
  <c r="M859" i="93" s="1"/>
  <c r="IN805" i="93"/>
  <c r="BF805" i="93"/>
  <c r="DR805" i="93"/>
  <c r="GD805" i="93"/>
  <c r="M857" i="93" s="1"/>
  <c r="IX805" i="93"/>
  <c r="JG805" i="93"/>
  <c r="FM805" i="93"/>
  <c r="K858" i="93" s="1"/>
  <c r="HY805" i="93"/>
  <c r="J851" i="93" s="1"/>
  <c r="EI805" i="93"/>
  <c r="K835" i="93" s="1"/>
  <c r="IT810" i="94"/>
  <c r="K893" i="94" s="1"/>
  <c r="EM810" i="94"/>
  <c r="J908" i="94" s="1"/>
  <c r="LV810" i="94"/>
  <c r="BZ810" i="94"/>
  <c r="J846" i="94" s="1"/>
  <c r="E1041" i="93"/>
  <c r="E1048" i="93" s="1"/>
  <c r="E98" i="74"/>
  <c r="E1113" i="94" s="1"/>
  <c r="LF810" i="94"/>
  <c r="HV810" i="94"/>
  <c r="IG805" i="93"/>
  <c r="ES805" i="93"/>
  <c r="EN805" i="93"/>
  <c r="K836" i="93" s="1"/>
  <c r="CP805" i="93"/>
  <c r="K873" i="93" s="1"/>
  <c r="CS805" i="93"/>
  <c r="N873" i="93" s="1"/>
  <c r="D972" i="93"/>
  <c r="D978" i="93" s="1"/>
  <c r="HT805" i="93"/>
  <c r="J850" i="93" s="1"/>
  <c r="AJ805" i="93"/>
  <c r="GV805" i="93"/>
  <c r="K845" i="93" s="1"/>
  <c r="CW805" i="93"/>
  <c r="BZ805" i="93"/>
  <c r="J870" i="93" s="1"/>
  <c r="GF805" i="93"/>
  <c r="J854" i="93" s="1"/>
  <c r="CG805" i="93"/>
  <c r="L871" i="93" s="1"/>
  <c r="AU805" i="93"/>
  <c r="DG805" i="93"/>
  <c r="M829" i="93" s="1"/>
  <c r="FS805" i="93"/>
  <c r="L859" i="93" s="1"/>
  <c r="IM805" i="93"/>
  <c r="BD805" i="93"/>
  <c r="M821" i="93" s="1"/>
  <c r="M823" i="93" s="1"/>
  <c r="DP805" i="93"/>
  <c r="GB805" i="93"/>
  <c r="K857" i="93" s="1"/>
  <c r="IV805" i="93"/>
  <c r="BN805" i="93"/>
  <c r="M826" i="93" s="1"/>
  <c r="DZ805" i="93"/>
  <c r="L833" i="93" s="1"/>
  <c r="GL805" i="93"/>
  <c r="K855" i="93" s="1"/>
  <c r="JF805" i="93"/>
  <c r="P568" i="93"/>
  <c r="P585" i="93" s="1"/>
  <c r="P587" i="93" s="1"/>
  <c r="P589" i="93" s="1"/>
  <c r="JB805" i="93"/>
  <c r="HC805" i="93"/>
  <c r="M846" i="93" s="1"/>
  <c r="BG805" i="93"/>
  <c r="JM805" i="93"/>
  <c r="FB805" i="93"/>
  <c r="J852" i="93" s="1"/>
  <c r="FU805" i="93"/>
  <c r="N859" i="93" s="1"/>
  <c r="KX810" i="94"/>
  <c r="L884" i="94" s="1"/>
  <c r="KK810" i="94"/>
  <c r="N881" i="94" s="1"/>
  <c r="HY810" i="94"/>
  <c r="FM810" i="94"/>
  <c r="K913" i="94" s="1"/>
  <c r="DA810" i="94"/>
  <c r="L859" i="94" s="1"/>
  <c r="AO810" i="94"/>
  <c r="M821" i="94" s="1"/>
  <c r="ML810" i="94"/>
  <c r="LJ810" i="94"/>
  <c r="I1041" i="93"/>
  <c r="I1048" i="93" s="1"/>
  <c r="I98" i="74"/>
  <c r="I1113" i="94" s="1"/>
  <c r="H1009" i="93"/>
  <c r="E24" i="87"/>
  <c r="H65" i="82"/>
  <c r="C985" i="93"/>
  <c r="C1046" i="94"/>
  <c r="R40" i="74"/>
  <c r="R33" i="74"/>
  <c r="R25" i="74"/>
  <c r="R37" i="74"/>
  <c r="C43" i="74"/>
  <c r="D43" i="74" s="1"/>
  <c r="R30" i="74"/>
  <c r="R27" i="74"/>
  <c r="R22" i="74"/>
  <c r="R39" i="74"/>
  <c r="R38" i="74"/>
  <c r="R26" i="74"/>
  <c r="R35" i="74"/>
  <c r="R24" i="74"/>
  <c r="R29" i="74"/>
  <c r="R28" i="74"/>
  <c r="R36" i="74"/>
  <c r="R32" i="74"/>
  <c r="R21" i="74"/>
  <c r="D14" i="86"/>
  <c r="R34" i="74"/>
  <c r="FI805" i="93"/>
  <c r="L853" i="93" s="1"/>
  <c r="JE805" i="93"/>
  <c r="JK805" i="93"/>
  <c r="HQ805" i="93"/>
  <c r="L849" i="93" s="1"/>
  <c r="L866" i="93" s="1"/>
  <c r="GX805" i="93"/>
  <c r="M845" i="93" s="1"/>
  <c r="JZ810" i="94"/>
  <c r="M879" i="94" s="1"/>
  <c r="FA805" i="93"/>
  <c r="CO805" i="93"/>
  <c r="J873" i="93" s="1"/>
  <c r="AC805" i="93"/>
  <c r="K814" i="93" s="1"/>
  <c r="HL805" i="93"/>
  <c r="L848" i="93" s="1"/>
  <c r="L865" i="93" s="1"/>
  <c r="EZ805" i="93"/>
  <c r="AB805" i="93"/>
  <c r="J814" i="93" s="1"/>
  <c r="GH805" i="93"/>
  <c r="L854" i="93" s="1"/>
  <c r="CK805" i="93"/>
  <c r="FR805" i="93"/>
  <c r="K859" i="93" s="1"/>
  <c r="BU805" i="93"/>
  <c r="J818" i="93" s="1"/>
  <c r="BC805" i="93"/>
  <c r="L821" i="93" s="1"/>
  <c r="DO805" i="93"/>
  <c r="GA805" i="93"/>
  <c r="J857" i="93" s="1"/>
  <c r="IU805" i="93"/>
  <c r="BL805" i="93"/>
  <c r="K826" i="93" s="1"/>
  <c r="DX805" i="93"/>
  <c r="J833" i="93" s="1"/>
  <c r="GJ805" i="93"/>
  <c r="N854" i="93" s="1"/>
  <c r="JD805" i="93"/>
  <c r="BV805" i="93"/>
  <c r="K818" i="93" s="1"/>
  <c r="EH805" i="93"/>
  <c r="J835" i="93" s="1"/>
  <c r="GT805" i="93"/>
  <c r="N844" i="93" s="1"/>
  <c r="JN805" i="93"/>
  <c r="EO805" i="93"/>
  <c r="L836" i="93" s="1"/>
  <c r="F483" i="93"/>
  <c r="FO805" i="93"/>
  <c r="M858" i="93" s="1"/>
  <c r="ME810" i="94"/>
  <c r="LO810" i="94"/>
  <c r="BS810" i="94"/>
  <c r="M848" i="94" s="1"/>
  <c r="I1010" i="93"/>
  <c r="I1018" i="93" s="1"/>
  <c r="I66" i="74"/>
  <c r="I1081" i="94" s="1"/>
  <c r="IW805" i="93"/>
  <c r="BM805" i="93"/>
  <c r="L826" i="93" s="1"/>
  <c r="IF805" i="93"/>
  <c r="D1060" i="94"/>
  <c r="C1070" i="94"/>
  <c r="KF810" i="94"/>
  <c r="N880" i="94" s="1"/>
  <c r="HT810" i="94"/>
  <c r="FH810" i="94"/>
  <c r="K912" i="94" s="1"/>
  <c r="CV810" i="94"/>
  <c r="L860" i="94" s="1"/>
  <c r="AJ810" i="94"/>
  <c r="M820" i="94" s="1"/>
  <c r="MQ810" i="94"/>
  <c r="KE810" i="94"/>
  <c r="M880" i="94" s="1"/>
  <c r="HS810" i="94"/>
  <c r="N870" i="94" s="1"/>
  <c r="FG810" i="94"/>
  <c r="J912" i="94" s="1"/>
  <c r="CU810" i="94"/>
  <c r="K860" i="94" s="1"/>
  <c r="AI810" i="94"/>
  <c r="L820" i="94" s="1"/>
  <c r="LR810" i="94"/>
  <c r="IX810" i="94"/>
  <c r="J890" i="94" s="1"/>
  <c r="GL810" i="94"/>
  <c r="K864" i="94" s="1"/>
  <c r="DZ810" i="94"/>
  <c r="L854" i="94" s="1"/>
  <c r="BN810" i="94"/>
  <c r="M849" i="94" s="1"/>
  <c r="MO810" i="94"/>
  <c r="KC810" i="94"/>
  <c r="K880" i="94" s="1"/>
  <c r="HQ810" i="94"/>
  <c r="L870" i="94" s="1"/>
  <c r="FE810" i="94"/>
  <c r="M911" i="94" s="1"/>
  <c r="CS810" i="94"/>
  <c r="N843" i="94" s="1"/>
  <c r="AG810" i="94"/>
  <c r="J820" i="94" s="1"/>
  <c r="LH810" i="94"/>
  <c r="IV810" i="94"/>
  <c r="M893" i="94" s="1"/>
  <c r="GJ810" i="94"/>
  <c r="N863" i="94" s="1"/>
  <c r="DX810" i="94"/>
  <c r="J854" i="94" s="1"/>
  <c r="BL810" i="94"/>
  <c r="K849" i="94" s="1"/>
  <c r="LM810" i="94"/>
  <c r="JA810" i="94"/>
  <c r="M890" i="94" s="1"/>
  <c r="GO810" i="94"/>
  <c r="N864" i="94" s="1"/>
  <c r="EC810" i="94"/>
  <c r="J828" i="94" s="1"/>
  <c r="BQ810" i="94"/>
  <c r="K848" i="94" s="1"/>
  <c r="FZ810" i="94"/>
  <c r="F1040" i="93"/>
  <c r="F1047" i="93" s="1"/>
  <c r="F97" i="74"/>
  <c r="F1112" i="94" s="1"/>
  <c r="K985" i="93"/>
  <c r="K1046" i="94"/>
  <c r="E34" i="86"/>
  <c r="I51" i="93"/>
  <c r="I63" i="94"/>
  <c r="K40" i="66"/>
  <c r="MM810" i="94"/>
  <c r="DG810" i="94"/>
  <c r="M858" i="94" s="1"/>
  <c r="I1012" i="93"/>
  <c r="I1020" i="93" s="1"/>
  <c r="I68" i="74"/>
  <c r="I1083" i="94" s="1"/>
  <c r="KP810" i="94"/>
  <c r="N882" i="94" s="1"/>
  <c r="N901" i="94" s="1"/>
  <c r="AT810" i="94"/>
  <c r="M822" i="94" s="1"/>
  <c r="H1012" i="93"/>
  <c r="H1020" i="93" s="1"/>
  <c r="H68" i="74"/>
  <c r="H1083" i="94" s="1"/>
  <c r="C1036" i="94"/>
  <c r="J982" i="93"/>
  <c r="J990" i="93" s="1"/>
  <c r="J1043" i="94"/>
  <c r="J36" i="74"/>
  <c r="J1051" i="94" s="1"/>
  <c r="C1042" i="93"/>
  <c r="C1049" i="93" s="1"/>
  <c r="C99" i="74"/>
  <c r="C1114" i="94" s="1"/>
  <c r="KI810" i="94"/>
  <c r="L881" i="94" s="1"/>
  <c r="AM810" i="94"/>
  <c r="K821" i="94" s="1"/>
  <c r="G41" i="73"/>
  <c r="B1009" i="93"/>
  <c r="E18" i="87"/>
  <c r="B65" i="82"/>
  <c r="F981" i="93"/>
  <c r="F989" i="93" s="1"/>
  <c r="F1042" i="94"/>
  <c r="F35" i="74"/>
  <c r="F1050" i="94" s="1"/>
  <c r="HN810" i="94"/>
  <c r="N869" i="94" s="1"/>
  <c r="GP810" i="94"/>
  <c r="O1857" i="93"/>
  <c r="O1964" i="94"/>
  <c r="B1040" i="93"/>
  <c r="B1047" i="93" s="1"/>
  <c r="B97" i="74"/>
  <c r="B1112" i="94" s="1"/>
  <c r="G1040" i="93"/>
  <c r="G1047" i="93" s="1"/>
  <c r="G97" i="74"/>
  <c r="G1112" i="94" s="1"/>
  <c r="I1040" i="93"/>
  <c r="I1047" i="93" s="1"/>
  <c r="I97" i="74"/>
  <c r="I1112" i="94" s="1"/>
  <c r="B979" i="93"/>
  <c r="B1040" i="94"/>
  <c r="C75" i="84"/>
  <c r="B45" i="82"/>
  <c r="E8" i="87"/>
  <c r="B39" i="74"/>
  <c r="C39" i="74" s="1"/>
  <c r="K979" i="93"/>
  <c r="K1040" i="94"/>
  <c r="K45" i="82"/>
  <c r="E17" i="87"/>
  <c r="F1067" i="93"/>
  <c r="EU810" i="94"/>
  <c r="M909" i="94" s="1"/>
  <c r="D1069" i="93"/>
  <c r="D1076" i="93" s="1"/>
  <c r="D128" i="74"/>
  <c r="D1143" i="94" s="1"/>
  <c r="I1009" i="93"/>
  <c r="E25" i="87"/>
  <c r="I65" i="82"/>
  <c r="H1152" i="93"/>
  <c r="I1152" i="93"/>
  <c r="O106" i="75"/>
  <c r="D10" i="88"/>
  <c r="E10" i="88" s="1"/>
  <c r="M71" i="75"/>
  <c r="M833" i="94" s="1"/>
  <c r="N65" i="75"/>
  <c r="N67" i="75" s="1"/>
  <c r="F1138" i="93"/>
  <c r="F1202" i="94"/>
  <c r="F44" i="73"/>
  <c r="G35" i="86"/>
  <c r="C35" i="86"/>
  <c r="K1136" i="93"/>
  <c r="P146" i="75"/>
  <c r="F1156" i="93"/>
  <c r="F1220" i="94"/>
  <c r="F62" i="73"/>
  <c r="CX805" i="93"/>
  <c r="IH805" i="93"/>
  <c r="MJ810" i="94"/>
  <c r="JX810" i="94"/>
  <c r="K879" i="94" s="1"/>
  <c r="HL810" i="94"/>
  <c r="L869" i="94" s="1"/>
  <c r="EZ810" i="94"/>
  <c r="M910" i="94" s="1"/>
  <c r="CN810" i="94"/>
  <c r="N844" i="94" s="1"/>
  <c r="AB810" i="94"/>
  <c r="J819" i="94" s="1"/>
  <c r="MI810" i="94"/>
  <c r="JW810" i="94"/>
  <c r="J879" i="94" s="1"/>
  <c r="HK810" i="94"/>
  <c r="K869" i="94" s="1"/>
  <c r="EY810" i="94"/>
  <c r="L910" i="94" s="1"/>
  <c r="CM810" i="94"/>
  <c r="M844" i="94" s="1"/>
  <c r="AA810" i="94"/>
  <c r="N818" i="94" s="1"/>
  <c r="LB810" i="94"/>
  <c r="K885" i="94" s="1"/>
  <c r="IP810" i="94"/>
  <c r="L892" i="94" s="1"/>
  <c r="GD810" i="94"/>
  <c r="M917" i="94" s="1"/>
  <c r="DR810" i="94"/>
  <c r="N856" i="94" s="1"/>
  <c r="BF810" i="94"/>
  <c r="J826" i="94" s="1"/>
  <c r="MG810" i="94"/>
  <c r="JU810" i="94"/>
  <c r="M878" i="94" s="1"/>
  <c r="HI810" i="94"/>
  <c r="EW810" i="94"/>
  <c r="J910" i="94" s="1"/>
  <c r="CK810" i="94"/>
  <c r="K844" i="94" s="1"/>
  <c r="Y810" i="94"/>
  <c r="L818" i="94" s="1"/>
  <c r="KZ810" i="94"/>
  <c r="N884" i="94" s="1"/>
  <c r="IN810" i="94"/>
  <c r="J892" i="94" s="1"/>
  <c r="GB810" i="94"/>
  <c r="K917" i="94" s="1"/>
  <c r="DP810" i="94"/>
  <c r="L856" i="94" s="1"/>
  <c r="BD810" i="94"/>
  <c r="M824" i="94" s="1"/>
  <c r="LE810" i="94"/>
  <c r="N885" i="94" s="1"/>
  <c r="IS810" i="94"/>
  <c r="J893" i="94" s="1"/>
  <c r="GG810" i="94"/>
  <c r="K863" i="94" s="1"/>
  <c r="DU810" i="94"/>
  <c r="L855" i="94" s="1"/>
  <c r="BI810" i="94"/>
  <c r="M826" i="94" s="1"/>
  <c r="ET810" i="94"/>
  <c r="L909" i="94" s="1"/>
  <c r="O1634" i="93"/>
  <c r="O1734" i="94"/>
  <c r="F1039" i="93"/>
  <c r="E32" i="87"/>
  <c r="B1015" i="93"/>
  <c r="F34" i="86"/>
  <c r="R31" i="74"/>
  <c r="KA810" i="94"/>
  <c r="N879" i="94" s="1"/>
  <c r="LW810" i="94"/>
  <c r="CA810" i="94"/>
  <c r="K846" i="94" s="1"/>
  <c r="E1068" i="93"/>
  <c r="E1075" i="93" s="1"/>
  <c r="E127" i="74"/>
  <c r="E1142" i="94" s="1"/>
  <c r="F1011" i="93"/>
  <c r="F1019" i="93" s="1"/>
  <c r="F67" i="74"/>
  <c r="F1082" i="94" s="1"/>
  <c r="D405" i="93"/>
  <c r="D420" i="94"/>
  <c r="GI810" i="94"/>
  <c r="M863" i="94" s="1"/>
  <c r="JJ810" i="94"/>
  <c r="L888" i="94" s="1"/>
  <c r="O1638" i="93"/>
  <c r="O1740" i="94"/>
  <c r="F1070" i="93"/>
  <c r="F1077" i="93" s="1"/>
  <c r="F129" i="74"/>
  <c r="F1144" i="94" s="1"/>
  <c r="E1011" i="93"/>
  <c r="E1019" i="93" s="1"/>
  <c r="E67" i="74"/>
  <c r="E1082" i="94" s="1"/>
  <c r="B975" i="93"/>
  <c r="F557" i="93"/>
  <c r="F558" i="93"/>
  <c r="F567" i="94"/>
  <c r="B20" i="74"/>
  <c r="F566" i="94"/>
  <c r="F121" i="78"/>
  <c r="F122" i="78"/>
  <c r="E1012" i="93"/>
  <c r="E1020" i="93" s="1"/>
  <c r="E68" i="74"/>
  <c r="E1083" i="94" s="1"/>
  <c r="K1042" i="93"/>
  <c r="K1049" i="93" s="1"/>
  <c r="K99" i="74"/>
  <c r="K1114" i="94" s="1"/>
  <c r="LG810" i="94"/>
  <c r="JC810" i="94"/>
  <c r="J891" i="94" s="1"/>
  <c r="G42" i="73"/>
  <c r="C1068" i="93"/>
  <c r="C1075" i="93" s="1"/>
  <c r="C127" i="74"/>
  <c r="C1142" i="94" s="1"/>
  <c r="I981" i="93"/>
  <c r="I989" i="93" s="1"/>
  <c r="I1042" i="94"/>
  <c r="I35" i="74"/>
  <c r="I1050" i="94" s="1"/>
  <c r="I1011" i="93"/>
  <c r="I1019" i="93" s="1"/>
  <c r="I67" i="74"/>
  <c r="I1082" i="94" s="1"/>
  <c r="GH810" i="94"/>
  <c r="L863" i="94" s="1"/>
  <c r="FJ810" i="94"/>
  <c r="M912" i="94" s="1"/>
  <c r="C1012" i="93"/>
  <c r="C1020" i="93" s="1"/>
  <c r="C68" i="74"/>
  <c r="C1083" i="94" s="1"/>
  <c r="F1068" i="93"/>
  <c r="F1075" i="93" s="1"/>
  <c r="F127" i="74"/>
  <c r="F1142" i="94" s="1"/>
  <c r="J979" i="93"/>
  <c r="J1040" i="94"/>
  <c r="J45" i="82"/>
  <c r="E16" i="87"/>
  <c r="F1009" i="93"/>
  <c r="F65" i="82"/>
  <c r="E22" i="87"/>
  <c r="DO810" i="94"/>
  <c r="K856" i="94" s="1"/>
  <c r="J1041" i="93"/>
  <c r="J1048" i="93" s="1"/>
  <c r="J98" i="74"/>
  <c r="J1113" i="94" s="1"/>
  <c r="F985" i="93"/>
  <c r="F1046" i="94"/>
  <c r="G14" i="86"/>
  <c r="BJ810" i="94"/>
  <c r="N826" i="94" s="1"/>
  <c r="K1135" i="93"/>
  <c r="K1199" i="94"/>
  <c r="K41" i="73"/>
  <c r="P74" i="93"/>
  <c r="P92" i="94"/>
  <c r="P69" i="66"/>
  <c r="P145" i="75"/>
  <c r="H64" i="66"/>
  <c r="N1158" i="93"/>
  <c r="I57" i="73"/>
  <c r="H57" i="73"/>
  <c r="F1208" i="94"/>
  <c r="K77" i="75"/>
  <c r="K839" i="94" s="1"/>
  <c r="K73" i="75"/>
  <c r="K835" i="94" s="1"/>
  <c r="DQ805" i="93"/>
  <c r="ID805" i="93"/>
  <c r="E472" i="93"/>
  <c r="MB810" i="94"/>
  <c r="JP810" i="94"/>
  <c r="M889" i="94" s="1"/>
  <c r="HD810" i="94"/>
  <c r="N867" i="94" s="1"/>
  <c r="ER810" i="94"/>
  <c r="J909" i="94" s="1"/>
  <c r="CF810" i="94"/>
  <c r="K845" i="94" s="1"/>
  <c r="MA810" i="94"/>
  <c r="JO810" i="94"/>
  <c r="L889" i="94" s="1"/>
  <c r="HC810" i="94"/>
  <c r="M867" i="94" s="1"/>
  <c r="EQ810" i="94"/>
  <c r="N908" i="94" s="1"/>
  <c r="CE810" i="94"/>
  <c r="J845" i="94" s="1"/>
  <c r="KT810" i="94"/>
  <c r="M883" i="94" s="1"/>
  <c r="M902" i="94" s="1"/>
  <c r="IH810" i="94"/>
  <c r="N886" i="94" s="1"/>
  <c r="FV810" i="94"/>
  <c r="DJ810" i="94"/>
  <c r="K857" i="94" s="1"/>
  <c r="AX810" i="94"/>
  <c r="L823" i="94" s="1"/>
  <c r="LY810" i="94"/>
  <c r="JM810" i="94"/>
  <c r="J889" i="94" s="1"/>
  <c r="HA810" i="94"/>
  <c r="K867" i="94" s="1"/>
  <c r="EO810" i="94"/>
  <c r="L908" i="94" s="1"/>
  <c r="CC810" i="94"/>
  <c r="M846" i="94" s="1"/>
  <c r="KR810" i="94"/>
  <c r="K883" i="94" s="1"/>
  <c r="K902" i="94" s="1"/>
  <c r="IF810" i="94"/>
  <c r="L886" i="94" s="1"/>
  <c r="FT810" i="94"/>
  <c r="M915" i="94" s="1"/>
  <c r="DH810" i="94"/>
  <c r="N858" i="94" s="1"/>
  <c r="AV810" i="94"/>
  <c r="J823" i="94" s="1"/>
  <c r="Q1871" i="93"/>
  <c r="L1871" i="93"/>
  <c r="KW810" i="94"/>
  <c r="K884" i="94" s="1"/>
  <c r="IK810" i="94"/>
  <c r="L887" i="94" s="1"/>
  <c r="FY810" i="94"/>
  <c r="DM810" i="94"/>
  <c r="N857" i="94" s="1"/>
  <c r="BA810" i="94"/>
  <c r="J824" i="94" s="1"/>
  <c r="DN810" i="94"/>
  <c r="J856" i="94" s="1"/>
  <c r="E985" i="93"/>
  <c r="E1046" i="94"/>
  <c r="F14" i="86"/>
  <c r="FC810" i="94"/>
  <c r="K911" i="94" s="1"/>
  <c r="D21" i="74"/>
  <c r="D23" i="74"/>
  <c r="D1038" i="94" s="1"/>
  <c r="E13" i="74"/>
  <c r="FB810" i="94"/>
  <c r="J911" i="94" s="1"/>
  <c r="KQ810" i="94"/>
  <c r="J883" i="94" s="1"/>
  <c r="AU810" i="94"/>
  <c r="N822" i="94" s="1"/>
  <c r="H1042" i="93"/>
  <c r="H1049" i="93" s="1"/>
  <c r="H99" i="74"/>
  <c r="H1114" i="94" s="1"/>
  <c r="G1010" i="93"/>
  <c r="G1018" i="93" s="1"/>
  <c r="G66" i="74"/>
  <c r="G1081" i="94" s="1"/>
  <c r="ID810" i="94"/>
  <c r="J886" i="94" s="1"/>
  <c r="P1621" i="93"/>
  <c r="Q58" i="73"/>
  <c r="D1068" i="93"/>
  <c r="D1075" i="93" s="1"/>
  <c r="D127" i="74"/>
  <c r="D1142" i="94" s="1"/>
  <c r="F1010" i="93"/>
  <c r="F1018" i="93" s="1"/>
  <c r="F66" i="74"/>
  <c r="F1081" i="94" s="1"/>
  <c r="E55" i="84"/>
  <c r="K55" i="84"/>
  <c r="I55" i="84"/>
  <c r="G55" i="84"/>
  <c r="B1042" i="93"/>
  <c r="B1049" i="93" s="1"/>
  <c r="B99" i="74"/>
  <c r="B1114" i="94" s="1"/>
  <c r="R87" i="74"/>
  <c r="S87" i="74" s="1"/>
  <c r="D1070" i="93"/>
  <c r="D1077" i="93" s="1"/>
  <c r="D129" i="74"/>
  <c r="D1144" i="94" s="1"/>
  <c r="IU810" i="94"/>
  <c r="L893" i="94" s="1"/>
  <c r="K1009" i="93"/>
  <c r="E27" i="87"/>
  <c r="K65" i="82"/>
  <c r="HW810" i="94"/>
  <c r="A810" i="94"/>
  <c r="A767" i="94" s="1"/>
  <c r="G48" i="73"/>
  <c r="F1042" i="93"/>
  <c r="F1049" i="93" s="1"/>
  <c r="F99" i="74"/>
  <c r="F1114" i="94" s="1"/>
  <c r="F980" i="93"/>
  <c r="F988" i="93" s="1"/>
  <c r="F1041" i="94"/>
  <c r="F34" i="74"/>
  <c r="F1049" i="94" s="1"/>
  <c r="D981" i="93"/>
  <c r="D989" i="93" s="1"/>
  <c r="D1042" i="94"/>
  <c r="D35" i="74"/>
  <c r="D1050" i="94" s="1"/>
  <c r="F1041" i="93"/>
  <c r="F1048" i="93" s="1"/>
  <c r="F98" i="74"/>
  <c r="F1113" i="94" s="1"/>
  <c r="DW810" i="94"/>
  <c r="N855" i="94" s="1"/>
  <c r="DV810" i="94"/>
  <c r="M855" i="94" s="1"/>
  <c r="ED810" i="94"/>
  <c r="K828" i="94" s="1"/>
  <c r="P577" i="94"/>
  <c r="P594" i="94" s="1"/>
  <c r="P596" i="94" s="1"/>
  <c r="P598" i="94" s="1"/>
  <c r="C1011" i="93"/>
  <c r="C1019" i="93" s="1"/>
  <c r="C67" i="74"/>
  <c r="C1082" i="94" s="1"/>
  <c r="H980" i="93"/>
  <c r="H988" i="93" s="1"/>
  <c r="H1041" i="94"/>
  <c r="H34" i="74"/>
  <c r="H1049" i="94" s="1"/>
  <c r="E1009" i="93"/>
  <c r="E65" i="82"/>
  <c r="E21" i="87"/>
  <c r="C1039" i="93"/>
  <c r="E29" i="87"/>
  <c r="CI810" i="94"/>
  <c r="N845" i="94" s="1"/>
  <c r="G1039" i="93"/>
  <c r="C984" i="93"/>
  <c r="C1045" i="94"/>
  <c r="D30" i="74"/>
  <c r="C53" i="82"/>
  <c r="C1067" i="93"/>
  <c r="I1217" i="94"/>
  <c r="H1217" i="94"/>
  <c r="K1156" i="93"/>
  <c r="K1220" i="94"/>
  <c r="K62" i="73"/>
  <c r="G62" i="84"/>
  <c r="I63" i="73"/>
  <c r="H63" i="73"/>
  <c r="D9" i="88"/>
  <c r="E9" i="88" s="1"/>
  <c r="L76" i="75"/>
  <c r="L838" i="94" s="1"/>
  <c r="L74" i="75"/>
  <c r="L836" i="94" s="1"/>
  <c r="L72" i="75"/>
  <c r="L834" i="94" s="1"/>
  <c r="L65" i="75"/>
  <c r="L67" i="75" s="1"/>
  <c r="I1215" i="94"/>
  <c r="H1215" i="94"/>
  <c r="IQ805" i="93"/>
  <c r="J568" i="93"/>
  <c r="J585" i="93" s="1"/>
  <c r="J587" i="93" s="1"/>
  <c r="J589" i="93" s="1"/>
  <c r="CV805" i="93"/>
  <c r="AA805" i="93"/>
  <c r="N813" i="93" s="1"/>
  <c r="LT810" i="94"/>
  <c r="JH810" i="94"/>
  <c r="J888" i="94" s="1"/>
  <c r="GV810" i="94"/>
  <c r="K866" i="94" s="1"/>
  <c r="EJ810" i="94"/>
  <c r="L907" i="94" s="1"/>
  <c r="BX810" i="94"/>
  <c r="M847" i="94" s="1"/>
  <c r="LS810" i="94"/>
  <c r="JG810" i="94"/>
  <c r="N891" i="94" s="1"/>
  <c r="GU810" i="94"/>
  <c r="J866" i="94" s="1"/>
  <c r="EI810" i="94"/>
  <c r="K907" i="94" s="1"/>
  <c r="BW810" i="94"/>
  <c r="L847" i="94" s="1"/>
  <c r="KL810" i="94"/>
  <c r="J882" i="94" s="1"/>
  <c r="HZ810" i="94"/>
  <c r="FN810" i="94"/>
  <c r="L913" i="94" s="1"/>
  <c r="DB810" i="94"/>
  <c r="M859" i="94" s="1"/>
  <c r="AP810" i="94"/>
  <c r="N821" i="94" s="1"/>
  <c r="LQ810" i="94"/>
  <c r="JE810" i="94"/>
  <c r="L891" i="94" s="1"/>
  <c r="GS810" i="94"/>
  <c r="EG810" i="94"/>
  <c r="N828" i="94" s="1"/>
  <c r="BU810" i="94"/>
  <c r="J847" i="94" s="1"/>
  <c r="KJ810" i="94"/>
  <c r="M881" i="94" s="1"/>
  <c r="HX810" i="94"/>
  <c r="FL810" i="94"/>
  <c r="J913" i="94" s="1"/>
  <c r="CZ810" i="94"/>
  <c r="K859" i="94" s="1"/>
  <c r="AN810" i="94"/>
  <c r="L821" i="94" s="1"/>
  <c r="KO810" i="94"/>
  <c r="M882" i="94" s="1"/>
  <c r="M901" i="94" s="1"/>
  <c r="IC810" i="94"/>
  <c r="FQ810" i="94"/>
  <c r="J915" i="94" s="1"/>
  <c r="DE810" i="94"/>
  <c r="K858" i="94" s="1"/>
  <c r="AS810" i="94"/>
  <c r="L822" i="94" s="1"/>
  <c r="CH810" i="94"/>
  <c r="M845" i="94" s="1"/>
  <c r="D1015" i="93"/>
  <c r="H34" i="86"/>
  <c r="AE810" i="94"/>
  <c r="M819" i="94" s="1"/>
  <c r="R777" i="93"/>
  <c r="R782" i="94"/>
  <c r="JK810" i="94"/>
  <c r="M888" i="94" s="1"/>
  <c r="H1041" i="93"/>
  <c r="H1048" i="93" s="1"/>
  <c r="H98" i="74"/>
  <c r="H1113" i="94" s="1"/>
  <c r="D1009" i="93"/>
  <c r="E20" i="87"/>
  <c r="D65" i="82"/>
  <c r="J1009" i="93"/>
  <c r="E26" i="87"/>
  <c r="J65" i="82"/>
  <c r="GX810" i="94"/>
  <c r="M866" i="94" s="1"/>
  <c r="G65" i="73"/>
  <c r="G1042" i="93"/>
  <c r="G1049" i="93" s="1"/>
  <c r="G99" i="74"/>
  <c r="G1114" i="94" s="1"/>
  <c r="C1009" i="93"/>
  <c r="E19" i="87"/>
  <c r="C65" i="82"/>
  <c r="I982" i="93"/>
  <c r="I990" i="93" s="1"/>
  <c r="I1043" i="94"/>
  <c r="I36" i="74"/>
  <c r="I1051" i="94" s="1"/>
  <c r="J1042" i="93"/>
  <c r="J1049" i="93" s="1"/>
  <c r="J99" i="74"/>
  <c r="J1114" i="94" s="1"/>
  <c r="CQ810" i="94"/>
  <c r="L843" i="94" s="1"/>
  <c r="AD810" i="94"/>
  <c r="L819" i="94" s="1"/>
  <c r="GQ810" i="94"/>
  <c r="G49" i="73"/>
  <c r="C1041" i="93"/>
  <c r="C1048" i="93" s="1"/>
  <c r="C98" i="74"/>
  <c r="C1113" i="94" s="1"/>
  <c r="F979" i="93"/>
  <c r="F1040" i="94"/>
  <c r="E12" i="87"/>
  <c r="F45" i="82"/>
  <c r="G1011" i="93"/>
  <c r="G1019" i="93" s="1"/>
  <c r="G67" i="74"/>
  <c r="G1082" i="94" s="1"/>
  <c r="B1069" i="93"/>
  <c r="B1076" i="93" s="1"/>
  <c r="B128" i="74"/>
  <c r="B1143" i="94" s="1"/>
  <c r="CX810" i="94"/>
  <c r="N860" i="94" s="1"/>
  <c r="H18" i="84"/>
  <c r="F47" i="78"/>
  <c r="C1010" i="93"/>
  <c r="C1018" i="93" s="1"/>
  <c r="C66" i="74"/>
  <c r="C1081" i="94" s="1"/>
  <c r="HO810" i="94"/>
  <c r="J870" i="94" s="1"/>
  <c r="R55" i="74"/>
  <c r="S55" i="74" s="1"/>
  <c r="B1039" i="93"/>
  <c r="E28" i="87"/>
  <c r="K1039" i="93"/>
  <c r="KY810" i="94"/>
  <c r="M884" i="94" s="1"/>
  <c r="BC810" i="94"/>
  <c r="L824" i="94" s="1"/>
  <c r="E982" i="93"/>
  <c r="E990" i="93" s="1"/>
  <c r="E1043" i="94"/>
  <c r="E36" i="74"/>
  <c r="E1051" i="94" s="1"/>
  <c r="I1153" i="93"/>
  <c r="H1153" i="93"/>
  <c r="F1142" i="93"/>
  <c r="F1206" i="94"/>
  <c r="F48" i="73"/>
  <c r="H78" i="93"/>
  <c r="H94" i="94"/>
  <c r="F56" i="89"/>
  <c r="D37" i="90" s="1"/>
  <c r="H71" i="66"/>
  <c r="P155" i="75"/>
  <c r="I56" i="73"/>
  <c r="H56" i="73"/>
  <c r="H1151" i="93"/>
  <c r="I1151" i="93"/>
  <c r="M1150" i="93"/>
  <c r="N1150" i="93"/>
  <c r="M1217" i="94"/>
  <c r="N1217" i="94"/>
  <c r="LL810" i="94"/>
  <c r="IZ810" i="94"/>
  <c r="L890" i="94" s="1"/>
  <c r="GN810" i="94"/>
  <c r="M864" i="94" s="1"/>
  <c r="EB810" i="94"/>
  <c r="N854" i="94" s="1"/>
  <c r="BP810" i="94"/>
  <c r="J848" i="94" s="1"/>
  <c r="LK810" i="94"/>
  <c r="IY810" i="94"/>
  <c r="K890" i="94" s="1"/>
  <c r="GM810" i="94"/>
  <c r="L864" i="94" s="1"/>
  <c r="EA810" i="94"/>
  <c r="M854" i="94" s="1"/>
  <c r="BO810" i="94"/>
  <c r="N849" i="94" s="1"/>
  <c r="KD810" i="94"/>
  <c r="L880" i="94" s="1"/>
  <c r="L903" i="94" s="1"/>
  <c r="HR810" i="94"/>
  <c r="M870" i="94" s="1"/>
  <c r="FF810" i="94"/>
  <c r="N911" i="94" s="1"/>
  <c r="CT810" i="94"/>
  <c r="J860" i="94" s="1"/>
  <c r="AH810" i="94"/>
  <c r="K820" i="94" s="1"/>
  <c r="LI810" i="94"/>
  <c r="IW810" i="94"/>
  <c r="N893" i="94" s="1"/>
  <c r="GK810" i="94"/>
  <c r="J864" i="94" s="1"/>
  <c r="DY810" i="94"/>
  <c r="K854" i="94" s="1"/>
  <c r="BM810" i="94"/>
  <c r="L849" i="94" s="1"/>
  <c r="MN810" i="94"/>
  <c r="KB810" i="94"/>
  <c r="J880" i="94" s="1"/>
  <c r="HP810" i="94"/>
  <c r="K870" i="94" s="1"/>
  <c r="FD810" i="94"/>
  <c r="L911" i="94" s="1"/>
  <c r="CR810" i="94"/>
  <c r="M843" i="94" s="1"/>
  <c r="AF810" i="94"/>
  <c r="N819" i="94" s="1"/>
  <c r="MS810" i="94"/>
  <c r="KG810" i="94"/>
  <c r="J881" i="94" s="1"/>
  <c r="HU810" i="94"/>
  <c r="FI810" i="94"/>
  <c r="L912" i="94" s="1"/>
  <c r="CW810" i="94"/>
  <c r="M860" i="94" s="1"/>
  <c r="AK810" i="94"/>
  <c r="N820" i="94" s="1"/>
  <c r="BB810" i="94"/>
  <c r="K824" i="94" s="1"/>
  <c r="J1012" i="93"/>
  <c r="J1020" i="93" s="1"/>
  <c r="J68" i="74"/>
  <c r="J1083" i="94" s="1"/>
  <c r="IE810" i="94"/>
  <c r="K886" i="94" s="1"/>
  <c r="E1040" i="93"/>
  <c r="E1047" i="93" s="1"/>
  <c r="E97" i="74"/>
  <c r="E1112" i="94" s="1"/>
  <c r="D985" i="93"/>
  <c r="D1046" i="94"/>
  <c r="E14" i="86"/>
  <c r="R774" i="93"/>
  <c r="R779" i="94"/>
  <c r="FR810" i="94"/>
  <c r="K915" i="94" s="1"/>
  <c r="G62" i="73"/>
  <c r="G1041" i="93"/>
  <c r="G1048" i="93" s="1"/>
  <c r="G98" i="74"/>
  <c r="G1113" i="94" s="1"/>
  <c r="D1012" i="93"/>
  <c r="D1020" i="93" s="1"/>
  <c r="D68" i="74"/>
  <c r="D1083" i="94" s="1"/>
  <c r="C1070" i="93"/>
  <c r="C1077" i="93" s="1"/>
  <c r="C129" i="74"/>
  <c r="C1144" i="94" s="1"/>
  <c r="FK810" i="94"/>
  <c r="N912" i="94" s="1"/>
  <c r="G50" i="73"/>
  <c r="C1040" i="93"/>
  <c r="C1047" i="93" s="1"/>
  <c r="C97" i="74"/>
  <c r="C1112" i="94" s="1"/>
  <c r="D1041" i="93"/>
  <c r="D1048" i="93" s="1"/>
  <c r="D98" i="74"/>
  <c r="D1113" i="94" s="1"/>
  <c r="LN810" i="94"/>
  <c r="BR810" i="94"/>
  <c r="L848" i="94" s="1"/>
  <c r="H982" i="93"/>
  <c r="H990" i="93" s="1"/>
  <c r="H1043" i="94"/>
  <c r="H36" i="74"/>
  <c r="H1051" i="94" s="1"/>
  <c r="I775" i="93"/>
  <c r="K775" i="93" s="1"/>
  <c r="L775" i="93" s="1"/>
  <c r="I780" i="94"/>
  <c r="K780" i="94" s="1"/>
  <c r="L780" i="94" s="1"/>
  <c r="K18" i="75"/>
  <c r="L18" i="75" s="1"/>
  <c r="K1010" i="93"/>
  <c r="K1018" i="93" s="1"/>
  <c r="K66" i="74"/>
  <c r="K1081" i="94" s="1"/>
  <c r="BK810" i="94"/>
  <c r="J849" i="94" s="1"/>
  <c r="J1039" i="93"/>
  <c r="E1067" i="93"/>
  <c r="JS810" i="94"/>
  <c r="K878" i="94" s="1"/>
  <c r="W810" i="94"/>
  <c r="J818" i="94" s="1"/>
  <c r="E1015" i="93"/>
  <c r="I34" i="86"/>
  <c r="B981" i="93"/>
  <c r="B989" i="93" s="1"/>
  <c r="B1042" i="94"/>
  <c r="B35" i="74"/>
  <c r="B1050" i="94" s="1"/>
  <c r="K1138" i="93"/>
  <c r="K1202" i="94"/>
  <c r="K44" i="73"/>
  <c r="K1146" i="93"/>
  <c r="K1210" i="94"/>
  <c r="K52" i="73"/>
  <c r="K1208" i="94"/>
  <c r="I62" i="66"/>
  <c r="K1149" i="93"/>
  <c r="K1213" i="94"/>
  <c r="K55" i="73"/>
  <c r="O140" i="75"/>
  <c r="N1216" i="94"/>
  <c r="F1146" i="93"/>
  <c r="J154" i="75"/>
  <c r="N57" i="73"/>
  <c r="M57" i="73"/>
  <c r="H1157" i="93"/>
  <c r="I1214" i="94"/>
  <c r="H1214" i="94"/>
  <c r="F1160" i="93"/>
  <c r="F1224" i="94"/>
  <c r="F66" i="73"/>
  <c r="N1153" i="93"/>
  <c r="M1153" i="93"/>
  <c r="EB805" i="93"/>
  <c r="N833" i="93" s="1"/>
  <c r="DL805" i="93"/>
  <c r="M830" i="93" s="1"/>
  <c r="BI805" i="93"/>
  <c r="CM805" i="93"/>
  <c r="S568" i="93"/>
  <c r="LD810" i="94"/>
  <c r="M885" i="94" s="1"/>
  <c r="IR810" i="94"/>
  <c r="N892" i="94" s="1"/>
  <c r="GF810" i="94"/>
  <c r="J863" i="94" s="1"/>
  <c r="DT810" i="94"/>
  <c r="K855" i="94" s="1"/>
  <c r="BH810" i="94"/>
  <c r="L826" i="94" s="1"/>
  <c r="LC810" i="94"/>
  <c r="L885" i="94" s="1"/>
  <c r="IQ810" i="94"/>
  <c r="M892" i="94" s="1"/>
  <c r="GE810" i="94"/>
  <c r="N917" i="94" s="1"/>
  <c r="DS810" i="94"/>
  <c r="J855" i="94" s="1"/>
  <c r="BG810" i="94"/>
  <c r="K826" i="94" s="1"/>
  <c r="MP810" i="94"/>
  <c r="JV810" i="94"/>
  <c r="N878" i="94" s="1"/>
  <c r="HJ810" i="94"/>
  <c r="J869" i="94" s="1"/>
  <c r="EX810" i="94"/>
  <c r="K910" i="94" s="1"/>
  <c r="CL810" i="94"/>
  <c r="L844" i="94" s="1"/>
  <c r="Z810" i="94"/>
  <c r="M818" i="94" s="1"/>
  <c r="LA810" i="94"/>
  <c r="J885" i="94" s="1"/>
  <c r="IO810" i="94"/>
  <c r="K892" i="94" s="1"/>
  <c r="GC810" i="94"/>
  <c r="L917" i="94" s="1"/>
  <c r="DQ810" i="94"/>
  <c r="M856" i="94" s="1"/>
  <c r="BE810" i="94"/>
  <c r="N824" i="94" s="1"/>
  <c r="MF810" i="94"/>
  <c r="JT810" i="94"/>
  <c r="L878" i="94" s="1"/>
  <c r="HH810" i="94"/>
  <c r="EV810" i="94"/>
  <c r="N909" i="94" s="1"/>
  <c r="CJ810" i="94"/>
  <c r="J844" i="94" s="1"/>
  <c r="X810" i="94"/>
  <c r="K818" i="94" s="1"/>
  <c r="MK810" i="94"/>
  <c r="JY810" i="94"/>
  <c r="L879" i="94" s="1"/>
  <c r="HM810" i="94"/>
  <c r="M869" i="94" s="1"/>
  <c r="FA810" i="94"/>
  <c r="N910" i="94" s="1"/>
  <c r="CO810" i="94"/>
  <c r="J843" i="94" s="1"/>
  <c r="AC810" i="94"/>
  <c r="K819" i="94" s="1"/>
  <c r="JR810" i="94"/>
  <c r="J878" i="94" s="1"/>
  <c r="K68" i="84"/>
  <c r="I68" i="84"/>
  <c r="G68" i="84"/>
  <c r="E68" i="84"/>
  <c r="J1011" i="93"/>
  <c r="J1019" i="93" s="1"/>
  <c r="J67" i="74"/>
  <c r="J1082" i="94" s="1"/>
  <c r="D982" i="93"/>
  <c r="D990" i="93" s="1"/>
  <c r="D1043" i="94"/>
  <c r="D36" i="74"/>
  <c r="D1051" i="94" s="1"/>
  <c r="I985" i="93"/>
  <c r="I1046" i="94"/>
  <c r="C34" i="86"/>
  <c r="GY810" i="94"/>
  <c r="N866" i="94" s="1"/>
  <c r="E1039" i="93"/>
  <c r="E31" i="87"/>
  <c r="K981" i="93"/>
  <c r="K989" i="93" s="1"/>
  <c r="K1042" i="94"/>
  <c r="K35" i="74"/>
  <c r="K1050" i="94" s="1"/>
  <c r="P1136" i="93"/>
  <c r="L58" i="73"/>
  <c r="L57" i="73"/>
  <c r="L56" i="73"/>
  <c r="L66" i="73"/>
  <c r="L65" i="73"/>
  <c r="L64" i="73"/>
  <c r="L63" i="73"/>
  <c r="L62" i="73"/>
  <c r="L55" i="73"/>
  <c r="L45" i="73"/>
  <c r="L42" i="73"/>
  <c r="G66" i="73"/>
  <c r="L52" i="73"/>
  <c r="L44" i="73"/>
  <c r="G56" i="73"/>
  <c r="L48" i="73"/>
  <c r="G44" i="73"/>
  <c r="G43" i="73"/>
  <c r="L51" i="73"/>
  <c r="L43" i="73"/>
  <c r="G57" i="73"/>
  <c r="L49" i="73"/>
  <c r="G45" i="73"/>
  <c r="L59" i="73"/>
  <c r="L50" i="73"/>
  <c r="G63" i="73"/>
  <c r="L41" i="73"/>
  <c r="EL810" i="94"/>
  <c r="N907" i="94" s="1"/>
  <c r="Q1982" i="94"/>
  <c r="L1982" i="94"/>
  <c r="D1040" i="93"/>
  <c r="D1047" i="93" s="1"/>
  <c r="D97" i="74"/>
  <c r="D1112" i="94" s="1"/>
  <c r="J981" i="93"/>
  <c r="J989" i="93" s="1"/>
  <c r="J1042" i="94"/>
  <c r="J35" i="74"/>
  <c r="J1050" i="94" s="1"/>
  <c r="I1042" i="93"/>
  <c r="I1049" i="93" s="1"/>
  <c r="I99" i="74"/>
  <c r="I1114" i="94" s="1"/>
  <c r="C982" i="93"/>
  <c r="C990" i="93" s="1"/>
  <c r="C1043" i="94"/>
  <c r="C36" i="74"/>
  <c r="C1051" i="94" s="1"/>
  <c r="EE810" i="94"/>
  <c r="L828" i="94" s="1"/>
  <c r="G51" i="73"/>
  <c r="G1012" i="93"/>
  <c r="G1020" i="93" s="1"/>
  <c r="G68" i="74"/>
  <c r="G1083" i="94" s="1"/>
  <c r="R776" i="93"/>
  <c r="R781" i="94"/>
  <c r="E981" i="93"/>
  <c r="E989" i="93" s="1"/>
  <c r="E1042" i="94"/>
  <c r="E35" i="74"/>
  <c r="E1050" i="94" s="1"/>
  <c r="KH810" i="94"/>
  <c r="K881" i="94" s="1"/>
  <c r="K904" i="94" s="1"/>
  <c r="AL810" i="94"/>
  <c r="J821" i="94" s="1"/>
  <c r="H981" i="93"/>
  <c r="H989" i="93" s="1"/>
  <c r="H1042" i="94"/>
  <c r="H35" i="74"/>
  <c r="H1050" i="94" s="1"/>
  <c r="G980" i="93"/>
  <c r="G988" i="93" s="1"/>
  <c r="G1041" i="94"/>
  <c r="G34" i="74"/>
  <c r="G1049" i="94" s="1"/>
  <c r="H1040" i="93"/>
  <c r="H1047" i="93" s="1"/>
  <c r="H97" i="74"/>
  <c r="H1112" i="94" s="1"/>
  <c r="D1067" i="93"/>
  <c r="D979" i="93"/>
  <c r="D1040" i="94"/>
  <c r="E10" i="87"/>
  <c r="D45" i="82"/>
  <c r="IM810" i="94"/>
  <c r="N887" i="94" s="1"/>
  <c r="K1012" i="93"/>
  <c r="K1020" i="93" s="1"/>
  <c r="K68" i="74"/>
  <c r="K1083" i="94" s="1"/>
  <c r="B980" i="93"/>
  <c r="B988" i="93" s="1"/>
  <c r="B1041" i="94"/>
  <c r="B34" i="74"/>
  <c r="B1049" i="94" s="1"/>
  <c r="I776" i="93"/>
  <c r="K776" i="93" s="1"/>
  <c r="L776" i="93" s="1"/>
  <c r="I781" i="94"/>
  <c r="K781" i="94" s="1"/>
  <c r="L781" i="94" s="1"/>
  <c r="K19" i="75"/>
  <c r="L19" i="75" s="1"/>
  <c r="N1221" i="94"/>
  <c r="M1221" i="94"/>
  <c r="M1152" i="93"/>
  <c r="N1152" i="93"/>
  <c r="N1215" i="94"/>
  <c r="K1143" i="93"/>
  <c r="K49" i="73"/>
  <c r="IZ805" i="93"/>
  <c r="DE805" i="93"/>
  <c r="K829" i="93" s="1"/>
  <c r="DY805" i="93"/>
  <c r="K833" i="93" s="1"/>
  <c r="AQ805" i="93"/>
  <c r="IJ805" i="93"/>
  <c r="KV810" i="94"/>
  <c r="J884" i="94" s="1"/>
  <c r="IJ810" i="94"/>
  <c r="K887" i="94" s="1"/>
  <c r="FX810" i="94"/>
  <c r="DL810" i="94"/>
  <c r="M857" i="94" s="1"/>
  <c r="AZ810" i="94"/>
  <c r="N823" i="94" s="1"/>
  <c r="KU810" i="94"/>
  <c r="N883" i="94" s="1"/>
  <c r="N902" i="94" s="1"/>
  <c r="II810" i="94"/>
  <c r="J887" i="94" s="1"/>
  <c r="FW810" i="94"/>
  <c r="DK810" i="94"/>
  <c r="L857" i="94" s="1"/>
  <c r="AY810" i="94"/>
  <c r="M823" i="94" s="1"/>
  <c r="MH810" i="94"/>
  <c r="JN810" i="94"/>
  <c r="K889" i="94" s="1"/>
  <c r="HB810" i="94"/>
  <c r="L867" i="94" s="1"/>
  <c r="EP810" i="94"/>
  <c r="M908" i="94" s="1"/>
  <c r="CD810" i="94"/>
  <c r="N846" i="94" s="1"/>
  <c r="KS810" i="94"/>
  <c r="L883" i="94" s="1"/>
  <c r="L902" i="94" s="1"/>
  <c r="IG810" i="94"/>
  <c r="M886" i="94" s="1"/>
  <c r="FU810" i="94"/>
  <c r="N915" i="94" s="1"/>
  <c r="DI810" i="94"/>
  <c r="J857" i="94" s="1"/>
  <c r="AW810" i="94"/>
  <c r="K823" i="94" s="1"/>
  <c r="LX810" i="94"/>
  <c r="JL810" i="94"/>
  <c r="N888" i="94" s="1"/>
  <c r="GZ810" i="94"/>
  <c r="J867" i="94" s="1"/>
  <c r="EN810" i="94"/>
  <c r="K908" i="94" s="1"/>
  <c r="CB810" i="94"/>
  <c r="L846" i="94" s="1"/>
  <c r="MC810" i="94"/>
  <c r="JQ810" i="94"/>
  <c r="N889" i="94" s="1"/>
  <c r="HE810" i="94"/>
  <c r="ES810" i="94"/>
  <c r="K909" i="94" s="1"/>
  <c r="CG810" i="94"/>
  <c r="L845" i="94" s="1"/>
  <c r="IL810" i="94"/>
  <c r="M887" i="94" s="1"/>
  <c r="C1069" i="93"/>
  <c r="C1076" i="93" s="1"/>
  <c r="C128" i="74"/>
  <c r="C1143" i="94" s="1"/>
  <c r="H1010" i="93"/>
  <c r="H1018" i="93" s="1"/>
  <c r="H66" i="74"/>
  <c r="H1081" i="94" s="1"/>
  <c r="I979" i="93"/>
  <c r="I1040" i="94"/>
  <c r="I45" i="82"/>
  <c r="E15" i="87"/>
  <c r="J985" i="93"/>
  <c r="J1046" i="94"/>
  <c r="D34" i="86"/>
  <c r="FS810" i="94"/>
  <c r="L915" i="94" s="1"/>
  <c r="K980" i="93"/>
  <c r="K988" i="93" s="1"/>
  <c r="K1041" i="94"/>
  <c r="K34" i="74"/>
  <c r="K1049" i="94" s="1"/>
  <c r="CP810" i="94"/>
  <c r="K843" i="94" s="1"/>
  <c r="DF810" i="94"/>
  <c r="L858" i="94" s="1"/>
  <c r="V577" i="94"/>
  <c r="Q1873" i="93"/>
  <c r="L1873" i="93"/>
  <c r="J980" i="93"/>
  <c r="J988" i="93" s="1"/>
  <c r="J1041" i="94"/>
  <c r="J34" i="74"/>
  <c r="J1049" i="94" s="1"/>
  <c r="B1070" i="93"/>
  <c r="B1077" i="93" s="1"/>
  <c r="B129" i="74"/>
  <c r="B1144" i="94" s="1"/>
  <c r="R117" i="74"/>
  <c r="S117" i="74" s="1"/>
  <c r="K982" i="93"/>
  <c r="K990" i="93" s="1"/>
  <c r="K1043" i="94"/>
  <c r="K36" i="74"/>
  <c r="K1051" i="94" s="1"/>
  <c r="CY810" i="94"/>
  <c r="J859" i="94" s="1"/>
  <c r="G52" i="73"/>
  <c r="D1011" i="93"/>
  <c r="D1019" i="93" s="1"/>
  <c r="D67" i="74"/>
  <c r="D1082" i="94" s="1"/>
  <c r="H1011" i="93"/>
  <c r="H1019" i="93" s="1"/>
  <c r="H67" i="74"/>
  <c r="H1082" i="94" s="1"/>
  <c r="I1039" i="93"/>
  <c r="JB810" i="94"/>
  <c r="N890" i="94" s="1"/>
  <c r="B1068" i="93"/>
  <c r="B1075" i="93" s="1"/>
  <c r="B127" i="74"/>
  <c r="B1142" i="94" s="1"/>
  <c r="E980" i="93"/>
  <c r="E988" i="93" s="1"/>
  <c r="E1041" i="94"/>
  <c r="E34" i="74"/>
  <c r="E1049" i="94" s="1"/>
  <c r="B1010" i="93"/>
  <c r="B1018" i="93" s="1"/>
  <c r="B66" i="74"/>
  <c r="B1081" i="94" s="1"/>
  <c r="I980" i="93"/>
  <c r="I988" i="93" s="1"/>
  <c r="I1041" i="94"/>
  <c r="I34" i="74"/>
  <c r="I1049" i="94" s="1"/>
  <c r="G1009" i="93"/>
  <c r="E23" i="87"/>
  <c r="G65" i="82"/>
  <c r="HG810" i="94"/>
  <c r="K1011" i="93"/>
  <c r="K1019" i="93" s="1"/>
  <c r="K67" i="74"/>
  <c r="K1082" i="94" s="1"/>
  <c r="H1039" i="93"/>
  <c r="G1776" i="93"/>
  <c r="J1937" i="93"/>
  <c r="I422" i="93"/>
  <c r="I423" i="93" s="1"/>
  <c r="G1870" i="94"/>
  <c r="P1203" i="94"/>
  <c r="J2055" i="94"/>
  <c r="J2056" i="94" s="1"/>
  <c r="G222" i="72"/>
  <c r="P45" i="73"/>
  <c r="P1139" i="93" s="1"/>
  <c r="I436" i="94"/>
  <c r="C18" i="84"/>
  <c r="I59" i="68"/>
  <c r="K9" i="88"/>
  <c r="K23" i="88" s="1"/>
  <c r="K28" i="88" s="1"/>
  <c r="F39" i="88" s="1"/>
  <c r="J407" i="72"/>
  <c r="B4" i="82"/>
  <c r="M1157" i="93"/>
  <c r="F1135" i="93"/>
  <c r="F1199" i="94"/>
  <c r="F41" i="73"/>
  <c r="I74" i="93"/>
  <c r="I58" i="73"/>
  <c r="H58" i="73"/>
  <c r="K1137" i="93"/>
  <c r="K1201" i="94"/>
  <c r="K43" i="73"/>
  <c r="H74" i="93"/>
  <c r="H68" i="66"/>
  <c r="I62" i="84"/>
  <c r="F1159" i="93"/>
  <c r="F1223" i="94"/>
  <c r="F65" i="73"/>
  <c r="M1151" i="93"/>
  <c r="N1151" i="93"/>
  <c r="F1145" i="93"/>
  <c r="F1209" i="94"/>
  <c r="F51" i="73"/>
  <c r="P149" i="75"/>
  <c r="H66" i="66"/>
  <c r="H1137" i="93"/>
  <c r="I1137" i="93"/>
  <c r="O1848" i="93"/>
  <c r="E16" i="72"/>
  <c r="O1954" i="94"/>
  <c r="O1725" i="93"/>
  <c r="O1819" i="94"/>
  <c r="U1814" i="94"/>
  <c r="I1221" i="94" l="1"/>
  <c r="H1221" i="94"/>
  <c r="P150" i="75"/>
  <c r="H90" i="94"/>
  <c r="P65" i="66"/>
  <c r="P88" i="94"/>
  <c r="P67" i="66"/>
  <c r="P90" i="94"/>
  <c r="I66" i="66"/>
  <c r="I89" i="94"/>
  <c r="K823" i="93"/>
  <c r="I65" i="66"/>
  <c r="I88" i="94"/>
  <c r="H63" i="66"/>
  <c r="H86" i="94"/>
  <c r="H62" i="66"/>
  <c r="H85" i="94"/>
  <c r="P64" i="66"/>
  <c r="P87" i="94"/>
  <c r="P151" i="75"/>
  <c r="H91" i="94"/>
  <c r="I68" i="66"/>
  <c r="I91" i="94"/>
  <c r="P68" i="66"/>
  <c r="P91" i="94"/>
  <c r="P66" i="66"/>
  <c r="P89" i="94"/>
  <c r="P63" i="66"/>
  <c r="P86" i="94"/>
  <c r="P62" i="66"/>
  <c r="P85" i="94"/>
  <c r="I64" i="66"/>
  <c r="I87" i="94"/>
  <c r="I63" i="66"/>
  <c r="I86" i="94"/>
  <c r="I67" i="66"/>
  <c r="I90" i="94"/>
  <c r="K42" i="73"/>
  <c r="N72" i="75"/>
  <c r="N834" i="94" s="1"/>
  <c r="K50" i="73"/>
  <c r="N77" i="75"/>
  <c r="N839" i="94" s="1"/>
  <c r="N71" i="75"/>
  <c r="N833" i="94" s="1"/>
  <c r="K1142" i="93"/>
  <c r="J65" i="75"/>
  <c r="J75" i="75"/>
  <c r="J837" i="94" s="1"/>
  <c r="E483" i="94"/>
  <c r="G479" i="94" s="1"/>
  <c r="K1206" i="94"/>
  <c r="J77" i="75"/>
  <c r="J839" i="94" s="1"/>
  <c r="I75" i="93"/>
  <c r="O109" i="75"/>
  <c r="L864" i="93"/>
  <c r="O136" i="75"/>
  <c r="I42" i="73"/>
  <c r="H42" i="73"/>
  <c r="L71" i="75"/>
  <c r="L833" i="94" s="1"/>
  <c r="L75" i="75"/>
  <c r="L837" i="94" s="1"/>
  <c r="M1222" i="94"/>
  <c r="M1224" i="94"/>
  <c r="M77" i="75"/>
  <c r="M839" i="94" s="1"/>
  <c r="F1136" i="93"/>
  <c r="I1136" i="93" s="1"/>
  <c r="L73" i="75"/>
  <c r="L835" i="94" s="1"/>
  <c r="M73" i="75"/>
  <c r="M835" i="94" s="1"/>
  <c r="D992" i="93"/>
  <c r="N823" i="93"/>
  <c r="K45" i="73"/>
  <c r="F1201" i="94"/>
  <c r="F43" i="73"/>
  <c r="H43" i="73" s="1"/>
  <c r="M59" i="73"/>
  <c r="M75" i="75"/>
  <c r="M837" i="94" s="1"/>
  <c r="L805" i="93"/>
  <c r="L806" i="93" s="1"/>
  <c r="M66" i="73"/>
  <c r="N66" i="73"/>
  <c r="K37" i="84"/>
  <c r="K35" i="84"/>
  <c r="E978" i="93"/>
  <c r="O99" i="75"/>
  <c r="P148" i="75"/>
  <c r="O152" i="75"/>
  <c r="P73" i="93" s="1"/>
  <c r="P75" i="93" s="1"/>
  <c r="P147" i="75"/>
  <c r="I43" i="73"/>
  <c r="M63" i="73"/>
  <c r="K65" i="75"/>
  <c r="K67" i="75" s="1"/>
  <c r="D8" i="88"/>
  <c r="E8" i="88" s="1"/>
  <c r="F1144" i="93"/>
  <c r="I1144" i="93" s="1"/>
  <c r="H75" i="93"/>
  <c r="H73" i="93" s="1"/>
  <c r="H77" i="93" s="1"/>
  <c r="H79" i="93" s="1"/>
  <c r="H1150" i="93"/>
  <c r="M868" i="94"/>
  <c r="F52" i="73"/>
  <c r="I52" i="73" s="1"/>
  <c r="M1203" i="94"/>
  <c r="O137" i="75"/>
  <c r="N1214" i="94"/>
  <c r="J71" i="75"/>
  <c r="J833" i="94" s="1"/>
  <c r="K71" i="75"/>
  <c r="K833" i="94" s="1"/>
  <c r="K75" i="75"/>
  <c r="K837" i="94" s="1"/>
  <c r="L1954" i="93"/>
  <c r="M56" i="73"/>
  <c r="N1160" i="93"/>
  <c r="I59" i="73"/>
  <c r="N73" i="75"/>
  <c r="N835" i="94" s="1"/>
  <c r="N75" i="75"/>
  <c r="N837" i="94" s="1"/>
  <c r="N64" i="73"/>
  <c r="K74" i="75"/>
  <c r="K836" i="94" s="1"/>
  <c r="N58" i="73"/>
  <c r="J73" i="75"/>
  <c r="J835" i="94" s="1"/>
  <c r="K72" i="75"/>
  <c r="K834" i="94" s="1"/>
  <c r="N76" i="75"/>
  <c r="N838" i="94" s="1"/>
  <c r="N74" i="75"/>
  <c r="N836" i="94" s="1"/>
  <c r="K867" i="93"/>
  <c r="O103" i="75"/>
  <c r="H77" i="94" s="1"/>
  <c r="P61" i="66"/>
  <c r="P70" i="66" s="1"/>
  <c r="O135" i="75"/>
  <c r="O88" i="75"/>
  <c r="K467" i="73" s="1"/>
  <c r="O138" i="75"/>
  <c r="O885" i="94"/>
  <c r="J72" i="75"/>
  <c r="J834" i="94" s="1"/>
  <c r="J76" i="75"/>
  <c r="J838" i="94" s="1"/>
  <c r="M74" i="75"/>
  <c r="M836" i="94" s="1"/>
  <c r="M65" i="75"/>
  <c r="M67" i="75" s="1"/>
  <c r="M159" i="75" s="1"/>
  <c r="M921" i="94" s="1"/>
  <c r="N867" i="93"/>
  <c r="K872" i="93"/>
  <c r="K874" i="93" s="1"/>
  <c r="K876" i="93" s="1"/>
  <c r="J864" i="93"/>
  <c r="F1200" i="94"/>
  <c r="O115" i="75"/>
  <c r="M897" i="94"/>
  <c r="O63" i="75"/>
  <c r="L1952" i="93" s="1"/>
  <c r="L1953" i="93" s="1"/>
  <c r="J74" i="75"/>
  <c r="J836" i="94" s="1"/>
  <c r="M72" i="75"/>
  <c r="M834" i="94" s="1"/>
  <c r="M867" i="93"/>
  <c r="G55" i="86"/>
  <c r="E35" i="86"/>
  <c r="D55" i="86"/>
  <c r="I15" i="86"/>
  <c r="F15" i="86"/>
  <c r="E15" i="86"/>
  <c r="C15" i="86"/>
  <c r="F35" i="86"/>
  <c r="E55" i="86"/>
  <c r="E474" i="93"/>
  <c r="G470" i="93" s="1"/>
  <c r="O17" i="86"/>
  <c r="D35" i="86"/>
  <c r="H55" i="86"/>
  <c r="H15" i="86"/>
  <c r="H35" i="86"/>
  <c r="G15" i="86"/>
  <c r="F55" i="86"/>
  <c r="D15" i="86"/>
  <c r="O16" i="86"/>
  <c r="O19" i="86" s="1"/>
  <c r="O23" i="86" s="1"/>
  <c r="O25" i="86" s="1"/>
  <c r="O31" i="86" s="1"/>
  <c r="C55" i="86"/>
  <c r="L823" i="93"/>
  <c r="N831" i="93"/>
  <c r="L861" i="93"/>
  <c r="L48" i="75"/>
  <c r="L49" i="75" s="1"/>
  <c r="B970" i="93" s="1"/>
  <c r="P71" i="66"/>
  <c r="K1627" i="94"/>
  <c r="P76" i="93"/>
  <c r="K1159" i="93"/>
  <c r="K1161" i="93" s="1"/>
  <c r="K1223" i="94"/>
  <c r="K1225" i="94" s="1"/>
  <c r="K65" i="73"/>
  <c r="K67" i="73" s="1"/>
  <c r="H67" i="66"/>
  <c r="F64" i="73"/>
  <c r="F67" i="73" s="1"/>
  <c r="F1158" i="93"/>
  <c r="F1161" i="93" s="1"/>
  <c r="F1222" i="94"/>
  <c r="O113" i="75"/>
  <c r="O238" i="75" s="1"/>
  <c r="O141" i="75"/>
  <c r="F1139" i="93"/>
  <c r="F1203" i="94"/>
  <c r="F45" i="73"/>
  <c r="O2080" i="94"/>
  <c r="O875" i="93"/>
  <c r="N1139" i="93"/>
  <c r="H1136" i="93"/>
  <c r="O851" i="93"/>
  <c r="O859" i="94"/>
  <c r="M837" i="93"/>
  <c r="O849" i="94"/>
  <c r="H54" i="66"/>
  <c r="N815" i="93"/>
  <c r="N817" i="93" s="1"/>
  <c r="N819" i="93" s="1"/>
  <c r="O863" i="94"/>
  <c r="K865" i="94"/>
  <c r="K898" i="94"/>
  <c r="O835" i="93"/>
  <c r="L827" i="93"/>
  <c r="M827" i="93"/>
  <c r="L897" i="94"/>
  <c r="M831" i="93"/>
  <c r="K862" i="93"/>
  <c r="N868" i="93"/>
  <c r="L867" i="93"/>
  <c r="K834" i="93"/>
  <c r="O884" i="94"/>
  <c r="O829" i="93"/>
  <c r="O855" i="94"/>
  <c r="M904" i="94"/>
  <c r="O855" i="93"/>
  <c r="M862" i="93"/>
  <c r="I73" i="93"/>
  <c r="O859" i="93"/>
  <c r="J841" i="93"/>
  <c r="L862" i="93"/>
  <c r="L810" i="94"/>
  <c r="L811" i="94" s="1"/>
  <c r="K871" i="94"/>
  <c r="O848" i="94"/>
  <c r="K850" i="94"/>
  <c r="M898" i="94"/>
  <c r="O867" i="94"/>
  <c r="N861" i="94"/>
  <c r="O814" i="93"/>
  <c r="O822" i="93"/>
  <c r="K861" i="94"/>
  <c r="N871" i="94"/>
  <c r="O857" i="93"/>
  <c r="O856" i="93"/>
  <c r="K861" i="93"/>
  <c r="L834" i="93"/>
  <c r="L872" i="93"/>
  <c r="L874" i="93" s="1"/>
  <c r="L876" i="93" s="1"/>
  <c r="O917" i="94"/>
  <c r="C993" i="93"/>
  <c r="C1054" i="94"/>
  <c r="D39" i="74"/>
  <c r="E10" i="86" s="1"/>
  <c r="M825" i="94"/>
  <c r="M827" i="94" s="1"/>
  <c r="M829" i="94" s="1"/>
  <c r="O154" i="75"/>
  <c r="J156" i="75"/>
  <c r="O156" i="75" s="1"/>
  <c r="I1223" i="94"/>
  <c r="H1223" i="94"/>
  <c r="N43" i="73"/>
  <c r="M43" i="73"/>
  <c r="M1142" i="93"/>
  <c r="K1147" i="93"/>
  <c r="N1142" i="93"/>
  <c r="N1147" i="93" s="1"/>
  <c r="I437" i="94"/>
  <c r="P427" i="94"/>
  <c r="P428" i="94"/>
  <c r="K1625" i="94"/>
  <c r="O844" i="94"/>
  <c r="I1159" i="93"/>
  <c r="H1159" i="93"/>
  <c r="N1201" i="94"/>
  <c r="M1201" i="94"/>
  <c r="N55" i="73"/>
  <c r="N60" i="73" s="1"/>
  <c r="K60" i="73"/>
  <c r="M55" i="73"/>
  <c r="N52" i="73"/>
  <c r="M52" i="73"/>
  <c r="K897" i="94"/>
  <c r="J904" i="94"/>
  <c r="O881" i="94"/>
  <c r="O870" i="94"/>
  <c r="N1623" i="94"/>
  <c r="N465" i="73"/>
  <c r="N466" i="73"/>
  <c r="O73" i="75"/>
  <c r="O835" i="94" s="1"/>
  <c r="O75" i="75"/>
  <c r="O837" i="94" s="1"/>
  <c r="O71" i="75"/>
  <c r="O833" i="94" s="1"/>
  <c r="E7" i="88"/>
  <c r="D12" i="88"/>
  <c r="E536" i="93"/>
  <c r="J536" i="93" s="1"/>
  <c r="E545" i="94"/>
  <c r="J545" i="94" s="1"/>
  <c r="E100" i="78"/>
  <c r="J100" i="78" s="1"/>
  <c r="D984" i="93"/>
  <c r="D986" i="93" s="1"/>
  <c r="D1045" i="94"/>
  <c r="E30" i="74"/>
  <c r="D53" i="82"/>
  <c r="M871" i="94"/>
  <c r="H1144" i="93"/>
  <c r="N868" i="94"/>
  <c r="N825" i="94"/>
  <c r="N827" i="94" s="1"/>
  <c r="N829" i="94" s="1"/>
  <c r="M1200" i="94"/>
  <c r="N1200" i="94"/>
  <c r="N850" i="94"/>
  <c r="O890" i="94"/>
  <c r="O833" i="93"/>
  <c r="R981" i="93"/>
  <c r="R991" i="93"/>
  <c r="R982" i="93"/>
  <c r="R993" i="93"/>
  <c r="R992" i="93"/>
  <c r="R983" i="93"/>
  <c r="R976" i="93"/>
  <c r="R979" i="93"/>
  <c r="R988" i="93"/>
  <c r="R984" i="93"/>
  <c r="R987" i="93"/>
  <c r="R994" i="93"/>
  <c r="R977" i="93"/>
  <c r="R978" i="93"/>
  <c r="R989" i="93"/>
  <c r="R980" i="93"/>
  <c r="R990" i="93"/>
  <c r="R986" i="93"/>
  <c r="K864" i="93"/>
  <c r="K841" i="93"/>
  <c r="J866" i="93"/>
  <c r="O866" i="93" s="1"/>
  <c r="O849" i="93"/>
  <c r="G975" i="93"/>
  <c r="G971" i="93"/>
  <c r="G970" i="93"/>
  <c r="H969" i="93"/>
  <c r="G977" i="93"/>
  <c r="C987" i="93"/>
  <c r="C991" i="93"/>
  <c r="O830" i="93"/>
  <c r="J867" i="93"/>
  <c r="O846" i="93"/>
  <c r="K868" i="93"/>
  <c r="K815" i="93"/>
  <c r="K817" i="93" s="1"/>
  <c r="K819" i="93" s="1"/>
  <c r="L837" i="93"/>
  <c r="P941" i="93"/>
  <c r="O941" i="93"/>
  <c r="M815" i="93"/>
  <c r="M817" i="93" s="1"/>
  <c r="M819" i="93" s="1"/>
  <c r="J823" i="93"/>
  <c r="O823" i="93" s="1"/>
  <c r="M1137" i="93"/>
  <c r="N1137" i="93"/>
  <c r="O843" i="94"/>
  <c r="J850" i="94"/>
  <c r="M899" i="94"/>
  <c r="M877" i="94"/>
  <c r="M408" i="72"/>
  <c r="M2056" i="94" s="1"/>
  <c r="J408" i="72"/>
  <c r="N898" i="94"/>
  <c r="L899" i="94"/>
  <c r="L877" i="94"/>
  <c r="N1149" i="93"/>
  <c r="N1154" i="93" s="1"/>
  <c r="M1149" i="93"/>
  <c r="K1154" i="93"/>
  <c r="N1146" i="93"/>
  <c r="M1146" i="93"/>
  <c r="O864" i="94"/>
  <c r="O915" i="94"/>
  <c r="O847" i="94"/>
  <c r="L914" i="94"/>
  <c r="L916" i="94" s="1"/>
  <c r="L918" i="94" s="1"/>
  <c r="L898" i="94"/>
  <c r="K1204" i="94"/>
  <c r="M1199" i="94"/>
  <c r="N1199" i="94"/>
  <c r="B1035" i="94"/>
  <c r="D20" i="74"/>
  <c r="D1035" i="94" s="1"/>
  <c r="C20" i="74"/>
  <c r="C1035" i="94" s="1"/>
  <c r="E20" i="74"/>
  <c r="E1035" i="94" s="1"/>
  <c r="R985" i="93"/>
  <c r="K900" i="94"/>
  <c r="K875" i="94"/>
  <c r="M875" i="94"/>
  <c r="M900" i="94"/>
  <c r="C1058" i="94"/>
  <c r="C997" i="93"/>
  <c r="J861" i="93"/>
  <c r="O852" i="93"/>
  <c r="O850" i="93"/>
  <c r="O846" i="94"/>
  <c r="P942" i="93"/>
  <c r="O942" i="93"/>
  <c r="O858" i="94"/>
  <c r="N861" i="93"/>
  <c r="O836" i="93"/>
  <c r="O887" i="94"/>
  <c r="J898" i="94"/>
  <c r="N41" i="73"/>
  <c r="K46" i="73"/>
  <c r="M41" i="73"/>
  <c r="I1209" i="94"/>
  <c r="H1209" i="94"/>
  <c r="I1145" i="93"/>
  <c r="H1145" i="93"/>
  <c r="N49" i="73"/>
  <c r="M49" i="73"/>
  <c r="I1210" i="94"/>
  <c r="H1210" i="94"/>
  <c r="I61" i="66"/>
  <c r="N44" i="73"/>
  <c r="M44" i="73"/>
  <c r="D1058" i="94"/>
  <c r="D997" i="93"/>
  <c r="E43" i="74"/>
  <c r="M850" i="94"/>
  <c r="M861" i="94"/>
  <c r="I48" i="73"/>
  <c r="H48" i="73"/>
  <c r="F53" i="73"/>
  <c r="L850" i="94"/>
  <c r="O882" i="94"/>
  <c r="J901" i="94"/>
  <c r="O901" i="94" s="1"/>
  <c r="N897" i="94"/>
  <c r="O909" i="94"/>
  <c r="H67" i="93"/>
  <c r="H55" i="66"/>
  <c r="H78" i="94"/>
  <c r="K1140" i="93"/>
  <c r="M1135" i="93"/>
  <c r="N1135" i="93"/>
  <c r="N1140" i="93" s="1"/>
  <c r="O892" i="94"/>
  <c r="O826" i="94"/>
  <c r="P915" i="94" s="1"/>
  <c r="P998" i="94"/>
  <c r="O998" i="94"/>
  <c r="H1220" i="94"/>
  <c r="I1220" i="94"/>
  <c r="K75" i="84"/>
  <c r="K77" i="84" s="1"/>
  <c r="C77" i="84"/>
  <c r="I75" i="84"/>
  <c r="I77" i="84" s="1"/>
  <c r="G75" i="84"/>
  <c r="G77" i="84" s="1"/>
  <c r="E75" i="84"/>
  <c r="E77" i="84" s="1"/>
  <c r="L904" i="94"/>
  <c r="T1731" i="93"/>
  <c r="P934" i="93"/>
  <c r="M932" i="93" s="1"/>
  <c r="T1825" i="94"/>
  <c r="P990" i="94"/>
  <c r="M988" i="94" s="1"/>
  <c r="K51" i="93"/>
  <c r="K63" i="94"/>
  <c r="H15" i="84"/>
  <c r="F18" i="85" s="1"/>
  <c r="T177" i="72"/>
  <c r="J381" i="73"/>
  <c r="F1470" i="93" s="1"/>
  <c r="J861" i="94"/>
  <c r="O854" i="94"/>
  <c r="K903" i="94"/>
  <c r="J871" i="94"/>
  <c r="N863" i="93"/>
  <c r="N843" i="93"/>
  <c r="M864" i="93"/>
  <c r="M841" i="93"/>
  <c r="I45" i="68"/>
  <c r="P943" i="93"/>
  <c r="O943" i="93"/>
  <c r="N862" i="93"/>
  <c r="I55" i="73"/>
  <c r="I60" i="73" s="1"/>
  <c r="F60" i="73"/>
  <c r="H55" i="73"/>
  <c r="K868" i="94"/>
  <c r="J827" i="93"/>
  <c r="O825" i="93"/>
  <c r="I49" i="73"/>
  <c r="H49" i="73"/>
  <c r="J914" i="94"/>
  <c r="O907" i="94"/>
  <c r="N872" i="93"/>
  <c r="N874" i="93" s="1"/>
  <c r="N876" i="93" s="1"/>
  <c r="O826" i="93"/>
  <c r="J837" i="93"/>
  <c r="O845" i="93"/>
  <c r="N1213" i="94"/>
  <c r="K1218" i="94"/>
  <c r="M1213" i="94"/>
  <c r="J18" i="84"/>
  <c r="C40" i="84"/>
  <c r="D1036" i="94"/>
  <c r="M1207" i="94"/>
  <c r="N1207" i="94"/>
  <c r="L875" i="94"/>
  <c r="L900" i="94"/>
  <c r="O869" i="94"/>
  <c r="I66" i="73"/>
  <c r="H66" i="73"/>
  <c r="I1146" i="93"/>
  <c r="H1146" i="93"/>
  <c r="N1202" i="94"/>
  <c r="M1202" i="94"/>
  <c r="M865" i="94"/>
  <c r="O888" i="94"/>
  <c r="L159" i="75"/>
  <c r="L921" i="94" s="1"/>
  <c r="H9" i="88"/>
  <c r="I9" i="88" s="1"/>
  <c r="N62" i="73"/>
  <c r="M62" i="73"/>
  <c r="H8" i="88"/>
  <c r="I8" i="88" s="1"/>
  <c r="K159" i="75"/>
  <c r="K921" i="94" s="1"/>
  <c r="H61" i="66"/>
  <c r="H70" i="66" s="1"/>
  <c r="H72" i="66" s="1"/>
  <c r="O879" i="94"/>
  <c r="J900" i="94"/>
  <c r="J875" i="94"/>
  <c r="I1156" i="93"/>
  <c r="I1161" i="93" s="1"/>
  <c r="H1156" i="93"/>
  <c r="H44" i="73"/>
  <c r="I44" i="73"/>
  <c r="P999" i="94"/>
  <c r="O999" i="94"/>
  <c r="O912" i="94"/>
  <c r="N903" i="94"/>
  <c r="K831" i="93"/>
  <c r="O908" i="94"/>
  <c r="O871" i="93"/>
  <c r="O832" i="93"/>
  <c r="L868" i="93"/>
  <c r="H1213" i="94"/>
  <c r="I1213" i="94"/>
  <c r="I1218" i="94" s="1"/>
  <c r="F1218" i="94"/>
  <c r="K827" i="93"/>
  <c r="I1207" i="94"/>
  <c r="H1207" i="94"/>
  <c r="N865" i="94"/>
  <c r="N51" i="73"/>
  <c r="M51" i="73"/>
  <c r="I62" i="73"/>
  <c r="H62" i="73"/>
  <c r="K843" i="93"/>
  <c r="N864" i="93"/>
  <c r="N841" i="93"/>
  <c r="K53" i="73"/>
  <c r="M48" i="73"/>
  <c r="N48" i="73"/>
  <c r="J868" i="94"/>
  <c r="I1199" i="94"/>
  <c r="H1199" i="94"/>
  <c r="D18" i="84"/>
  <c r="K40" i="84"/>
  <c r="C38" i="84"/>
  <c r="P414" i="93"/>
  <c r="P413" i="93"/>
  <c r="O857" i="94"/>
  <c r="N1143" i="93"/>
  <c r="M1143" i="93"/>
  <c r="N914" i="94"/>
  <c r="N916" i="94" s="1"/>
  <c r="N918" i="94" s="1"/>
  <c r="N877" i="94"/>
  <c r="N899" i="94"/>
  <c r="H1224" i="94"/>
  <c r="I1224" i="94"/>
  <c r="M50" i="73"/>
  <c r="N50" i="73"/>
  <c r="N1138" i="93"/>
  <c r="M1138" i="93"/>
  <c r="J825" i="94"/>
  <c r="O818" i="94"/>
  <c r="I1206" i="94"/>
  <c r="H1206" i="94"/>
  <c r="F1211" i="94"/>
  <c r="K914" i="94"/>
  <c r="K916" i="94" s="1"/>
  <c r="K918" i="94" s="1"/>
  <c r="O883" i="94"/>
  <c r="J902" i="94"/>
  <c r="O902" i="94" s="1"/>
  <c r="O845" i="94"/>
  <c r="L825" i="94"/>
  <c r="L827" i="94" s="1"/>
  <c r="L829" i="94" s="1"/>
  <c r="I1202" i="94"/>
  <c r="H1202" i="94"/>
  <c r="O828" i="94"/>
  <c r="P917" i="94" s="1"/>
  <c r="O848" i="93"/>
  <c r="O854" i="93"/>
  <c r="K837" i="93"/>
  <c r="L865" i="94"/>
  <c r="O858" i="93"/>
  <c r="J868" i="93"/>
  <c r="O847" i="93"/>
  <c r="F1154" i="93"/>
  <c r="I1149" i="93"/>
  <c r="I1154" i="93" s="1"/>
  <c r="H1149" i="93"/>
  <c r="M914" i="94"/>
  <c r="M916" i="94" s="1"/>
  <c r="M918" i="94" s="1"/>
  <c r="N834" i="93"/>
  <c r="I1143" i="93"/>
  <c r="H1143" i="93"/>
  <c r="L843" i="93"/>
  <c r="L863" i="93"/>
  <c r="O853" i="93"/>
  <c r="J862" i="93"/>
  <c r="M1209" i="94"/>
  <c r="N1209" i="94"/>
  <c r="J831" i="93"/>
  <c r="I51" i="73"/>
  <c r="H51" i="73"/>
  <c r="M1210" i="94"/>
  <c r="N1210" i="94"/>
  <c r="M1136" i="93"/>
  <c r="N1136" i="93"/>
  <c r="E987" i="93"/>
  <c r="E991" i="93"/>
  <c r="F972" i="93"/>
  <c r="F992" i="93" s="1"/>
  <c r="H41" i="73"/>
  <c r="F46" i="73"/>
  <c r="I41" i="73"/>
  <c r="P51" i="68"/>
  <c r="P50" i="68"/>
  <c r="I60" i="68"/>
  <c r="P45" i="68" s="1"/>
  <c r="P422" i="94" s="1"/>
  <c r="I65" i="73"/>
  <c r="H65" i="73"/>
  <c r="M1206" i="94"/>
  <c r="K1211" i="94"/>
  <c r="N1206" i="94"/>
  <c r="F1140" i="93"/>
  <c r="I1135" i="93"/>
  <c r="I1140" i="93" s="1"/>
  <c r="H1135" i="93"/>
  <c r="M1938" i="93"/>
  <c r="M1939" i="93" s="1"/>
  <c r="J1938" i="93"/>
  <c r="J1939" i="93" s="1"/>
  <c r="L868" i="94"/>
  <c r="O821" i="94"/>
  <c r="K825" i="94"/>
  <c r="K827" i="94" s="1"/>
  <c r="K829" i="94" s="1"/>
  <c r="I1160" i="93"/>
  <c r="H1160" i="93"/>
  <c r="M1208" i="94"/>
  <c r="N1208" i="94"/>
  <c r="K877" i="94"/>
  <c r="K899" i="94"/>
  <c r="J903" i="94"/>
  <c r="O880" i="94"/>
  <c r="O860" i="94"/>
  <c r="F1147" i="93"/>
  <c r="I1142" i="93"/>
  <c r="I1147" i="93" s="1"/>
  <c r="H1142" i="93"/>
  <c r="O866" i="94"/>
  <c r="N1220" i="94"/>
  <c r="M1220" i="94"/>
  <c r="O911" i="94"/>
  <c r="O856" i="94"/>
  <c r="O823" i="94"/>
  <c r="O889" i="94"/>
  <c r="I50" i="73"/>
  <c r="H50" i="73"/>
  <c r="O893" i="94"/>
  <c r="O819" i="94"/>
  <c r="I1138" i="93"/>
  <c r="H1138" i="93"/>
  <c r="H11" i="88"/>
  <c r="I11" i="88" s="1"/>
  <c r="N159" i="75"/>
  <c r="N921" i="94" s="1"/>
  <c r="B993" i="93"/>
  <c r="B1054" i="94"/>
  <c r="D10" i="86"/>
  <c r="C10" i="86"/>
  <c r="J865" i="94"/>
  <c r="L861" i="94"/>
  <c r="M903" i="94"/>
  <c r="D1070" i="94"/>
  <c r="E1060" i="94"/>
  <c r="O818" i="93"/>
  <c r="O873" i="93"/>
  <c r="O865" i="93"/>
  <c r="L831" i="93"/>
  <c r="O870" i="93"/>
  <c r="J872" i="93"/>
  <c r="N837" i="93"/>
  <c r="O816" i="93"/>
  <c r="M834" i="93"/>
  <c r="N1145" i="93"/>
  <c r="M1145" i="93"/>
  <c r="L841" i="93"/>
  <c r="C986" i="93"/>
  <c r="D987" i="93"/>
  <c r="D991" i="93"/>
  <c r="O878" i="94"/>
  <c r="J899" i="94"/>
  <c r="J877" i="94"/>
  <c r="M1144" i="93"/>
  <c r="N1144" i="93"/>
  <c r="O913" i="94"/>
  <c r="J67" i="75"/>
  <c r="N1156" i="93"/>
  <c r="N1161" i="93" s="1"/>
  <c r="M1156" i="93"/>
  <c r="J897" i="94"/>
  <c r="O886" i="94"/>
  <c r="E21" i="74"/>
  <c r="E23" i="74"/>
  <c r="E1038" i="94" s="1"/>
  <c r="F13" i="74"/>
  <c r="O824" i="94"/>
  <c r="I1208" i="94"/>
  <c r="H1208" i="94"/>
  <c r="O891" i="94"/>
  <c r="N900" i="94"/>
  <c r="N875" i="94"/>
  <c r="O910" i="94"/>
  <c r="N42" i="73"/>
  <c r="M42" i="73"/>
  <c r="H68" i="93"/>
  <c r="H79" i="94"/>
  <c r="H56" i="66"/>
  <c r="O820" i="94"/>
  <c r="O997" i="94"/>
  <c r="P997" i="94"/>
  <c r="N904" i="94"/>
  <c r="L871" i="94"/>
  <c r="M863" i="93"/>
  <c r="M843" i="93"/>
  <c r="M861" i="93"/>
  <c r="L817" i="93"/>
  <c r="L819" i="93" s="1"/>
  <c r="O813" i="93"/>
  <c r="J815" i="93"/>
  <c r="O822" i="94"/>
  <c r="M872" i="93"/>
  <c r="M874" i="93" s="1"/>
  <c r="M876" i="93" s="1"/>
  <c r="N827" i="93"/>
  <c r="O844" i="93"/>
  <c r="J863" i="93"/>
  <c r="J843" i="93"/>
  <c r="O821" i="93"/>
  <c r="J834" i="93"/>
  <c r="P67" i="93" l="1"/>
  <c r="H84" i="94"/>
  <c r="H93" i="94" s="1"/>
  <c r="H95" i="94" s="1"/>
  <c r="H52" i="73"/>
  <c r="I84" i="94"/>
  <c r="O239" i="75"/>
  <c r="L1968" i="93"/>
  <c r="M1952" i="93"/>
  <c r="I1201" i="94"/>
  <c r="H1201" i="94"/>
  <c r="M45" i="73"/>
  <c r="N45" i="73"/>
  <c r="P78" i="94"/>
  <c r="P55" i="66"/>
  <c r="P77" i="93"/>
  <c r="P82" i="93" s="1"/>
  <c r="N1218" i="94"/>
  <c r="P72" i="66"/>
  <c r="P75" i="66" s="1"/>
  <c r="K13" i="84" s="1"/>
  <c r="E13" i="88"/>
  <c r="O72" i="75"/>
  <c r="O834" i="94" s="1"/>
  <c r="O77" i="75"/>
  <c r="O839" i="94" s="1"/>
  <c r="N1624" i="94"/>
  <c r="H66" i="93"/>
  <c r="O432" i="72"/>
  <c r="P238" i="75"/>
  <c r="P239" i="75" s="1"/>
  <c r="P230" i="75" s="1"/>
  <c r="P241" i="75" s="1"/>
  <c r="H10" i="88"/>
  <c r="I10" i="88" s="1"/>
  <c r="O65" i="75"/>
  <c r="J1599" i="93" s="1"/>
  <c r="O74" i="75"/>
  <c r="O836" i="94" s="1"/>
  <c r="O76" i="75"/>
  <c r="O838" i="94" s="1"/>
  <c r="E13" i="84"/>
  <c r="H16" i="85" s="1"/>
  <c r="K469" i="73"/>
  <c r="I1200" i="94"/>
  <c r="H1200" i="94"/>
  <c r="O897" i="94"/>
  <c r="F1204" i="94"/>
  <c r="O864" i="93"/>
  <c r="B14" i="74"/>
  <c r="F14" i="74" s="1"/>
  <c r="H173" i="75"/>
  <c r="H879" i="93" s="1"/>
  <c r="O879" i="93" s="1"/>
  <c r="I45" i="73"/>
  <c r="I46" i="73" s="1"/>
  <c r="H45" i="73"/>
  <c r="I64" i="73"/>
  <c r="H64" i="73"/>
  <c r="O834" i="93"/>
  <c r="P52" i="68"/>
  <c r="O867" i="93"/>
  <c r="P429" i="94"/>
  <c r="I1203" i="94"/>
  <c r="H1203" i="94"/>
  <c r="F978" i="93"/>
  <c r="F987" i="93" s="1"/>
  <c r="H1158" i="93"/>
  <c r="I1158" i="93"/>
  <c r="I1139" i="93"/>
  <c r="H1139" i="93"/>
  <c r="H1222" i="94"/>
  <c r="I1222" i="94"/>
  <c r="I1225" i="94" s="1"/>
  <c r="F1225" i="94"/>
  <c r="M65" i="73"/>
  <c r="N65" i="73"/>
  <c r="N67" i="73" s="1"/>
  <c r="M1223" i="94"/>
  <c r="N1223" i="94"/>
  <c r="N1225" i="94" s="1"/>
  <c r="H7" i="84"/>
  <c r="E26" i="89" s="1"/>
  <c r="M1159" i="93"/>
  <c r="N1159" i="93"/>
  <c r="O863" i="93"/>
  <c r="I1211" i="94"/>
  <c r="O843" i="93"/>
  <c r="O865" i="94"/>
  <c r="N46" i="73"/>
  <c r="O841" i="93"/>
  <c r="O945" i="93" s="1"/>
  <c r="O899" i="94"/>
  <c r="O868" i="94"/>
  <c r="O877" i="94"/>
  <c r="N1211" i="94"/>
  <c r="O862" i="93"/>
  <c r="P911" i="94"/>
  <c r="F23" i="74"/>
  <c r="F1038" i="94" s="1"/>
  <c r="G13" i="74"/>
  <c r="F21" i="74"/>
  <c r="H7" i="88"/>
  <c r="J159" i="75"/>
  <c r="J921" i="94" s="1"/>
  <c r="O67" i="75"/>
  <c r="O914" i="94"/>
  <c r="J916" i="94"/>
  <c r="O861" i="94"/>
  <c r="K69" i="73"/>
  <c r="O861" i="93"/>
  <c r="P75" i="75"/>
  <c r="I75" i="75"/>
  <c r="I837" i="94" s="1"/>
  <c r="I77" i="75"/>
  <c r="I839" i="94" s="1"/>
  <c r="L56" i="72"/>
  <c r="F479" i="93"/>
  <c r="J874" i="93"/>
  <c r="O872" i="93"/>
  <c r="K18" i="88"/>
  <c r="O904" i="94"/>
  <c r="E1036" i="94"/>
  <c r="P908" i="94"/>
  <c r="P912" i="94"/>
  <c r="F69" i="73"/>
  <c r="P907" i="94"/>
  <c r="O875" i="94"/>
  <c r="K1163" i="93"/>
  <c r="F20" i="74"/>
  <c r="F1035" i="94" s="1"/>
  <c r="J154" i="78"/>
  <c r="J155" i="78" s="1"/>
  <c r="E1058" i="94"/>
  <c r="F43" i="74"/>
  <c r="E997" i="93"/>
  <c r="D993" i="93"/>
  <c r="D1054" i="94"/>
  <c r="E39" i="74"/>
  <c r="F10" i="86" s="1"/>
  <c r="O815" i="93"/>
  <c r="J817" i="93"/>
  <c r="P909" i="94"/>
  <c r="F1060" i="94"/>
  <c r="E1070" i="94"/>
  <c r="O903" i="94"/>
  <c r="O825" i="94"/>
  <c r="J827" i="94"/>
  <c r="P415" i="93"/>
  <c r="O900" i="94"/>
  <c r="O850" i="94"/>
  <c r="J44" i="78"/>
  <c r="J480" i="93"/>
  <c r="J489" i="94"/>
  <c r="J590" i="93"/>
  <c r="J591" i="93" s="1"/>
  <c r="J593" i="93" s="1"/>
  <c r="F1163" i="93"/>
  <c r="O837" i="93"/>
  <c r="O827" i="93"/>
  <c r="O898" i="94"/>
  <c r="N1204" i="94"/>
  <c r="I969" i="93"/>
  <c r="H977" i="93"/>
  <c r="H970" i="93"/>
  <c r="H975" i="93"/>
  <c r="H971" i="93"/>
  <c r="F480" i="93"/>
  <c r="F44" i="78"/>
  <c r="F489" i="94"/>
  <c r="O871" i="94"/>
  <c r="G972" i="93"/>
  <c r="G978" i="93" s="1"/>
  <c r="P910" i="94"/>
  <c r="F991" i="93"/>
  <c r="N53" i="73"/>
  <c r="I67" i="73"/>
  <c r="I407" i="93"/>
  <c r="I422" i="94"/>
  <c r="I53" i="73"/>
  <c r="K1227" i="94"/>
  <c r="E984" i="93"/>
  <c r="E986" i="93" s="1"/>
  <c r="E1045" i="94"/>
  <c r="F30" i="74"/>
  <c r="E53" i="82"/>
  <c r="P73" i="75"/>
  <c r="I73" i="75"/>
  <c r="I835" i="94" s="1"/>
  <c r="P590" i="93"/>
  <c r="P591" i="93" s="1"/>
  <c r="P593" i="93" s="1"/>
  <c r="O868" i="93"/>
  <c r="P913" i="94"/>
  <c r="O831" i="93"/>
  <c r="C81" i="84"/>
  <c r="C80" i="84"/>
  <c r="P71" i="75"/>
  <c r="I71" i="75"/>
  <c r="I833" i="94" s="1"/>
  <c r="B977" i="93" l="1"/>
  <c r="M231" i="75"/>
  <c r="F1227" i="94"/>
  <c r="P162" i="66"/>
  <c r="P184" i="94"/>
  <c r="P185" i="94"/>
  <c r="L1704" i="94"/>
  <c r="P1704" i="94" s="1"/>
  <c r="P1703" i="94" s="1"/>
  <c r="P1695" i="94" s="1"/>
  <c r="P2096" i="94" s="1"/>
  <c r="P2099" i="94" s="1"/>
  <c r="M154" i="78"/>
  <c r="M155" i="78" s="1"/>
  <c r="M157" i="78" s="1"/>
  <c r="P161" i="66"/>
  <c r="P167" i="93"/>
  <c r="I1204" i="94"/>
  <c r="H1227" i="94" s="1"/>
  <c r="M599" i="94"/>
  <c r="M600" i="94" s="1"/>
  <c r="M602" i="94" s="1"/>
  <c r="J599" i="94"/>
  <c r="J600" i="94" s="1"/>
  <c r="J602" i="94" s="1"/>
  <c r="P163" i="66"/>
  <c r="K1704" i="94"/>
  <c r="P154" i="78"/>
  <c r="P155" i="78" s="1"/>
  <c r="P157" i="78" s="1"/>
  <c r="J56" i="72"/>
  <c r="O168" i="93"/>
  <c r="P599" i="94"/>
  <c r="P600" i="94" s="1"/>
  <c r="P602" i="94" s="1"/>
  <c r="F43" i="78"/>
  <c r="P186" i="94"/>
  <c r="P168" i="93"/>
  <c r="M590" i="93"/>
  <c r="M591" i="93" s="1"/>
  <c r="M593" i="93" s="1"/>
  <c r="F488" i="94"/>
  <c r="K56" i="72"/>
  <c r="E47" i="92"/>
  <c r="C52" i="84"/>
  <c r="G52" i="84" s="1"/>
  <c r="P72" i="75"/>
  <c r="E14" i="74"/>
  <c r="D14" i="74"/>
  <c r="D1029" i="94" s="1"/>
  <c r="G14" i="74"/>
  <c r="G1029" i="94" s="1"/>
  <c r="P488" i="94"/>
  <c r="P479" i="93"/>
  <c r="G570" i="93"/>
  <c r="G579" i="94"/>
  <c r="P43" i="78"/>
  <c r="G134" i="78"/>
  <c r="P77" i="75"/>
  <c r="P992" i="94"/>
  <c r="P1003" i="94" s="1"/>
  <c r="E172" i="90"/>
  <c r="E173" i="90" s="1"/>
  <c r="P231" i="75"/>
  <c r="I74" i="75"/>
  <c r="I836" i="94" s="1"/>
  <c r="I76" i="75"/>
  <c r="I838" i="94" s="1"/>
  <c r="O944" i="93"/>
  <c r="C66" i="84"/>
  <c r="E66" i="84" s="1"/>
  <c r="P936" i="93"/>
  <c r="P947" i="93" s="1"/>
  <c r="P74" i="75"/>
  <c r="P76" i="75"/>
  <c r="I72" i="75"/>
  <c r="I834" i="94" s="1"/>
  <c r="B22" i="74"/>
  <c r="O173" i="75"/>
  <c r="P84" i="94" s="1"/>
  <c r="P93" i="94" s="1"/>
  <c r="P95" i="94" s="1"/>
  <c r="P98" i="94" s="1"/>
  <c r="B971" i="93"/>
  <c r="B972" i="93" s="1"/>
  <c r="B978" i="93" s="1"/>
  <c r="B1029" i="94"/>
  <c r="C14" i="74"/>
  <c r="C1029" i="94" s="1"/>
  <c r="H935" i="94"/>
  <c r="O935" i="94" s="1"/>
  <c r="B15" i="74"/>
  <c r="C53" i="84" s="1"/>
  <c r="H69" i="73"/>
  <c r="H1163" i="93" s="1"/>
  <c r="I49" i="75"/>
  <c r="I48" i="75"/>
  <c r="H20" i="84"/>
  <c r="C20" i="84"/>
  <c r="M69" i="73"/>
  <c r="M1163" i="93" s="1"/>
  <c r="P944" i="93"/>
  <c r="P945" i="93" s="1"/>
  <c r="M1227" i="94"/>
  <c r="G987" i="93"/>
  <c r="G991" i="93"/>
  <c r="G15" i="82"/>
  <c r="G19" i="82" s="1"/>
  <c r="J157" i="78"/>
  <c r="J158" i="78" s="1"/>
  <c r="P833" i="94"/>
  <c r="P1654" i="94"/>
  <c r="O916" i="94"/>
  <c r="J918" i="94"/>
  <c r="O918" i="94" s="1"/>
  <c r="F984" i="93"/>
  <c r="F986" i="93" s="1"/>
  <c r="F1045" i="94"/>
  <c r="G30" i="74"/>
  <c r="F53" i="82"/>
  <c r="I970" i="93"/>
  <c r="I977" i="93"/>
  <c r="I975" i="93"/>
  <c r="I971" i="93"/>
  <c r="J969" i="93"/>
  <c r="P834" i="94"/>
  <c r="P837" i="94"/>
  <c r="P835" i="94"/>
  <c r="O817" i="93"/>
  <c r="J819" i="93"/>
  <c r="O819" i="93" s="1"/>
  <c r="M1962" i="93"/>
  <c r="O1980" i="93"/>
  <c r="O1981" i="93" s="1"/>
  <c r="O1975" i="93"/>
  <c r="O1976" i="93" s="1"/>
  <c r="L1951" i="93"/>
  <c r="J1836" i="93"/>
  <c r="L1836" i="93" s="1"/>
  <c r="D570" i="93"/>
  <c r="N97" i="93"/>
  <c r="F560" i="93"/>
  <c r="O2075" i="94"/>
  <c r="O2076" i="94" s="1"/>
  <c r="E483" i="93"/>
  <c r="M1467" i="94"/>
  <c r="L1467" i="94" s="1"/>
  <c r="O1385" i="94"/>
  <c r="N1625" i="94"/>
  <c r="O2081" i="94"/>
  <c r="O2082" i="94" s="1"/>
  <c r="M1464" i="94"/>
  <c r="L1464" i="94" s="1"/>
  <c r="N110" i="94"/>
  <c r="M309" i="73"/>
  <c r="O227" i="73"/>
  <c r="J232" i="75"/>
  <c r="E492" i="94"/>
  <c r="N113" i="94"/>
  <c r="O427" i="72"/>
  <c r="O428" i="72" s="1"/>
  <c r="F569" i="94"/>
  <c r="J233" i="75"/>
  <c r="D134" i="78"/>
  <c r="D579" i="94"/>
  <c r="J231" i="75"/>
  <c r="F124" i="78"/>
  <c r="H293" i="72"/>
  <c r="M306" i="73"/>
  <c r="E78" i="78"/>
  <c r="C13" i="84"/>
  <c r="N467" i="73"/>
  <c r="E47" i="78"/>
  <c r="N90" i="66"/>
  <c r="O433" i="72"/>
  <c r="O434" i="72" s="1"/>
  <c r="N223" i="75"/>
  <c r="N87" i="66"/>
  <c r="N94" i="93"/>
  <c r="E523" i="94"/>
  <c r="N222" i="75"/>
  <c r="E514" i="93"/>
  <c r="J488" i="94"/>
  <c r="O227" i="75"/>
  <c r="O155" i="72"/>
  <c r="J43" i="78"/>
  <c r="J479" i="93"/>
  <c r="N470" i="73"/>
  <c r="O470" i="73" s="1"/>
  <c r="P228" i="75"/>
  <c r="M226" i="75" s="1"/>
  <c r="N1628" i="94"/>
  <c r="O1628" i="94" s="1"/>
  <c r="E1029" i="94"/>
  <c r="F1029" i="94"/>
  <c r="J829" i="94"/>
  <c r="O829" i="94" s="1"/>
  <c r="O827" i="94"/>
  <c r="F997" i="93"/>
  <c r="F1058" i="94"/>
  <c r="G43" i="74"/>
  <c r="J876" i="93"/>
  <c r="O876" i="93" s="1"/>
  <c r="O874" i="93"/>
  <c r="E993" i="93"/>
  <c r="E1054" i="94"/>
  <c r="F39" i="74"/>
  <c r="G10" i="86" s="1"/>
  <c r="I7" i="88"/>
  <c r="I13" i="88" s="1"/>
  <c r="H12" i="88"/>
  <c r="D34" i="90" s="1"/>
  <c r="P839" i="94"/>
  <c r="G992" i="93"/>
  <c r="K1606" i="93"/>
  <c r="O56" i="72"/>
  <c r="F1036" i="94"/>
  <c r="P836" i="94"/>
  <c r="H972" i="93"/>
  <c r="H978" i="93" s="1"/>
  <c r="O1000" i="94"/>
  <c r="O1001" i="94"/>
  <c r="P993" i="94" s="1"/>
  <c r="P1000" i="94"/>
  <c r="P1001" i="94" s="1"/>
  <c r="M993" i="94" s="1"/>
  <c r="F54" i="89"/>
  <c r="D33" i="90" s="1"/>
  <c r="L1606" i="93"/>
  <c r="P56" i="72"/>
  <c r="G21" i="74"/>
  <c r="H13" i="74"/>
  <c r="G23" i="74"/>
  <c r="G1038" i="94" s="1"/>
  <c r="G20" i="74"/>
  <c r="G1035" i="94" s="1"/>
  <c r="K52" i="84"/>
  <c r="J594" i="93"/>
  <c r="G1060" i="94"/>
  <c r="F1070" i="94"/>
  <c r="P838" i="94"/>
  <c r="E52" i="84" l="1"/>
  <c r="I52" i="84"/>
  <c r="P63" i="73"/>
  <c r="C13" i="86"/>
  <c r="G22" i="74"/>
  <c r="E22" i="74"/>
  <c r="B1037" i="94"/>
  <c r="F22" i="74"/>
  <c r="C22" i="74"/>
  <c r="D22" i="74"/>
  <c r="I66" i="84"/>
  <c r="P937" i="93"/>
  <c r="M937" i="93"/>
  <c r="K66" i="84"/>
  <c r="G66" i="84"/>
  <c r="C15" i="74"/>
  <c r="C1030" i="94" s="1"/>
  <c r="D15" i="74"/>
  <c r="D1030" i="94" s="1"/>
  <c r="E15" i="74"/>
  <c r="E1030" i="94" s="1"/>
  <c r="H15" i="74"/>
  <c r="H1030" i="94" s="1"/>
  <c r="F15" i="74"/>
  <c r="F1030" i="94" s="1"/>
  <c r="B1030" i="94"/>
  <c r="B16" i="74"/>
  <c r="K7" i="74" s="1"/>
  <c r="G15" i="74"/>
  <c r="G1030" i="94" s="1"/>
  <c r="B992" i="93"/>
  <c r="H987" i="93"/>
  <c r="H991" i="93"/>
  <c r="B986" i="93"/>
  <c r="B987" i="93"/>
  <c r="B991" i="93"/>
  <c r="G1036" i="94"/>
  <c r="K969" i="93"/>
  <c r="J975" i="93"/>
  <c r="J971" i="93"/>
  <c r="J970" i="93"/>
  <c r="J977" i="93"/>
  <c r="K470" i="73"/>
  <c r="N469" i="73"/>
  <c r="F52" i="89"/>
  <c r="F16" i="85"/>
  <c r="K19" i="88"/>
  <c r="D17" i="83"/>
  <c r="H19" i="84"/>
  <c r="C19" i="84"/>
  <c r="M1399" i="93"/>
  <c r="L1399" i="93" s="1"/>
  <c r="L309" i="73"/>
  <c r="P1606" i="93"/>
  <c r="P55" i="72"/>
  <c r="D55" i="92"/>
  <c r="D35" i="90"/>
  <c r="I64" i="92" s="1"/>
  <c r="H992" i="93"/>
  <c r="O1606" i="93"/>
  <c r="O1704" i="94"/>
  <c r="O55" i="72"/>
  <c r="I53" i="84"/>
  <c r="I54" i="84" s="1"/>
  <c r="G53" i="84"/>
  <c r="G54" i="84" s="1"/>
  <c r="E53" i="84"/>
  <c r="E54" i="84" s="1"/>
  <c r="K53" i="84"/>
  <c r="K54" i="84" s="1"/>
  <c r="K56" i="84" s="1"/>
  <c r="K64" i="84" s="1"/>
  <c r="K70" i="84" s="1"/>
  <c r="F993" i="93"/>
  <c r="F1054" i="94"/>
  <c r="G39" i="74"/>
  <c r="H10" i="86" s="1"/>
  <c r="J938" i="93"/>
  <c r="J939" i="93"/>
  <c r="J937" i="93"/>
  <c r="N929" i="93"/>
  <c r="O933" i="93"/>
  <c r="N928" i="93"/>
  <c r="I972" i="93"/>
  <c r="I978" i="93" s="1"/>
  <c r="G997" i="93"/>
  <c r="G1058" i="94"/>
  <c r="H43" i="74"/>
  <c r="O1709" i="93"/>
  <c r="O153" i="72"/>
  <c r="O1803" i="94"/>
  <c r="M1395" i="93"/>
  <c r="L1395" i="93" s="1"/>
  <c r="L306" i="73"/>
  <c r="G984" i="93"/>
  <c r="G986" i="93" s="1"/>
  <c r="G1045" i="94"/>
  <c r="G53" i="82"/>
  <c r="H30" i="74"/>
  <c r="J993" i="94"/>
  <c r="I811" i="94"/>
  <c r="J995" i="94"/>
  <c r="I810" i="94"/>
  <c r="N984" i="94"/>
  <c r="N985" i="94"/>
  <c r="J994" i="94"/>
  <c r="O989" i="94"/>
  <c r="G1070" i="94"/>
  <c r="H1060" i="94"/>
  <c r="H21" i="74"/>
  <c r="I13" i="74"/>
  <c r="H23" i="74"/>
  <c r="H1038" i="94" s="1"/>
  <c r="H20" i="74"/>
  <c r="H1035" i="94" s="1"/>
  <c r="H22" i="74"/>
  <c r="H14" i="74"/>
  <c r="C54" i="84"/>
  <c r="C56" i="84" s="1"/>
  <c r="C64" i="84" s="1"/>
  <c r="C70" i="84" s="1"/>
  <c r="J4" i="91"/>
  <c r="H1941" i="94"/>
  <c r="P293" i="72"/>
  <c r="O293" i="72"/>
  <c r="K1628" i="94"/>
  <c r="N1627" i="94"/>
  <c r="J603" i="94"/>
  <c r="A9" i="83"/>
  <c r="P1157" i="93" l="1"/>
  <c r="P1221" i="94"/>
  <c r="J607" i="94"/>
  <c r="J162" i="78"/>
  <c r="J163" i="78" s="1"/>
  <c r="K13" i="88"/>
  <c r="J598" i="93"/>
  <c r="E16" i="74"/>
  <c r="E1031" i="94" s="1"/>
  <c r="D16" i="74"/>
  <c r="D1031" i="94" s="1"/>
  <c r="I992" i="93"/>
  <c r="G16" i="74"/>
  <c r="G1031" i="94" s="1"/>
  <c r="F1037" i="94"/>
  <c r="G13" i="86"/>
  <c r="C16" i="74"/>
  <c r="C1031" i="94" s="1"/>
  <c r="D1037" i="94"/>
  <c r="E13" i="86"/>
  <c r="E1037" i="94"/>
  <c r="F13" i="86"/>
  <c r="C1037" i="94"/>
  <c r="D13" i="86"/>
  <c r="H13" i="86"/>
  <c r="G1037" i="94"/>
  <c r="K5" i="74"/>
  <c r="B1031" i="94"/>
  <c r="F16" i="74"/>
  <c r="F1031" i="94" s="1"/>
  <c r="B38" i="74"/>
  <c r="B1053" i="94" s="1"/>
  <c r="B19" i="74"/>
  <c r="I56" i="84"/>
  <c r="I64" i="84" s="1"/>
  <c r="I70" i="84" s="1"/>
  <c r="I76" i="84" s="1"/>
  <c r="I73" i="84" s="1"/>
  <c r="E38" i="74"/>
  <c r="E1053" i="94" s="1"/>
  <c r="I21" i="74"/>
  <c r="J13" i="74"/>
  <c r="I23" i="74"/>
  <c r="I1038" i="94" s="1"/>
  <c r="I20" i="74"/>
  <c r="I1035" i="94" s="1"/>
  <c r="I14" i="74"/>
  <c r="I22" i="74"/>
  <c r="I15" i="74"/>
  <c r="I1030" i="94" s="1"/>
  <c r="P1836" i="93"/>
  <c r="P277" i="72"/>
  <c r="E12" i="72"/>
  <c r="O1707" i="93"/>
  <c r="O1801" i="94"/>
  <c r="K235" i="72"/>
  <c r="H997" i="93"/>
  <c r="H1058" i="94"/>
  <c r="I43" i="74"/>
  <c r="I991" i="93"/>
  <c r="I987" i="93"/>
  <c r="O1605" i="93"/>
  <c r="O1703" i="94"/>
  <c r="O47" i="72"/>
  <c r="J972" i="93"/>
  <c r="J978" i="93" s="1"/>
  <c r="E56" i="84"/>
  <c r="E64" i="84" s="1"/>
  <c r="E70" i="84" s="1"/>
  <c r="G993" i="93"/>
  <c r="G1054" i="94"/>
  <c r="H39" i="74"/>
  <c r="I10" i="86" s="1"/>
  <c r="P1605" i="93"/>
  <c r="P47" i="72"/>
  <c r="I39" i="88"/>
  <c r="K38" i="88" s="1"/>
  <c r="K21" i="88"/>
  <c r="K30" i="88" s="1"/>
  <c r="K34" i="88" s="1"/>
  <c r="C72" i="84"/>
  <c r="C76" i="84"/>
  <c r="C73" i="84" s="1"/>
  <c r="I1060" i="94"/>
  <c r="H1070" i="94"/>
  <c r="H1037" i="94"/>
  <c r="I13" i="86"/>
  <c r="H984" i="93"/>
  <c r="H986" i="93" s="1"/>
  <c r="S981" i="93" s="1"/>
  <c r="H1045" i="94"/>
  <c r="H53" i="82"/>
  <c r="I30" i="74"/>
  <c r="H1036" i="94"/>
  <c r="H1029" i="94"/>
  <c r="H16" i="74"/>
  <c r="H1031" i="94" s="1"/>
  <c r="G56" i="84"/>
  <c r="G64" i="84" s="1"/>
  <c r="G70" i="84" s="1"/>
  <c r="K977" i="93"/>
  <c r="K975" i="93"/>
  <c r="K971" i="93"/>
  <c r="K970" i="93"/>
  <c r="B999" i="93"/>
  <c r="S975" i="93"/>
  <c r="S976" i="93"/>
  <c r="S980" i="93"/>
  <c r="S978" i="93"/>
  <c r="S979" i="93"/>
  <c r="S977" i="93"/>
  <c r="B37" i="74"/>
  <c r="B1052" i="94" s="1"/>
  <c r="B33" i="74"/>
  <c r="B1048" i="94" s="1"/>
  <c r="K72" i="84"/>
  <c r="K76" i="84"/>
  <c r="K73" i="84" s="1"/>
  <c r="O277" i="72"/>
  <c r="L229" i="72" s="1"/>
  <c r="L1877" i="94" s="1"/>
  <c r="O1941" i="94"/>
  <c r="O1836" i="93"/>
  <c r="J599" i="93"/>
  <c r="G162" i="78"/>
  <c r="J165" i="78"/>
  <c r="J167" i="78" s="1"/>
  <c r="J608" i="94"/>
  <c r="E19" i="74" l="1"/>
  <c r="E1034" i="94" s="1"/>
  <c r="D19" i="74"/>
  <c r="G38" i="74"/>
  <c r="G1053" i="94" s="1"/>
  <c r="G19" i="74"/>
  <c r="G1034" i="94" s="1"/>
  <c r="G1039" i="94" s="1"/>
  <c r="E1039" i="94"/>
  <c r="D38" i="74"/>
  <c r="D1053" i="94" s="1"/>
  <c r="C19" i="74"/>
  <c r="F38" i="74"/>
  <c r="F1053" i="94" s="1"/>
  <c r="C38" i="74"/>
  <c r="C1053" i="94" s="1"/>
  <c r="E24" i="74"/>
  <c r="E44" i="82" s="1"/>
  <c r="B1034" i="94"/>
  <c r="B1039" i="94" s="1"/>
  <c r="B24" i="74"/>
  <c r="F19" i="74"/>
  <c r="I72" i="84"/>
  <c r="J992" i="93"/>
  <c r="H19" i="74"/>
  <c r="H24" i="74" s="1"/>
  <c r="I1070" i="94"/>
  <c r="J1060" i="94"/>
  <c r="I984" i="93"/>
  <c r="I986" i="93" s="1"/>
  <c r="I1045" i="94"/>
  <c r="I53" i="82"/>
  <c r="J30" i="74"/>
  <c r="I1037" i="94"/>
  <c r="C33" i="86"/>
  <c r="F37" i="74"/>
  <c r="F1052" i="94" s="1"/>
  <c r="F33" i="74"/>
  <c r="F1048" i="94" s="1"/>
  <c r="G598" i="93"/>
  <c r="J601" i="93"/>
  <c r="J603" i="93" s="1"/>
  <c r="J605" i="93" s="1"/>
  <c r="J607" i="93" s="1"/>
  <c r="P1597" i="93"/>
  <c r="J987" i="93"/>
  <c r="J991" i="93"/>
  <c r="I1058" i="94"/>
  <c r="J43" i="74"/>
  <c r="I997" i="93"/>
  <c r="J23" i="74"/>
  <c r="J1038" i="94" s="1"/>
  <c r="J21" i="74"/>
  <c r="K13" i="74"/>
  <c r="J20" i="74"/>
  <c r="J1035" i="94" s="1"/>
  <c r="J14" i="74"/>
  <c r="J22" i="74"/>
  <c r="J15" i="74"/>
  <c r="J1030" i="94" s="1"/>
  <c r="O1824" i="93"/>
  <c r="K236" i="72"/>
  <c r="O1925" i="94"/>
  <c r="E72" i="84"/>
  <c r="E76" i="84"/>
  <c r="E73" i="84" s="1"/>
  <c r="J610" i="94"/>
  <c r="J612" i="94" s="1"/>
  <c r="J614" i="94" s="1"/>
  <c r="J616" i="94" s="1"/>
  <c r="G607" i="94"/>
  <c r="B15" i="82"/>
  <c r="J169" i="78"/>
  <c r="J171" i="78" s="1"/>
  <c r="G72" i="84"/>
  <c r="G76" i="84"/>
  <c r="G73" i="84" s="1"/>
  <c r="D1034" i="94"/>
  <c r="D1039" i="94" s="1"/>
  <c r="D24" i="74"/>
  <c r="P1824" i="93"/>
  <c r="L236" i="72"/>
  <c r="P189" i="72"/>
  <c r="I1036" i="94"/>
  <c r="K972" i="93"/>
  <c r="K978" i="93" s="1"/>
  <c r="K992" i="93"/>
  <c r="I1029" i="94"/>
  <c r="I16" i="74"/>
  <c r="I1031" i="94" s="1"/>
  <c r="O189" i="72"/>
  <c r="O448" i="72" s="1"/>
  <c r="C999" i="93"/>
  <c r="B1001" i="93"/>
  <c r="B1007" i="93"/>
  <c r="B1005" i="93"/>
  <c r="B1000" i="93"/>
  <c r="E37" i="74"/>
  <c r="E1052" i="94" s="1"/>
  <c r="E33" i="74"/>
  <c r="E1048" i="94" s="1"/>
  <c r="H38" i="74"/>
  <c r="H1053" i="94" s="1"/>
  <c r="H993" i="93"/>
  <c r="H1054" i="94"/>
  <c r="I39" i="74"/>
  <c r="O1597" i="93"/>
  <c r="R1597" i="93" s="1"/>
  <c r="O1695" i="94"/>
  <c r="R1695" i="94" s="1"/>
  <c r="R47" i="72"/>
  <c r="C1034" i="94"/>
  <c r="C1039" i="94" s="1"/>
  <c r="C24" i="74"/>
  <c r="G24" i="74" l="1"/>
  <c r="G32" i="74" s="1"/>
  <c r="E32" i="74"/>
  <c r="F1034" i="94"/>
  <c r="F1039" i="94" s="1"/>
  <c r="F24" i="74"/>
  <c r="B44" i="82"/>
  <c r="B32" i="74"/>
  <c r="G37" i="74"/>
  <c r="G1052" i="94" s="1"/>
  <c r="G33" i="74"/>
  <c r="G1048" i="94" s="1"/>
  <c r="H1034" i="94"/>
  <c r="H1039" i="94" s="1"/>
  <c r="G44" i="82"/>
  <c r="G46" i="82" s="1"/>
  <c r="I19" i="74"/>
  <c r="I1034" i="94" s="1"/>
  <c r="I1039" i="94" s="1"/>
  <c r="C1007" i="93"/>
  <c r="C1000" i="93"/>
  <c r="D999" i="93"/>
  <c r="C1005" i="93"/>
  <c r="C1001" i="93"/>
  <c r="G1047" i="94"/>
  <c r="H9" i="86"/>
  <c r="J1058" i="94"/>
  <c r="J997" i="93"/>
  <c r="K43" i="74"/>
  <c r="O2096" i="94"/>
  <c r="O1654" i="94" s="1"/>
  <c r="R1995" i="93"/>
  <c r="O6" i="72"/>
  <c r="J611" i="93"/>
  <c r="E535" i="93" s="1"/>
  <c r="J535" i="93" s="1"/>
  <c r="M609" i="93"/>
  <c r="P1743" i="93"/>
  <c r="P1995" i="93" s="1"/>
  <c r="L231" i="72"/>
  <c r="L1783" i="93" s="1"/>
  <c r="H32" i="74"/>
  <c r="H44" i="82"/>
  <c r="H37" i="74"/>
  <c r="H1052" i="94" s="1"/>
  <c r="H33" i="74"/>
  <c r="H1048" i="94" s="1"/>
  <c r="K987" i="93"/>
  <c r="K991" i="93"/>
  <c r="J1029" i="94"/>
  <c r="J16" i="74"/>
  <c r="J1031" i="94" s="1"/>
  <c r="S982" i="93"/>
  <c r="E13" i="72"/>
  <c r="K231" i="72"/>
  <c r="K1783" i="93" s="1"/>
  <c r="O1837" i="94"/>
  <c r="O1743" i="93"/>
  <c r="O1995" i="93" s="1"/>
  <c r="O1560" i="93" s="1"/>
  <c r="I993" i="93"/>
  <c r="I1054" i="94"/>
  <c r="J39" i="74"/>
  <c r="D30" i="86" s="1"/>
  <c r="J1070" i="94"/>
  <c r="K1060" i="94"/>
  <c r="J175" i="78"/>
  <c r="M173" i="78"/>
  <c r="J984" i="93"/>
  <c r="J986" i="93" s="1"/>
  <c r="J1045" i="94"/>
  <c r="J53" i="82"/>
  <c r="K30" i="74"/>
  <c r="J1037" i="94"/>
  <c r="D33" i="86"/>
  <c r="E1047" i="94"/>
  <c r="F9" i="86"/>
  <c r="D44" i="82"/>
  <c r="D32" i="74"/>
  <c r="D37" i="74"/>
  <c r="D1052" i="94" s="1"/>
  <c r="D33" i="74"/>
  <c r="D1048" i="94" s="1"/>
  <c r="E51" i="82"/>
  <c r="E46" i="82"/>
  <c r="C30" i="86"/>
  <c r="B1002" i="93"/>
  <c r="B1022" i="93" s="1"/>
  <c r="B45" i="74"/>
  <c r="K23" i="74"/>
  <c r="K1038" i="94" s="1"/>
  <c r="K21" i="74"/>
  <c r="K20" i="74"/>
  <c r="K1035" i="94" s="1"/>
  <c r="K22" i="74"/>
  <c r="K14" i="74"/>
  <c r="K15" i="74"/>
  <c r="K1030" i="94" s="1"/>
  <c r="M618" i="94"/>
  <c r="J620" i="94"/>
  <c r="E544" i="94" s="1"/>
  <c r="J544" i="94" s="1"/>
  <c r="C44" i="82"/>
  <c r="C32" i="74"/>
  <c r="C33" i="74"/>
  <c r="C1048" i="94" s="1"/>
  <c r="C37" i="74"/>
  <c r="C1052" i="94" s="1"/>
  <c r="I38" i="74"/>
  <c r="I1053" i="94" s="1"/>
  <c r="J1036" i="94"/>
  <c r="P448" i="72"/>
  <c r="B1008" i="93" l="1"/>
  <c r="G51" i="82"/>
  <c r="B1047" i="94"/>
  <c r="C9" i="86"/>
  <c r="C17" i="86" s="1"/>
  <c r="C18" i="86" s="1"/>
  <c r="C20" i="86" s="1"/>
  <c r="C24" i="86" s="1"/>
  <c r="K6" i="86" s="1"/>
  <c r="G66" i="86" s="1"/>
  <c r="N85" i="85" s="1"/>
  <c r="S20" i="74"/>
  <c r="B51" i="82"/>
  <c r="B46" i="82"/>
  <c r="F32" i="74"/>
  <c r="S26" i="74" s="1"/>
  <c r="F44" i="82"/>
  <c r="I24" i="74"/>
  <c r="I44" i="82" s="1"/>
  <c r="J19" i="74"/>
  <c r="J24" i="74" s="1"/>
  <c r="J38" i="74"/>
  <c r="J1053" i="94" s="1"/>
  <c r="K1037" i="94"/>
  <c r="E33" i="86"/>
  <c r="H17" i="86"/>
  <c r="H18" i="86" s="1"/>
  <c r="H20" i="86" s="1"/>
  <c r="H24" i="86" s="1"/>
  <c r="K11" i="86" s="1"/>
  <c r="L412" i="93"/>
  <c r="N412" i="93" s="1"/>
  <c r="L413" i="93"/>
  <c r="N413" i="93" s="1"/>
  <c r="I20" i="93"/>
  <c r="L427" i="94"/>
  <c r="N427" i="94" s="1"/>
  <c r="C21" i="86"/>
  <c r="M61" i="85"/>
  <c r="P61" i="85" s="1"/>
  <c r="I9" i="66"/>
  <c r="I32" i="94" s="1"/>
  <c r="L426" i="94"/>
  <c r="N426" i="94" s="1"/>
  <c r="E99" i="78"/>
  <c r="J99" i="78" s="1"/>
  <c r="L50" i="68"/>
  <c r="N50" i="68" s="1"/>
  <c r="L49" i="68"/>
  <c r="H46" i="82"/>
  <c r="H51" i="82"/>
  <c r="P1998" i="93"/>
  <c r="P1560" i="93"/>
  <c r="C51" i="82"/>
  <c r="C46" i="82"/>
  <c r="B1092" i="94"/>
  <c r="K1070" i="94"/>
  <c r="S983" i="93"/>
  <c r="H1047" i="94"/>
  <c r="I9" i="86"/>
  <c r="B53" i="74"/>
  <c r="C45" i="74"/>
  <c r="B55" i="74"/>
  <c r="B52" i="74"/>
  <c r="B1067" i="94" s="1"/>
  <c r="B54" i="74"/>
  <c r="B46" i="74"/>
  <c r="B47" i="74"/>
  <c r="B1062" i="94" s="1"/>
  <c r="P451" i="72"/>
  <c r="P6" i="72"/>
  <c r="D1047" i="94"/>
  <c r="E9" i="86"/>
  <c r="K984" i="93"/>
  <c r="K986" i="93" s="1"/>
  <c r="S986" i="93" s="1"/>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B62" i="74"/>
  <c r="K53" i="82"/>
  <c r="K1058" i="94"/>
  <c r="K997" i="93"/>
  <c r="B75" i="74"/>
  <c r="D1007" i="93"/>
  <c r="D1005" i="93"/>
  <c r="D1000" i="93"/>
  <c r="D1001" i="93"/>
  <c r="E999" i="93"/>
  <c r="C1047" i="94"/>
  <c r="D9" i="86"/>
  <c r="S22" i="74"/>
  <c r="S21" i="74"/>
  <c r="S24" i="74"/>
  <c r="F17" i="86"/>
  <c r="F18" i="86" s="1"/>
  <c r="F20" i="86" s="1"/>
  <c r="F24" i="86" s="1"/>
  <c r="K9" i="86" s="1"/>
  <c r="K1036" i="94"/>
  <c r="D51" i="82"/>
  <c r="D46" i="82"/>
  <c r="J993" i="93"/>
  <c r="J1054" i="94"/>
  <c r="K39" i="74"/>
  <c r="E30" i="86" s="1"/>
  <c r="C1002" i="93"/>
  <c r="C1008" i="93" s="1"/>
  <c r="C1022" i="93"/>
  <c r="K1029" i="94"/>
  <c r="K16" i="74"/>
  <c r="K1031" i="94" s="1"/>
  <c r="B1021" i="93"/>
  <c r="B1017" i="93"/>
  <c r="I33" i="74"/>
  <c r="I1048" i="94" s="1"/>
  <c r="I37" i="74"/>
  <c r="I1052" i="94" s="1"/>
  <c r="S25" i="74" l="1"/>
  <c r="F46" i="82"/>
  <c r="F51" i="82"/>
  <c r="F1047" i="94"/>
  <c r="G9" i="86"/>
  <c r="G17" i="86" s="1"/>
  <c r="G18" i="86" s="1"/>
  <c r="G20" i="86" s="1"/>
  <c r="G24" i="86" s="1"/>
  <c r="K10" i="86" s="1"/>
  <c r="J1034" i="94"/>
  <c r="J1039" i="94" s="1"/>
  <c r="S27" i="74"/>
  <c r="I32" i="74"/>
  <c r="C29" i="86" s="1"/>
  <c r="S984" i="93"/>
  <c r="K38" i="74"/>
  <c r="K1053" i="94" s="1"/>
  <c r="C1017" i="93"/>
  <c r="C1021" i="93"/>
  <c r="B14" i="82"/>
  <c r="N49" i="68"/>
  <c r="E1007" i="93"/>
  <c r="E1001" i="93"/>
  <c r="E1000" i="93"/>
  <c r="F999" i="93"/>
  <c r="E1005" i="93"/>
  <c r="K19" i="74"/>
  <c r="K993" i="93"/>
  <c r="K1054" i="94"/>
  <c r="B71" i="74"/>
  <c r="J32" i="74"/>
  <c r="J44" i="82"/>
  <c r="J33" i="74"/>
  <c r="J1048" i="94" s="1"/>
  <c r="J37" i="74"/>
  <c r="J1052" i="94" s="1"/>
  <c r="D1002" i="93"/>
  <c r="D1008" i="93" s="1"/>
  <c r="B1014" i="93"/>
  <c r="B1016" i="93" s="1"/>
  <c r="C62" i="74"/>
  <c r="B73" i="82"/>
  <c r="B1069" i="94"/>
  <c r="F33" i="86"/>
  <c r="I17" i="86"/>
  <c r="I18" i="86" s="1"/>
  <c r="I20" i="86" s="1"/>
  <c r="I24" i="86" s="1"/>
  <c r="K12" i="86" s="1"/>
  <c r="B1061" i="94"/>
  <c r="B48" i="74"/>
  <c r="B1063" i="94" s="1"/>
  <c r="I46" i="82"/>
  <c r="I51" i="82"/>
  <c r="D17" i="86"/>
  <c r="D18" i="86" s="1"/>
  <c r="D20" i="86" s="1"/>
  <c r="D24" i="86" s="1"/>
  <c r="K7" i="86" s="1"/>
  <c r="B1027" i="93"/>
  <c r="B1090" i="94"/>
  <c r="C75" i="74"/>
  <c r="E17" i="86"/>
  <c r="E18" i="86" s="1"/>
  <c r="E20" i="86" s="1"/>
  <c r="E24" i="86" s="1"/>
  <c r="K8" i="86" s="1"/>
  <c r="C22" i="86"/>
  <c r="C42" i="86" s="1"/>
  <c r="D42" i="86" s="1"/>
  <c r="E42" i="86" s="1"/>
  <c r="C41" i="86"/>
  <c r="D41" i="86" s="1"/>
  <c r="E41" i="86" s="1"/>
  <c r="D21" i="86"/>
  <c r="C55" i="74"/>
  <c r="C53" i="74"/>
  <c r="D45" i="74"/>
  <c r="C52" i="74"/>
  <c r="C1067" i="94" s="1"/>
  <c r="C54" i="74"/>
  <c r="C46" i="74"/>
  <c r="C47" i="74"/>
  <c r="C1062" i="94" s="1"/>
  <c r="B1068" i="94"/>
  <c r="C1092" i="94"/>
  <c r="B1102" i="94"/>
  <c r="I1047" i="94" l="1"/>
  <c r="S28" i="74"/>
  <c r="D1022" i="93"/>
  <c r="D1021" i="93"/>
  <c r="D1017" i="93"/>
  <c r="E1002" i="93"/>
  <c r="E1022" i="93" s="1"/>
  <c r="B1023" i="93"/>
  <c r="B1086" i="94"/>
  <c r="C71" i="74"/>
  <c r="D55" i="74"/>
  <c r="E45" i="74"/>
  <c r="D53" i="74"/>
  <c r="D52" i="74"/>
  <c r="D1067" i="94" s="1"/>
  <c r="D46" i="74"/>
  <c r="D54" i="74"/>
  <c r="D47" i="74"/>
  <c r="D1062" i="94" s="1"/>
  <c r="B51" i="74"/>
  <c r="C37" i="86"/>
  <c r="C38" i="86" s="1"/>
  <c r="C40" i="86" s="1"/>
  <c r="C44" i="86" s="1"/>
  <c r="K13" i="86" s="1"/>
  <c r="F30" i="86"/>
  <c r="C1102" i="94"/>
  <c r="D1092" i="94"/>
  <c r="C1069" i="94"/>
  <c r="G33" i="86"/>
  <c r="K1034" i="94"/>
  <c r="K1039" i="94" s="1"/>
  <c r="K24" i="74"/>
  <c r="C1068" i="94"/>
  <c r="B70" i="74"/>
  <c r="B1085" i="94" s="1"/>
  <c r="C1027" i="93"/>
  <c r="C1090" i="94"/>
  <c r="D75" i="74"/>
  <c r="B20" i="82"/>
  <c r="B21" i="82" s="1"/>
  <c r="G20" i="82"/>
  <c r="E21" i="86"/>
  <c r="D22" i="86"/>
  <c r="C1014" i="93"/>
  <c r="C1016" i="93" s="1"/>
  <c r="D62" i="74"/>
  <c r="C73" i="82"/>
  <c r="J46" i="82"/>
  <c r="J51" i="82"/>
  <c r="S985" i="93"/>
  <c r="J1047" i="94"/>
  <c r="D29" i="86"/>
  <c r="S29" i="74"/>
  <c r="F1005" i="93"/>
  <c r="F1001" i="93"/>
  <c r="F1000" i="93"/>
  <c r="G999" i="93"/>
  <c r="F1007" i="93"/>
  <c r="C1061" i="94"/>
  <c r="C48" i="74"/>
  <c r="C1063" i="94" s="1"/>
  <c r="E1008" i="93" l="1"/>
  <c r="D1027" i="93"/>
  <c r="D1090" i="94"/>
  <c r="E75" i="74"/>
  <c r="D1014" i="93"/>
  <c r="D1016" i="93" s="1"/>
  <c r="D73" i="82"/>
  <c r="E62" i="74"/>
  <c r="C1023" i="93"/>
  <c r="C1086" i="94"/>
  <c r="D71" i="74"/>
  <c r="E1017" i="93"/>
  <c r="E1021" i="93"/>
  <c r="D37" i="86"/>
  <c r="D38" i="86" s="1"/>
  <c r="D40" i="86" s="1"/>
  <c r="D44" i="86" s="1"/>
  <c r="K14" i="86" s="1"/>
  <c r="G30" i="86"/>
  <c r="B1066" i="94"/>
  <c r="B1071" i="94" s="1"/>
  <c r="B56" i="74"/>
  <c r="C51" i="74"/>
  <c r="E1092" i="94"/>
  <c r="D1102" i="94"/>
  <c r="D1069" i="94"/>
  <c r="H33" i="86"/>
  <c r="C70" i="74"/>
  <c r="C1085" i="94" s="1"/>
  <c r="D1061" i="94"/>
  <c r="D48" i="74"/>
  <c r="D1063" i="94" s="1"/>
  <c r="F1002" i="93"/>
  <c r="F1008" i="93" s="1"/>
  <c r="F1022" i="93"/>
  <c r="K44" i="82"/>
  <c r="K32" i="74"/>
  <c r="K33" i="74"/>
  <c r="K1048" i="94" s="1"/>
  <c r="K37" i="74"/>
  <c r="K1052" i="94" s="1"/>
  <c r="D1068" i="94"/>
  <c r="E22" i="86"/>
  <c r="F21" i="86"/>
  <c r="G1005" i="93"/>
  <c r="G1001" i="93"/>
  <c r="G1007" i="93"/>
  <c r="G1000" i="93"/>
  <c r="H999" i="93"/>
  <c r="E55" i="74"/>
  <c r="F45" i="74"/>
  <c r="E53" i="74"/>
  <c r="E52" i="74"/>
  <c r="E1067" i="94" s="1"/>
  <c r="E46" i="74"/>
  <c r="E54" i="74"/>
  <c r="E47" i="74"/>
  <c r="E1062" i="94" s="1"/>
  <c r="D70" i="74" l="1"/>
  <c r="D1085" i="94" s="1"/>
  <c r="F1021" i="93"/>
  <c r="F1017" i="93"/>
  <c r="H1001" i="93"/>
  <c r="H1000" i="93"/>
  <c r="I999" i="93"/>
  <c r="H1007" i="93"/>
  <c r="H1005" i="93"/>
  <c r="E1014" i="93"/>
  <c r="E1016" i="93" s="1"/>
  <c r="S988" i="93" s="1"/>
  <c r="E73" i="82"/>
  <c r="F62" i="74"/>
  <c r="E1102" i="94"/>
  <c r="F1092" i="94"/>
  <c r="G1002" i="93"/>
  <c r="G1008" i="93" s="1"/>
  <c r="E1069" i="94"/>
  <c r="I33" i="86"/>
  <c r="D51" i="74"/>
  <c r="C1066" i="94"/>
  <c r="C1071" i="94" s="1"/>
  <c r="C56" i="74"/>
  <c r="S987" i="93"/>
  <c r="E1061" i="94"/>
  <c r="E48" i="74"/>
  <c r="E1063" i="94" s="1"/>
  <c r="K1047" i="94"/>
  <c r="E29" i="86"/>
  <c r="S30" i="74"/>
  <c r="B64" i="82"/>
  <c r="B64" i="74"/>
  <c r="B65" i="74"/>
  <c r="B1080" i="94" s="1"/>
  <c r="B69" i="74"/>
  <c r="B1084" i="94" s="1"/>
  <c r="F75" i="74"/>
  <c r="E1090" i="94"/>
  <c r="E1027" i="93"/>
  <c r="F55" i="74"/>
  <c r="F53" i="74"/>
  <c r="G45" i="74"/>
  <c r="F52" i="74"/>
  <c r="F1067" i="94" s="1"/>
  <c r="F46" i="74"/>
  <c r="F54" i="74"/>
  <c r="F47" i="74"/>
  <c r="F1062" i="94" s="1"/>
  <c r="K51" i="82"/>
  <c r="K46" i="82"/>
  <c r="B25" i="82" s="1"/>
  <c r="D1023" i="93"/>
  <c r="D1086" i="94"/>
  <c r="E71" i="74"/>
  <c r="I30" i="86" s="1"/>
  <c r="E1068" i="94"/>
  <c r="G21" i="86"/>
  <c r="F22" i="86"/>
  <c r="H30" i="86"/>
  <c r="G1022" i="93" l="1"/>
  <c r="E51" i="74"/>
  <c r="E56" i="74" s="1"/>
  <c r="E70" i="74"/>
  <c r="E1085" i="94" s="1"/>
  <c r="G1021" i="93"/>
  <c r="G1017" i="93"/>
  <c r="I1005" i="93"/>
  <c r="I1001" i="93"/>
  <c r="I1000" i="93"/>
  <c r="J999" i="93"/>
  <c r="I1007" i="93"/>
  <c r="B1079" i="94"/>
  <c r="F29" i="86"/>
  <c r="S31" i="74"/>
  <c r="C64" i="74"/>
  <c r="S32" i="74" s="1"/>
  <c r="C64" i="82"/>
  <c r="C65" i="74"/>
  <c r="C1080" i="94" s="1"/>
  <c r="C69" i="74"/>
  <c r="C1084" i="94" s="1"/>
  <c r="F1102" i="94"/>
  <c r="G1092" i="94"/>
  <c r="H1002" i="93"/>
  <c r="H1008" i="93" s="1"/>
  <c r="H45" i="74"/>
  <c r="G53" i="74"/>
  <c r="G55" i="74"/>
  <c r="G52" i="74"/>
  <c r="G1067" i="94" s="1"/>
  <c r="G54" i="74"/>
  <c r="G46" i="74"/>
  <c r="G47" i="74"/>
  <c r="G1062" i="94" s="1"/>
  <c r="B66" i="82"/>
  <c r="B71" i="82"/>
  <c r="E37" i="86"/>
  <c r="E38" i="86" s="1"/>
  <c r="E40" i="86" s="1"/>
  <c r="E44" i="86" s="1"/>
  <c r="K15" i="86" s="1"/>
  <c r="F1068" i="94"/>
  <c r="H21" i="86"/>
  <c r="G22" i="86"/>
  <c r="F1069" i="94"/>
  <c r="C53" i="86"/>
  <c r="F1090" i="94"/>
  <c r="F1027" i="93"/>
  <c r="G75" i="74"/>
  <c r="D1066" i="94"/>
  <c r="D1071" i="94" s="1"/>
  <c r="D56" i="74"/>
  <c r="F1014" i="93"/>
  <c r="F1016" i="93" s="1"/>
  <c r="F73" i="82"/>
  <c r="G62" i="74"/>
  <c r="F72" i="82"/>
  <c r="K52" i="82"/>
  <c r="K54" i="82" s="1"/>
  <c r="C52" i="82"/>
  <c r="C54" i="82" s="1"/>
  <c r="E72" i="82"/>
  <c r="J52" i="82"/>
  <c r="J54" i="82" s="1"/>
  <c r="B52" i="82"/>
  <c r="B54" i="82" s="1"/>
  <c r="D72" i="82"/>
  <c r="I52" i="82"/>
  <c r="I54" i="82" s="1"/>
  <c r="B26" i="82"/>
  <c r="B72" i="82"/>
  <c r="H52" i="82"/>
  <c r="H54" i="82" s="1"/>
  <c r="G52" i="82"/>
  <c r="G54" i="82" s="1"/>
  <c r="H72" i="82"/>
  <c r="K72" i="82"/>
  <c r="F52" i="82"/>
  <c r="F54" i="82" s="1"/>
  <c r="J72" i="82"/>
  <c r="E52" i="82"/>
  <c r="E54" i="82" s="1"/>
  <c r="G72" i="82"/>
  <c r="I72" i="82"/>
  <c r="D52" i="82"/>
  <c r="D54" i="82" s="1"/>
  <c r="C72" i="82"/>
  <c r="E1023" i="93"/>
  <c r="E1086" i="94"/>
  <c r="F71" i="74"/>
  <c r="F1061" i="94"/>
  <c r="F48" i="74"/>
  <c r="F1063" i="94" s="1"/>
  <c r="H1022" i="93" l="1"/>
  <c r="E1066" i="94"/>
  <c r="E1071" i="94" s="1"/>
  <c r="H1021" i="93"/>
  <c r="H1017" i="93"/>
  <c r="S989" i="93"/>
  <c r="K55" i="82"/>
  <c r="K56" i="82" s="1"/>
  <c r="G1068" i="94"/>
  <c r="I1002" i="93"/>
  <c r="I1022" i="93" s="1"/>
  <c r="E55" i="82"/>
  <c r="E56" i="82" s="1"/>
  <c r="J55" i="82"/>
  <c r="J56" i="82" s="1"/>
  <c r="D64" i="74"/>
  <c r="D64" i="82"/>
  <c r="D69" i="74"/>
  <c r="D1084" i="94" s="1"/>
  <c r="D65" i="74"/>
  <c r="D1080" i="94" s="1"/>
  <c r="B74" i="82"/>
  <c r="I45" i="74"/>
  <c r="H53" i="74"/>
  <c r="H55" i="74"/>
  <c r="H52" i="74"/>
  <c r="H1067" i="94" s="1"/>
  <c r="H46" i="74"/>
  <c r="H54" i="74"/>
  <c r="H47" i="74"/>
  <c r="H1062" i="94" s="1"/>
  <c r="C66" i="82"/>
  <c r="C71" i="82"/>
  <c r="C74" i="82" s="1"/>
  <c r="I55" i="82"/>
  <c r="I56" i="82" s="1"/>
  <c r="G55" i="82"/>
  <c r="G56" i="82" s="1"/>
  <c r="I21" i="86"/>
  <c r="I22" i="86" s="1"/>
  <c r="H22" i="86"/>
  <c r="C1079" i="94"/>
  <c r="G29" i="86"/>
  <c r="B9" i="82"/>
  <c r="B10" i="82" s="1"/>
  <c r="B11"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G1014" i="93"/>
  <c r="G1016" i="93" s="1"/>
  <c r="S990" i="93" s="1"/>
  <c r="H62" i="74"/>
  <c r="G73" i="82"/>
  <c r="C55" i="82"/>
  <c r="C56" i="82" s="1"/>
  <c r="F70" i="74"/>
  <c r="F1085" i="94" s="1"/>
  <c r="F1023" i="93"/>
  <c r="F1086" i="94"/>
  <c r="G71" i="74"/>
  <c r="D50" i="86" s="1"/>
  <c r="H1092" i="94"/>
  <c r="G1102" i="94"/>
  <c r="B55" i="82"/>
  <c r="B56" i="82" s="1"/>
  <c r="D55" i="82"/>
  <c r="D56" i="82" s="1"/>
  <c r="F51" i="74"/>
  <c r="H55" i="82"/>
  <c r="H56" i="82" s="1"/>
  <c r="G1090" i="94"/>
  <c r="G1027" i="93"/>
  <c r="G1061" i="94"/>
  <c r="G48" i="74"/>
  <c r="G1063" i="94" s="1"/>
  <c r="F37" i="86"/>
  <c r="F38" i="86" s="1"/>
  <c r="F40" i="86" s="1"/>
  <c r="F44" i="86" s="1"/>
  <c r="K16" i="86" s="1"/>
  <c r="G1069" i="94"/>
  <c r="D53" i="86"/>
  <c r="C50" i="86"/>
  <c r="E64" i="74"/>
  <c r="E64" i="82"/>
  <c r="E65" i="74"/>
  <c r="E1080" i="94" s="1"/>
  <c r="E69" i="74"/>
  <c r="E1084" i="94" s="1"/>
  <c r="F55" i="82"/>
  <c r="F56" i="82" s="1"/>
  <c r="K999" i="93"/>
  <c r="J1001" i="93"/>
  <c r="J1000" i="93"/>
  <c r="J1007" i="93"/>
  <c r="J1005" i="93"/>
  <c r="G51" i="74" l="1"/>
  <c r="G1066" i="94" s="1"/>
  <c r="G1071" i="94" s="1"/>
  <c r="G70" i="74"/>
  <c r="G1085" i="94" s="1"/>
  <c r="S34" i="74"/>
  <c r="H1061" i="94"/>
  <c r="H48" i="74"/>
  <c r="H1063" i="94" s="1"/>
  <c r="G1023" i="93"/>
  <c r="G1086" i="94"/>
  <c r="H71" i="74"/>
  <c r="H1014" i="93"/>
  <c r="H1016" i="93" s="1"/>
  <c r="H73" i="82"/>
  <c r="I62" i="74"/>
  <c r="K1007" i="93"/>
  <c r="B1029" i="93"/>
  <c r="K1005" i="93"/>
  <c r="K1000" i="93"/>
  <c r="K1001" i="93"/>
  <c r="I1008" i="93"/>
  <c r="I1092" i="94"/>
  <c r="H1102" i="94"/>
  <c r="F1066" i="94"/>
  <c r="F1071" i="94" s="1"/>
  <c r="F56" i="74"/>
  <c r="H1068" i="94"/>
  <c r="D57" i="86"/>
  <c r="D58" i="86" s="1"/>
  <c r="D60" i="86" s="1"/>
  <c r="D64" i="86" s="1"/>
  <c r="K21" i="86" s="1"/>
  <c r="B29" i="82"/>
  <c r="G21" i="82"/>
  <c r="G37" i="86"/>
  <c r="G38" i="86" s="1"/>
  <c r="G40" i="86" s="1"/>
  <c r="G44" i="86" s="1"/>
  <c r="K17" i="86" s="1"/>
  <c r="C75" i="82"/>
  <c r="C76" i="82" s="1"/>
  <c r="J45" i="74"/>
  <c r="I53" i="74"/>
  <c r="I55" i="74"/>
  <c r="I52" i="74"/>
  <c r="I1067" i="94" s="1"/>
  <c r="I54" i="74"/>
  <c r="I46" i="74"/>
  <c r="I47" i="74"/>
  <c r="I1062" i="94" s="1"/>
  <c r="H1069" i="94"/>
  <c r="E53" i="86"/>
  <c r="B75" i="82"/>
  <c r="B76" i="82" s="1"/>
  <c r="D66" i="82"/>
  <c r="D71" i="82"/>
  <c r="D74" i="82" s="1"/>
  <c r="E66" i="82"/>
  <c r="E71" i="82"/>
  <c r="E74" i="82" s="1"/>
  <c r="J1002" i="93"/>
  <c r="J1008" i="93" s="1"/>
  <c r="J1022" i="93"/>
  <c r="E1079" i="94"/>
  <c r="I29" i="86"/>
  <c r="D1079" i="94"/>
  <c r="H29" i="86"/>
  <c r="S33" i="74"/>
  <c r="G56" i="74" l="1"/>
  <c r="G64" i="74" s="1"/>
  <c r="H51" i="74"/>
  <c r="H56" i="74" s="1"/>
  <c r="D75" i="82"/>
  <c r="D76" i="82" s="1"/>
  <c r="I1014" i="93"/>
  <c r="I1016" i="93" s="1"/>
  <c r="S992" i="93" s="1"/>
  <c r="J62" i="74"/>
  <c r="I73" i="82"/>
  <c r="J1092" i="94"/>
  <c r="I1102" i="94"/>
  <c r="I1017" i="93"/>
  <c r="I1021" i="93"/>
  <c r="S991" i="93"/>
  <c r="I1061" i="94"/>
  <c r="I48" i="74"/>
  <c r="I1063" i="94" s="1"/>
  <c r="I1069" i="94"/>
  <c r="F53" i="86"/>
  <c r="J1021" i="93"/>
  <c r="J1017" i="93"/>
  <c r="H70" i="74"/>
  <c r="H1085" i="94" s="1"/>
  <c r="H37" i="86"/>
  <c r="H38" i="86" s="1"/>
  <c r="H40" i="86" s="1"/>
  <c r="H44" i="86" s="1"/>
  <c r="K18" i="86" s="1"/>
  <c r="I37" i="86"/>
  <c r="I38" i="86" s="1"/>
  <c r="I40" i="86" s="1"/>
  <c r="I44" i="86" s="1"/>
  <c r="K19" i="86" s="1"/>
  <c r="I1068" i="94"/>
  <c r="H1023" i="93"/>
  <c r="H1086" i="94"/>
  <c r="I71" i="74"/>
  <c r="F50" i="86" s="1"/>
  <c r="G69" i="74"/>
  <c r="G1084" i="94" s="1"/>
  <c r="G65" i="74"/>
  <c r="G1080" i="94" s="1"/>
  <c r="J53" i="74"/>
  <c r="K45" i="74"/>
  <c r="J55" i="74"/>
  <c r="J52" i="74"/>
  <c r="J1067" i="94" s="1"/>
  <c r="J54" i="74"/>
  <c r="J46" i="74"/>
  <c r="J47" i="74"/>
  <c r="J1062" i="94" s="1"/>
  <c r="K1002" i="93"/>
  <c r="K1008" i="93" s="1"/>
  <c r="K1022" i="93"/>
  <c r="E50" i="86"/>
  <c r="E57" i="86" s="1"/>
  <c r="E58" i="86" s="1"/>
  <c r="E60" i="86" s="1"/>
  <c r="E64" i="86" s="1"/>
  <c r="K22" i="86" s="1"/>
  <c r="E75" i="82"/>
  <c r="E76" i="82" s="1"/>
  <c r="F64" i="82"/>
  <c r="F64" i="74"/>
  <c r="F69" i="74"/>
  <c r="F1084" i="94" s="1"/>
  <c r="F65" i="74"/>
  <c r="F1080" i="94" s="1"/>
  <c r="B1037" i="93"/>
  <c r="B1031" i="93"/>
  <c r="B1030" i="93"/>
  <c r="C1029" i="93"/>
  <c r="B1035" i="93"/>
  <c r="H1066" i="94" l="1"/>
  <c r="H1071" i="94" s="1"/>
  <c r="G64" i="82"/>
  <c r="G66" i="82" s="1"/>
  <c r="I51" i="74"/>
  <c r="I1066" i="94" s="1"/>
  <c r="I1071" i="94" s="1"/>
  <c r="F57" i="86"/>
  <c r="F58" i="86" s="1"/>
  <c r="F60" i="86" s="1"/>
  <c r="F64" i="86" s="1"/>
  <c r="K23" i="86" s="1"/>
  <c r="K1017" i="93"/>
  <c r="K1021" i="93"/>
  <c r="J1061" i="94"/>
  <c r="J48" i="74"/>
  <c r="J1063" i="94" s="1"/>
  <c r="C1031" i="93"/>
  <c r="C1030" i="93"/>
  <c r="D1029" i="93"/>
  <c r="C1037" i="93"/>
  <c r="C1035" i="93"/>
  <c r="J1069" i="94"/>
  <c r="G53" i="86"/>
  <c r="K1092" i="94"/>
  <c r="J1102" i="94"/>
  <c r="B1032" i="93"/>
  <c r="B1051" i="93" s="1"/>
  <c r="I1023" i="93"/>
  <c r="I1086" i="94"/>
  <c r="J71" i="74"/>
  <c r="G50" i="86" s="1"/>
  <c r="J1068" i="94"/>
  <c r="J1014" i="93"/>
  <c r="J1016" i="93" s="1"/>
  <c r="S993" i="93" s="1"/>
  <c r="K62" i="74"/>
  <c r="J73" i="82"/>
  <c r="H64" i="82"/>
  <c r="H64" i="74"/>
  <c r="H1079" i="94" s="1"/>
  <c r="H65" i="74"/>
  <c r="H1080" i="94" s="1"/>
  <c r="H69" i="74"/>
  <c r="H1084" i="94" s="1"/>
  <c r="I70" i="74"/>
  <c r="I1085" i="94" s="1"/>
  <c r="K53" i="74"/>
  <c r="K55" i="74"/>
  <c r="B77" i="74"/>
  <c r="K52" i="74"/>
  <c r="K1067" i="94" s="1"/>
  <c r="K54" i="74"/>
  <c r="K46" i="74"/>
  <c r="K47" i="74"/>
  <c r="K1062" i="94" s="1"/>
  <c r="F1079" i="94"/>
  <c r="C49" i="86"/>
  <c r="S35" i="74"/>
  <c r="F45" i="68" s="1"/>
  <c r="F71" i="82"/>
  <c r="F74" i="82" s="1"/>
  <c r="F66" i="82"/>
  <c r="G1079" i="94"/>
  <c r="S36" i="74"/>
  <c r="I56" i="74" l="1"/>
  <c r="I64" i="74" s="1"/>
  <c r="G57" i="86"/>
  <c r="G58" i="86" s="1"/>
  <c r="G60" i="86" s="1"/>
  <c r="G64" i="86" s="1"/>
  <c r="K24" i="86" s="1"/>
  <c r="G71" i="82"/>
  <c r="G74" i="82" s="1"/>
  <c r="G75" i="82" s="1"/>
  <c r="G76" i="82" s="1"/>
  <c r="J51" i="74"/>
  <c r="J1066" i="94" s="1"/>
  <c r="J1071" i="94" s="1"/>
  <c r="S37" i="74"/>
  <c r="H71" i="82"/>
  <c r="H74" i="82" s="1"/>
  <c r="H66" i="82"/>
  <c r="J1023" i="93"/>
  <c r="J1086" i="94"/>
  <c r="K71" i="74"/>
  <c r="K1102" i="94"/>
  <c r="B1122" i="94"/>
  <c r="C1032" i="93"/>
  <c r="C1051" i="93" s="1"/>
  <c r="K1014" i="93"/>
  <c r="K1016" i="93" s="1"/>
  <c r="S994" i="93" s="1"/>
  <c r="K73" i="82"/>
  <c r="B94" i="74"/>
  <c r="C57" i="86"/>
  <c r="C58" i="86" s="1"/>
  <c r="C60" i="86" s="1"/>
  <c r="C64" i="86" s="1"/>
  <c r="K20" i="86" s="1"/>
  <c r="K1069" i="94"/>
  <c r="H53" i="86"/>
  <c r="L45" i="68"/>
  <c r="F422" i="94"/>
  <c r="F407" i="93"/>
  <c r="J70" i="74"/>
  <c r="J1085" i="94" s="1"/>
  <c r="B1038" i="93"/>
  <c r="K1068" i="94"/>
  <c r="D1035" i="93"/>
  <c r="D1031" i="93"/>
  <c r="D1030" i="93"/>
  <c r="E1029" i="93"/>
  <c r="D1037" i="93"/>
  <c r="B87" i="74"/>
  <c r="B85" i="74"/>
  <c r="C77" i="74"/>
  <c r="B84" i="74"/>
  <c r="B1099" i="94" s="1"/>
  <c r="B86" i="74"/>
  <c r="B1101" i="94" s="1"/>
  <c r="B78" i="74"/>
  <c r="B79" i="74"/>
  <c r="B1094" i="94" s="1"/>
  <c r="K1061" i="94"/>
  <c r="K48" i="74"/>
  <c r="K1063" i="94" s="1"/>
  <c r="I65" i="74"/>
  <c r="I1080" i="94" s="1"/>
  <c r="I69" i="74"/>
  <c r="I1084" i="94" s="1"/>
  <c r="F75" i="82"/>
  <c r="F76" i="82" s="1"/>
  <c r="I64" i="82" l="1"/>
  <c r="I71" i="82" s="1"/>
  <c r="I74" i="82" s="1"/>
  <c r="J56" i="74"/>
  <c r="J64" i="82" s="1"/>
  <c r="C1038" i="93"/>
  <c r="K51" i="74"/>
  <c r="K56" i="74" s="1"/>
  <c r="K70" i="74"/>
  <c r="K1085" i="94" s="1"/>
  <c r="J65" i="74"/>
  <c r="J1080" i="94" s="1"/>
  <c r="J69" i="74"/>
  <c r="J1084" i="94" s="1"/>
  <c r="C1122" i="94"/>
  <c r="B1132" i="94"/>
  <c r="K1023" i="93"/>
  <c r="K1086" i="94"/>
  <c r="O8" i="86"/>
  <c r="O14" i="86" s="1"/>
  <c r="O33" i="86" s="1"/>
  <c r="H63" i="86" s="1"/>
  <c r="L63" i="85"/>
  <c r="C85" i="90"/>
  <c r="L93" i="85"/>
  <c r="B102" i="74"/>
  <c r="H50" i="86"/>
  <c r="H57" i="86" s="1"/>
  <c r="H58" i="86" s="1"/>
  <c r="H60" i="86" s="1"/>
  <c r="H64" i="86" s="1"/>
  <c r="K25" i="86" s="1"/>
  <c r="E1030" i="93"/>
  <c r="F1029" i="93"/>
  <c r="E1037" i="93"/>
  <c r="E1035" i="93"/>
  <c r="E1031" i="93"/>
  <c r="C1046" i="93"/>
  <c r="C1050" i="93"/>
  <c r="D1032" i="93"/>
  <c r="D1038" i="93" s="1"/>
  <c r="I1079" i="94"/>
  <c r="S38" i="74"/>
  <c r="C87" i="74"/>
  <c r="C85" i="74"/>
  <c r="D77" i="74"/>
  <c r="C84" i="74"/>
  <c r="C1099" i="94" s="1"/>
  <c r="C78" i="74"/>
  <c r="C86" i="74"/>
  <c r="C1101" i="94" s="1"/>
  <c r="C79" i="74"/>
  <c r="C1094" i="94" s="1"/>
  <c r="B1044" i="93"/>
  <c r="B1045" i="93" s="1"/>
  <c r="C94" i="74"/>
  <c r="B1100" i="94"/>
  <c r="B1050" i="93"/>
  <c r="B1046" i="93"/>
  <c r="L422" i="94"/>
  <c r="I408" i="93"/>
  <c r="F85" i="92"/>
  <c r="F89" i="92" s="1"/>
  <c r="F105" i="92" s="1"/>
  <c r="B1093" i="94"/>
  <c r="B80" i="74"/>
  <c r="B1095" i="94" s="1"/>
  <c r="H75" i="82"/>
  <c r="H76" i="82" s="1"/>
  <c r="J64" i="74" l="1"/>
  <c r="I66" i="82"/>
  <c r="D1051" i="93"/>
  <c r="K1066" i="94"/>
  <c r="K1071" i="94" s="1"/>
  <c r="D1046" i="93"/>
  <c r="D1050" i="93"/>
  <c r="C1044" i="93"/>
  <c r="C1045" i="93" s="1"/>
  <c r="D94" i="74"/>
  <c r="C1132" i="94"/>
  <c r="D1122" i="94"/>
  <c r="C1093" i="94"/>
  <c r="C80" i="74"/>
  <c r="C1095" i="94" s="1"/>
  <c r="F1035" i="93"/>
  <c r="F1031" i="93"/>
  <c r="F1037" i="93"/>
  <c r="G1029" i="93"/>
  <c r="F1030" i="93"/>
  <c r="I75" i="82"/>
  <c r="I76" i="82" s="1"/>
  <c r="E1032" i="93"/>
  <c r="E1038" i="93" s="1"/>
  <c r="B1052" i="93"/>
  <c r="B1117" i="94"/>
  <c r="C102" i="74"/>
  <c r="B83" i="74"/>
  <c r="B101" i="74"/>
  <c r="B1116" i="94" s="1"/>
  <c r="E77" i="74"/>
  <c r="D87" i="74"/>
  <c r="D85" i="74"/>
  <c r="D84" i="74"/>
  <c r="D1099" i="94" s="1"/>
  <c r="D78" i="74"/>
  <c r="D86" i="74"/>
  <c r="D1101" i="94" s="1"/>
  <c r="D79" i="74"/>
  <c r="D1094" i="94" s="1"/>
  <c r="J66" i="82"/>
  <c r="J71" i="82"/>
  <c r="J74" i="82" s="1"/>
  <c r="C1100" i="94"/>
  <c r="K64" i="74"/>
  <c r="K64" i="82"/>
  <c r="K69" i="74"/>
  <c r="K1084" i="94" s="1"/>
  <c r="K65" i="74"/>
  <c r="K1080" i="94" s="1"/>
  <c r="J1079" i="94"/>
  <c r="S39" i="74"/>
  <c r="C101" i="74" l="1"/>
  <c r="C1116" i="94" s="1"/>
  <c r="E1050" i="93"/>
  <c r="E1046" i="93"/>
  <c r="B1098" i="94"/>
  <c r="B1103" i="94" s="1"/>
  <c r="B88" i="74"/>
  <c r="C1052" i="93"/>
  <c r="C1117" i="94"/>
  <c r="D102" i="74"/>
  <c r="F1032" i="93"/>
  <c r="F1038" i="93" s="1"/>
  <c r="D1132" i="94"/>
  <c r="E1122" i="94"/>
  <c r="K66" i="82"/>
  <c r="K71" i="82"/>
  <c r="K74" i="82" s="1"/>
  <c r="D1093" i="94"/>
  <c r="D80" i="74"/>
  <c r="D1095" i="94" s="1"/>
  <c r="G1035" i="93"/>
  <c r="G1030" i="93"/>
  <c r="H1029" i="93"/>
  <c r="G1031" i="93"/>
  <c r="G1037" i="93"/>
  <c r="K1079" i="94"/>
  <c r="S40" i="74"/>
  <c r="D1044" i="93"/>
  <c r="D1045" i="93" s="1"/>
  <c r="E94" i="74"/>
  <c r="D1100" i="94"/>
  <c r="E1051" i="93"/>
  <c r="J75" i="82"/>
  <c r="J76" i="82" s="1"/>
  <c r="F77" i="74"/>
  <c r="E85" i="74"/>
  <c r="E87" i="74"/>
  <c r="E84" i="74"/>
  <c r="E1099" i="94" s="1"/>
  <c r="E78" i="74"/>
  <c r="E86" i="74"/>
  <c r="E1101" i="94" s="1"/>
  <c r="E79" i="74"/>
  <c r="E1094" i="94" s="1"/>
  <c r="C83" i="74"/>
  <c r="F1051" i="93" l="1"/>
  <c r="D101" i="74"/>
  <c r="D1116" i="94" s="1"/>
  <c r="F1050" i="93"/>
  <c r="F1046" i="93"/>
  <c r="D1052" i="93"/>
  <c r="D1117" i="94"/>
  <c r="E102" i="74"/>
  <c r="H1030" i="93"/>
  <c r="H1037" i="93"/>
  <c r="H1035" i="93"/>
  <c r="I1029" i="93"/>
  <c r="H1031" i="93"/>
  <c r="F1122" i="94"/>
  <c r="F1132" i="94" s="1"/>
  <c r="E1132" i="94"/>
  <c r="B95" i="74"/>
  <c r="B1110" i="94" s="1"/>
  <c r="B96" i="74"/>
  <c r="B1111" i="94" s="1"/>
  <c r="B100" i="74"/>
  <c r="B1115" i="94" s="1"/>
  <c r="K75" i="82"/>
  <c r="K76" i="82" s="1"/>
  <c r="E1093" i="94"/>
  <c r="E80" i="74"/>
  <c r="E1095" i="94" s="1"/>
  <c r="G1032" i="93"/>
  <c r="G1038" i="93" s="1"/>
  <c r="E1044" i="93"/>
  <c r="E1045" i="93" s="1"/>
  <c r="F94" i="74"/>
  <c r="C1098" i="94"/>
  <c r="C1103" i="94" s="1"/>
  <c r="C88" i="74"/>
  <c r="E1100" i="94"/>
  <c r="G77" i="74"/>
  <c r="F85" i="74"/>
  <c r="F87" i="74"/>
  <c r="F84" i="74"/>
  <c r="F1099" i="94" s="1"/>
  <c r="F86" i="74"/>
  <c r="F1101" i="94" s="1"/>
  <c r="F78" i="74"/>
  <c r="F79" i="74"/>
  <c r="F1094" i="94" s="1"/>
  <c r="D83" i="74"/>
  <c r="E101" i="74" l="1"/>
  <c r="E1116" i="94" s="1"/>
  <c r="G1046" i="93"/>
  <c r="G1050" i="93"/>
  <c r="G85" i="74"/>
  <c r="G87" i="74"/>
  <c r="H77" i="74"/>
  <c r="G84" i="74"/>
  <c r="G1099" i="94" s="1"/>
  <c r="G86" i="74"/>
  <c r="G1101" i="94" s="1"/>
  <c r="G78" i="74"/>
  <c r="G79" i="74"/>
  <c r="G1094" i="94" s="1"/>
  <c r="H1032" i="93"/>
  <c r="H1038" i="93" s="1"/>
  <c r="H1051" i="93"/>
  <c r="E1052" i="93"/>
  <c r="E1117" i="94"/>
  <c r="F102" i="74"/>
  <c r="F1100" i="94"/>
  <c r="C95" i="74"/>
  <c r="C1110" i="94" s="1"/>
  <c r="C96" i="74"/>
  <c r="C1111" i="94" s="1"/>
  <c r="C100" i="74"/>
  <c r="C1115" i="94" s="1"/>
  <c r="G1051" i="93"/>
  <c r="D1098" i="94"/>
  <c r="D1103" i="94" s="1"/>
  <c r="D88" i="74"/>
  <c r="F1093" i="94"/>
  <c r="F80" i="74"/>
  <c r="F1095" i="94" s="1"/>
  <c r="E83" i="74"/>
  <c r="F1044" i="93"/>
  <c r="F1045" i="93" s="1"/>
  <c r="G94" i="74"/>
  <c r="J1029" i="93"/>
  <c r="I1035" i="93"/>
  <c r="I1031" i="93"/>
  <c r="I1037" i="93"/>
  <c r="I1030" i="93"/>
  <c r="F83" i="74" l="1"/>
  <c r="F1098" i="94" s="1"/>
  <c r="F1103" i="94" s="1"/>
  <c r="H1050" i="93"/>
  <c r="H1046" i="93"/>
  <c r="H85" i="74"/>
  <c r="I77" i="74"/>
  <c r="H87" i="74"/>
  <c r="H84" i="74"/>
  <c r="H1099" i="94" s="1"/>
  <c r="H86" i="74"/>
  <c r="H1101" i="94" s="1"/>
  <c r="H78" i="74"/>
  <c r="H79" i="74"/>
  <c r="H1094" i="94" s="1"/>
  <c r="G1100" i="94"/>
  <c r="E1098" i="94"/>
  <c r="E1103" i="94" s="1"/>
  <c r="E88" i="74"/>
  <c r="D95" i="74"/>
  <c r="D1110" i="94" s="1"/>
  <c r="D96" i="74"/>
  <c r="D1111" i="94" s="1"/>
  <c r="D100" i="74"/>
  <c r="D1115" i="94" s="1"/>
  <c r="J1037" i="93"/>
  <c r="J1031" i="93"/>
  <c r="J1030" i="93"/>
  <c r="K1029" i="93"/>
  <c r="J1035" i="93"/>
  <c r="I1032" i="93"/>
  <c r="I1038" i="93"/>
  <c r="I1051" i="93"/>
  <c r="F1052" i="93"/>
  <c r="F1117" i="94"/>
  <c r="G102" i="74"/>
  <c r="G1044" i="93"/>
  <c r="G1045" i="93" s="1"/>
  <c r="H94" i="74"/>
  <c r="F101" i="74"/>
  <c r="F1116" i="94" s="1"/>
  <c r="G1093" i="94"/>
  <c r="G80" i="74"/>
  <c r="G1095" i="94" s="1"/>
  <c r="G101" i="74" l="1"/>
  <c r="G1116" i="94" s="1"/>
  <c r="G83" i="74"/>
  <c r="G1098" i="94" s="1"/>
  <c r="G1103" i="94" s="1"/>
  <c r="F88" i="74"/>
  <c r="F95" i="74" s="1"/>
  <c r="F1110" i="94" s="1"/>
  <c r="E95" i="74"/>
  <c r="E1110" i="94" s="1"/>
  <c r="E96" i="74"/>
  <c r="E1111" i="94" s="1"/>
  <c r="E100" i="74"/>
  <c r="E1115" i="94" s="1"/>
  <c r="I87" i="74"/>
  <c r="I85" i="74"/>
  <c r="J77" i="74"/>
  <c r="I84" i="74"/>
  <c r="I1099" i="94" s="1"/>
  <c r="I78" i="74"/>
  <c r="I86" i="74"/>
  <c r="I1101" i="94" s="1"/>
  <c r="I79" i="74"/>
  <c r="I1094" i="94" s="1"/>
  <c r="H1100" i="94"/>
  <c r="G1052" i="93"/>
  <c r="G1117" i="94"/>
  <c r="H102" i="74"/>
  <c r="F96" i="74"/>
  <c r="F1111" i="94" s="1"/>
  <c r="F100" i="74"/>
  <c r="F1115" i="94" s="1"/>
  <c r="J1032" i="93"/>
  <c r="J1051" i="93" s="1"/>
  <c r="I1046" i="93"/>
  <c r="I1050" i="93"/>
  <c r="H1044" i="93"/>
  <c r="H1045" i="93" s="1"/>
  <c r="I94" i="74"/>
  <c r="B1057" i="93"/>
  <c r="K1031" i="93"/>
  <c r="K1030" i="93"/>
  <c r="K1035" i="93"/>
  <c r="K1037" i="93"/>
  <c r="H1093" i="94"/>
  <c r="H80" i="74"/>
  <c r="H1095" i="94" s="1"/>
  <c r="J1038" i="93" l="1"/>
  <c r="H101" i="74"/>
  <c r="H1116" i="94" s="1"/>
  <c r="G88" i="74"/>
  <c r="G95" i="74" s="1"/>
  <c r="G1110" i="94" s="1"/>
  <c r="H83" i="74"/>
  <c r="H88" i="74" s="1"/>
  <c r="I1093" i="94"/>
  <c r="I80" i="74"/>
  <c r="I1095" i="94" s="1"/>
  <c r="H1052" i="93"/>
  <c r="H1117" i="94"/>
  <c r="I102" i="74"/>
  <c r="J87" i="74"/>
  <c r="J85" i="74"/>
  <c r="K77" i="74"/>
  <c r="J84" i="74"/>
  <c r="J1099" i="94" s="1"/>
  <c r="J78" i="74"/>
  <c r="J86" i="74"/>
  <c r="J1101" i="94" s="1"/>
  <c r="J79" i="74"/>
  <c r="J1094" i="94" s="1"/>
  <c r="I1100" i="94"/>
  <c r="K1032" i="93"/>
  <c r="K1038" i="93" s="1"/>
  <c r="B1059" i="93"/>
  <c r="B1065" i="93"/>
  <c r="B1058" i="93"/>
  <c r="B1063" i="93"/>
  <c r="C1057" i="93"/>
  <c r="I1044" i="93"/>
  <c r="I1045" i="93" s="1"/>
  <c r="J94" i="74"/>
  <c r="J1050" i="93"/>
  <c r="J1046" i="93"/>
  <c r="G100" i="74"/>
  <c r="G1115" i="94" s="1"/>
  <c r="G96" i="74"/>
  <c r="G1111" i="94" s="1"/>
  <c r="H1098" i="94" l="1"/>
  <c r="H1103" i="94" s="1"/>
  <c r="I101" i="74"/>
  <c r="I1116" i="94" s="1"/>
  <c r="I83" i="74"/>
  <c r="I88" i="74" s="1"/>
  <c r="K1051" i="93"/>
  <c r="B1060" i="93"/>
  <c r="B1066" i="93" s="1"/>
  <c r="K1046" i="93"/>
  <c r="K1050" i="93"/>
  <c r="J1100" i="94"/>
  <c r="I1052" i="93"/>
  <c r="I1117" i="94"/>
  <c r="J102" i="74"/>
  <c r="J1044" i="93"/>
  <c r="J1045" i="93" s="1"/>
  <c r="K94" i="74"/>
  <c r="J1093" i="94"/>
  <c r="J80" i="74"/>
  <c r="J1095" i="94" s="1"/>
  <c r="D1057" i="93"/>
  <c r="C1063" i="93"/>
  <c r="C1065" i="93"/>
  <c r="C1059" i="93"/>
  <c r="C1058" i="93"/>
  <c r="H95" i="74"/>
  <c r="H1110" i="94" s="1"/>
  <c r="H100" i="74"/>
  <c r="H1115" i="94" s="1"/>
  <c r="H96" i="74"/>
  <c r="H1111" i="94" s="1"/>
  <c r="K87" i="74"/>
  <c r="K85" i="74"/>
  <c r="B107" i="74"/>
  <c r="K84" i="74"/>
  <c r="K1099" i="94" s="1"/>
  <c r="K78" i="74"/>
  <c r="K86" i="74"/>
  <c r="K1101" i="94" s="1"/>
  <c r="K79" i="74"/>
  <c r="K1094" i="94" s="1"/>
  <c r="B1079" i="93" l="1"/>
  <c r="I1098" i="94"/>
  <c r="I1103" i="94" s="1"/>
  <c r="B1074" i="93"/>
  <c r="B1078" i="93"/>
  <c r="I95" i="74"/>
  <c r="I1110" i="94" s="1"/>
  <c r="I100" i="74"/>
  <c r="I1115" i="94" s="1"/>
  <c r="I96" i="74"/>
  <c r="I1111" i="94" s="1"/>
  <c r="K1093" i="94"/>
  <c r="K80" i="74"/>
  <c r="K1095" i="94" s="1"/>
  <c r="K1044" i="93"/>
  <c r="K1045" i="93" s="1"/>
  <c r="B124" i="74"/>
  <c r="B117" i="74"/>
  <c r="C107" i="74"/>
  <c r="B115" i="74"/>
  <c r="B114" i="74"/>
  <c r="B1129" i="94" s="1"/>
  <c r="B116" i="74"/>
  <c r="B1131" i="94" s="1"/>
  <c r="B108" i="74"/>
  <c r="B109" i="74"/>
  <c r="B1124" i="94" s="1"/>
  <c r="K1100" i="94"/>
  <c r="D1065" i="93"/>
  <c r="D1063" i="93"/>
  <c r="E1057" i="93"/>
  <c r="D1059" i="93"/>
  <c r="D1058" i="93"/>
  <c r="J1052" i="93"/>
  <c r="J1117" i="94"/>
  <c r="K102" i="74"/>
  <c r="J101" i="74"/>
  <c r="J1116" i="94" s="1"/>
  <c r="C1060" i="93"/>
  <c r="C1066" i="93"/>
  <c r="C1079" i="93"/>
  <c r="J83" i="74"/>
  <c r="K83" i="74" l="1"/>
  <c r="K1098" i="94" s="1"/>
  <c r="K1103" i="94" s="1"/>
  <c r="K101" i="74"/>
  <c r="K1116" i="94" s="1"/>
  <c r="C1078" i="93"/>
  <c r="C1074" i="93"/>
  <c r="B1072" i="93"/>
  <c r="B1073" i="93" s="1"/>
  <c r="C124" i="74"/>
  <c r="E1058" i="93"/>
  <c r="E1063" i="93"/>
  <c r="F1057" i="93"/>
  <c r="E1065" i="93"/>
  <c r="E1059" i="93"/>
  <c r="K1052" i="93"/>
  <c r="K1117" i="94"/>
  <c r="B132" i="74"/>
  <c r="B1130" i="94"/>
  <c r="C117" i="74"/>
  <c r="D107" i="74"/>
  <c r="C115" i="74"/>
  <c r="C114" i="74"/>
  <c r="C1129" i="94" s="1"/>
  <c r="C108" i="74"/>
  <c r="C116" i="74"/>
  <c r="C1131" i="94" s="1"/>
  <c r="C109" i="74"/>
  <c r="C1124" i="94" s="1"/>
  <c r="J1098" i="94"/>
  <c r="J1103" i="94" s="1"/>
  <c r="J88" i="74"/>
  <c r="D1060" i="93"/>
  <c r="D1066" i="93" s="1"/>
  <c r="D1079" i="93"/>
  <c r="B1123" i="94"/>
  <c r="B110" i="74"/>
  <c r="B1125" i="94" s="1"/>
  <c r="K88" i="74" l="1"/>
  <c r="K95" i="74" s="1"/>
  <c r="K1110" i="94" s="1"/>
  <c r="D1078" i="93"/>
  <c r="D1074" i="93"/>
  <c r="E1060" i="93"/>
  <c r="E1066" i="93" s="1"/>
  <c r="B1080" i="93"/>
  <c r="B1147" i="94"/>
  <c r="C132" i="74"/>
  <c r="C1123" i="94"/>
  <c r="C110" i="74"/>
  <c r="C1125" i="94" s="1"/>
  <c r="C1130" i="94"/>
  <c r="B113" i="74"/>
  <c r="C1072" i="93"/>
  <c r="C1073" i="93" s="1"/>
  <c r="D124" i="74"/>
  <c r="J95" i="74"/>
  <c r="J1110" i="94" s="1"/>
  <c r="J96" i="74"/>
  <c r="J1111" i="94" s="1"/>
  <c r="J100" i="74"/>
  <c r="J1115" i="94" s="1"/>
  <c r="F1063" i="93"/>
  <c r="F1065" i="93"/>
  <c r="F1059" i="93"/>
  <c r="F1058" i="93"/>
  <c r="K100" i="74"/>
  <c r="K1115" i="94" s="1"/>
  <c r="K96" i="74"/>
  <c r="K1111" i="94" s="1"/>
  <c r="E107" i="74"/>
  <c r="D115" i="74"/>
  <c r="D117" i="74"/>
  <c r="D114" i="74"/>
  <c r="D1129" i="94" s="1"/>
  <c r="D116" i="74"/>
  <c r="D1131" i="94" s="1"/>
  <c r="D108" i="74"/>
  <c r="D109" i="74"/>
  <c r="D1124" i="94" s="1"/>
  <c r="B131" i="74"/>
  <c r="B1146" i="94" s="1"/>
  <c r="E1079" i="93" l="1"/>
  <c r="C131" i="74"/>
  <c r="C1146" i="94" s="1"/>
  <c r="F1060" i="93"/>
  <c r="F1066" i="93" s="1"/>
  <c r="F1079" i="93"/>
  <c r="E1078" i="93"/>
  <c r="E1074" i="93"/>
  <c r="E115" i="74"/>
  <c r="F107" i="74"/>
  <c r="E117" i="74"/>
  <c r="E114" i="74"/>
  <c r="E1129" i="94" s="1"/>
  <c r="E108" i="74"/>
  <c r="E116" i="74"/>
  <c r="E1131" i="94" s="1"/>
  <c r="E109" i="74"/>
  <c r="E1124" i="94" s="1"/>
  <c r="D1130" i="94"/>
  <c r="C113" i="74"/>
  <c r="B1128" i="94"/>
  <c r="B1133" i="94" s="1"/>
  <c r="B118" i="74"/>
  <c r="D1123" i="94"/>
  <c r="D110" i="74"/>
  <c r="D1125" i="94" s="1"/>
  <c r="D1072" i="93"/>
  <c r="D1073" i="93" s="1"/>
  <c r="E124" i="74"/>
  <c r="C1080" i="93"/>
  <c r="C1147" i="94"/>
  <c r="D132" i="74"/>
  <c r="D131" i="74" l="1"/>
  <c r="D1146" i="94" s="1"/>
  <c r="D113" i="74"/>
  <c r="D118" i="74" s="1"/>
  <c r="F1078" i="93"/>
  <c r="F1074" i="93"/>
  <c r="E1130" i="94"/>
  <c r="E1123" i="94"/>
  <c r="E110" i="74"/>
  <c r="E1125" i="94" s="1"/>
  <c r="C1128" i="94"/>
  <c r="C1133" i="94" s="1"/>
  <c r="C118" i="74"/>
  <c r="F117" i="74"/>
  <c r="F115" i="74"/>
  <c r="F114" i="74"/>
  <c r="F1129" i="94" s="1"/>
  <c r="F116" i="74"/>
  <c r="F1131" i="94" s="1"/>
  <c r="F108" i="74"/>
  <c r="F109" i="74"/>
  <c r="F1124" i="94" s="1"/>
  <c r="E1072" i="93"/>
  <c r="E1073" i="93" s="1"/>
  <c r="F124" i="74"/>
  <c r="F1072" i="93" s="1"/>
  <c r="F1073" i="93" s="1"/>
  <c r="D1080" i="93"/>
  <c r="D1147" i="94"/>
  <c r="E132" i="74"/>
  <c r="B125" i="74"/>
  <c r="B1140" i="94" s="1"/>
  <c r="B126" i="74"/>
  <c r="B1141" i="94" s="1"/>
  <c r="B130" i="74"/>
  <c r="B1145" i="94" s="1"/>
  <c r="D1128" i="94" l="1"/>
  <c r="D1133" i="94" s="1"/>
  <c r="E131" i="74"/>
  <c r="E1146" i="94" s="1"/>
  <c r="E113" i="74"/>
  <c r="E1128" i="94" s="1"/>
  <c r="E1133" i="94" s="1"/>
  <c r="E1080" i="93"/>
  <c r="E1147" i="94"/>
  <c r="F132" i="74"/>
  <c r="D125" i="74"/>
  <c r="D1140" i="94" s="1"/>
  <c r="D126" i="74"/>
  <c r="D1141" i="94" s="1"/>
  <c r="D130" i="74"/>
  <c r="D1145" i="94" s="1"/>
  <c r="F1130" i="94"/>
  <c r="C125" i="74"/>
  <c r="C1140" i="94" s="1"/>
  <c r="C126" i="74"/>
  <c r="C1141" i="94" s="1"/>
  <c r="C130" i="74"/>
  <c r="C1145" i="94" s="1"/>
  <c r="F1123" i="94"/>
  <c r="F110" i="74"/>
  <c r="F1125" i="94" s="1"/>
  <c r="E118" i="74" l="1"/>
  <c r="E125" i="74" s="1"/>
  <c r="E1140" i="94" s="1"/>
  <c r="F113" i="74"/>
  <c r="F1128" i="94" s="1"/>
  <c r="F1133" i="94" s="1"/>
  <c r="F131" i="74"/>
  <c r="F1146" i="94" s="1"/>
  <c r="E130" i="74"/>
  <c r="E1145" i="94" s="1"/>
  <c r="E126" i="74"/>
  <c r="E1141" i="94" s="1"/>
  <c r="F1080" i="93"/>
  <c r="F1147" i="94"/>
  <c r="F118" i="74" l="1"/>
  <c r="F125" i="74" s="1"/>
  <c r="F1140" i="94" s="1"/>
  <c r="F126" i="74"/>
  <c r="F1141" i="94" s="1"/>
  <c r="F130" i="74"/>
  <c r="F1145"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<sst xmlns="http://schemas.openxmlformats.org/spreadsheetml/2006/main" count="17146" uniqueCount="5354">
  <si>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</si>
  <si>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</si>
  <si>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</si>
  <si>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</si>
  <si>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</si>
  <si>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</si>
  <si>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</si>
  <si>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</si>
  <si>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</si>
  <si>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</si>
  <si>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</si>
  <si>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</si>
  <si>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</si>
  <si>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</si>
  <si>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</si>
  <si>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</si>
  <si>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</si>
  <si>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</si>
  <si>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</si>
  <si>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</si>
  <si>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</si>
  <si>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</si>
  <si>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</si>
  <si>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</si>
  <si>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</si>
  <si>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</si>
  <si>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</si>
  <si>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</si>
  <si>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</si>
  <si>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</si>
  <si>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</si>
  <si>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</si>
  <si>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</si>
  <si>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</si>
  <si>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</si>
  <si>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</si>
  <si>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</si>
  <si>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</si>
  <si>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</si>
  <si>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</si>
  <si>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</si>
  <si>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</si>
  <si>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</si>
  <si>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</si>
  <si>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</si>
  <si>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</si>
  <si>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</si>
  <si>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</si>
  <si>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</si>
  <si>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</si>
  <si>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</si>
  <si>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</si>
  <si>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</si>
  <si>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</si>
  <si>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</si>
  <si>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</si>
  <si>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</si>
  <si>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</si>
  <si>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</si>
  <si>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</si>
  <si>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</si>
  <si>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</si>
  <si>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</si>
  <si>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</si>
  <si>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</si>
  <si>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</si>
  <si>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</si>
  <si>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</si>
  <si>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</si>
  <si>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</si>
  <si>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</si>
  <si>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</si>
  <si>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</si>
  <si>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</si>
  <si>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</si>
  <si>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</si>
  <si>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</si>
  <si>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</si>
  <si>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</si>
  <si>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</si>
  <si>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</si>
  <si>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</si>
  <si>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</si>
  <si>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</si>
  <si>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</si>
  <si>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</si>
  <si>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</si>
  <si>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</si>
  <si>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</si>
  <si>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</si>
  <si>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</si>
  <si>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</si>
  <si>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</si>
  <si>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</si>
  <si>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</si>
  <si>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</si>
  <si>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</si>
  <si>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</si>
  <si>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</si>
  <si>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</si>
  <si>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</si>
  <si>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</si>
  <si>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</si>
  <si>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</si>
  <si>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</si>
  <si>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</si>
  <si>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</si>
  <si>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</si>
  <si>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</si>
  <si>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</si>
  <si>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</si>
  <si>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</si>
  <si>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</si>
  <si>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</si>
  <si>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</si>
  <si>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</si>
  <si>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</si>
  <si>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</si>
  <si>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</si>
  <si>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</si>
  <si>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</si>
  <si>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</si>
  <si>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</si>
  <si>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</si>
  <si>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</si>
  <si>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</si>
  <si>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</si>
  <si>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</si>
  <si>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</si>
  <si>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</si>
  <si>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</si>
  <si>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</si>
  <si>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</si>
  <si>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</si>
  <si>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</si>
  <si>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</si>
  <si>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</si>
  <si>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</si>
  <si>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</si>
  <si>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</si>
  <si>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</si>
  <si>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</si>
  <si>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</si>
  <si>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</si>
  <si>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</si>
  <si>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</si>
  <si>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</si>
  <si>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</si>
  <si>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</si>
  <si>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</si>
  <si>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</si>
  <si>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</si>
  <si>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</si>
  <si>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</si>
  <si>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</si>
  <si>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</si>
  <si>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</si>
  <si>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</si>
  <si>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</si>
  <si>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</si>
  <si>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</si>
  <si>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</si>
  <si>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</si>
  <si>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</si>
  <si>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</si>
  <si>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</si>
  <si>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</si>
  <si>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</si>
  <si>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</si>
  <si>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</si>
  <si>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</si>
  <si>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</si>
  <si>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</si>
  <si>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</si>
  <si>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</si>
  <si>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</si>
  <si>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</si>
  <si>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</si>
  <si>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</si>
  <si>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</si>
  <si>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</si>
  <si>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</si>
  <si>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</si>
  <si>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</si>
  <si>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</si>
  <si>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</si>
  <si>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</si>
  <si>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</si>
  <si>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</si>
  <si>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</si>
  <si>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</si>
  <si>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</si>
  <si>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</si>
  <si>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</si>
  <si>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</si>
  <si>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</si>
  <si>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</si>
  <si>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</si>
  <si>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</si>
  <si>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</si>
  <si>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</si>
  <si>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</si>
  <si>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</si>
  <si>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</si>
  <si>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</si>
  <si>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</si>
  <si>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</si>
  <si>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</si>
  <si>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</si>
  <si>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</si>
  <si>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</si>
  <si>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</si>
  <si>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</si>
  <si>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</si>
  <si>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</si>
  <si>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</si>
  <si>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</si>
  <si>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</si>
  <si>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</si>
  <si>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</si>
  <si>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</si>
  <si>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</si>
  <si>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</si>
  <si>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</si>
  <si>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</si>
  <si>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</si>
  <si>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</si>
  <si>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</si>
  <si>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</si>
  <si>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</si>
  <si>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</si>
  <si>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</si>
  <si>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</si>
  <si>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</si>
  <si>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</si>
  <si>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</si>
  <si>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</si>
  <si>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</si>
  <si>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</si>
  <si>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</si>
  <si>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</si>
  <si>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</si>
  <si>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</si>
  <si>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</si>
  <si>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</si>
  <si>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</si>
  <si>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</si>
  <si>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</si>
  <si>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</si>
  <si>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</si>
  <si>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</si>
  <si>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</si>
  <si>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</si>
  <si>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</si>
  <si>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</si>
  <si>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</si>
  <si>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</si>
  <si>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</si>
  <si>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</si>
  <si>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</si>
  <si>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</si>
  <si>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</si>
  <si>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</si>
  <si>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</si>
  <si>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</si>
  <si>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</si>
  <si>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</si>
  <si>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</si>
  <si>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</si>
  <si>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</si>
  <si>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</si>
  <si>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</si>
  <si>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</si>
  <si>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</si>
  <si>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</si>
  <si>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</si>
  <si>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</si>
  <si>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</si>
  <si>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</si>
  <si>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</si>
  <si>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</si>
  <si>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</si>
  <si>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</si>
  <si>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</si>
  <si>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</si>
  <si>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</si>
  <si>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</si>
  <si>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</si>
  <si>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</si>
  <si>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</si>
  <si>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</si>
  <si>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</si>
  <si>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</si>
  <si>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</si>
  <si>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</si>
  <si>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</si>
  <si>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</si>
  <si>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</si>
  <si>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</si>
  <si>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</si>
  <si>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</si>
  <si>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</si>
  <si>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</si>
  <si>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</si>
  <si>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</si>
  <si>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</si>
  <si>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</si>
  <si>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</si>
  <si>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</si>
  <si>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</si>
  <si>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</si>
  <si>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</si>
  <si>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</si>
  <si>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</si>
  <si>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</si>
  <si>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</si>
  <si>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</si>
  <si>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</si>
  <si>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</si>
  <si>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</si>
  <si>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</si>
  <si>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</si>
  <si>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</si>
  <si>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</si>
  <si>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</si>
  <si>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</si>
  <si>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</si>
  <si>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</si>
  <si>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</si>
  <si>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</si>
  <si>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</si>
  <si>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</si>
  <si>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</si>
  <si>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</si>
  <si>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</si>
  <si>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</si>
  <si>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</si>
  <si>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</si>
  <si>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</si>
  <si>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</si>
  <si>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</si>
  <si>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</si>
  <si>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</si>
  <si>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</si>
  <si>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</si>
  <si>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</si>
  <si>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</si>
  <si>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</si>
  <si>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</si>
  <si>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</si>
  <si>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</si>
  <si>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</si>
  <si>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</si>
  <si>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</si>
  <si>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</si>
  <si>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</si>
  <si>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</si>
  <si>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</si>
  <si>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</si>
  <si>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</si>
  <si>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</si>
  <si>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</si>
  <si>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</si>
  <si>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</si>
  <si>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</si>
  <si>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</si>
  <si>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</si>
  <si>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</si>
  <si>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</si>
  <si>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</si>
  <si>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</si>
  <si>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</si>
  <si>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</si>
  <si>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</si>
  <si>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</si>
  <si>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</si>
  <si>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</si>
  <si>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</si>
  <si>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</si>
  <si>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</si>
  <si>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</si>
  <si>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</si>
  <si>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</si>
  <si>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</si>
  <si>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</si>
  <si>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</si>
  <si>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</si>
  <si>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</si>
  <si>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</si>
  <si>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</si>
  <si>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</si>
  <si>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</si>
  <si>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</si>
  <si>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</si>
  <si>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</si>
  <si>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</si>
  <si>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</si>
  <si>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</si>
  <si>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</si>
  <si>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</si>
  <si>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</si>
  <si>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</si>
  <si>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</si>
  <si>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</si>
  <si>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</si>
  <si>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</si>
  <si>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</si>
  <si>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</si>
  <si>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</si>
  <si>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</si>
  <si>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</si>
  <si>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</si>
  <si>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</si>
  <si>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</si>
  <si>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</si>
  <si>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</si>
  <si>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</si>
  <si>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</si>
  <si>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</si>
  <si>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</si>
  <si>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</si>
  <si>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</si>
  <si>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</si>
  <si>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</si>
  <si>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</si>
  <si>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</si>
  <si>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</si>
  <si>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</si>
  <si>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</si>
  <si>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</si>
  <si>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</si>
  <si>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</si>
  <si>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</si>
  <si>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</si>
  <si>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</si>
  <si>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</si>
  <si>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</si>
  <si>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</si>
  <si>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</si>
  <si>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</si>
  <si>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</si>
  <si>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</si>
  <si>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</si>
  <si>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</si>
  <si>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</si>
  <si>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</si>
  <si>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</si>
  <si>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</si>
  <si>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</si>
  <si>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</si>
  <si>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</si>
  <si>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</si>
  <si>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</si>
  <si>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</si>
  <si>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</si>
  <si>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</si>
  <si>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</si>
  <si>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</si>
  <si>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</si>
  <si>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</si>
  <si>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</si>
  <si>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</si>
  <si>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</si>
  <si>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</si>
  <si>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</si>
  <si>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</si>
  <si>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</si>
  <si>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</si>
  <si>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</si>
  <si>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</si>
  <si>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</si>
  <si>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</si>
  <si>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</si>
  <si>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</si>
  <si>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</si>
  <si>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</si>
  <si>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</si>
  <si>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</si>
  <si>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</si>
  <si>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</si>
  <si>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</si>
  <si>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</si>
  <si>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</si>
  <si>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</si>
  <si>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</si>
  <si>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</si>
  <si>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</si>
  <si>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</si>
  <si>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</si>
  <si>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</si>
  <si>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</si>
  <si>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</si>
  <si>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</si>
  <si>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</si>
  <si>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</si>
  <si>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</si>
  <si>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</si>
  <si>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</si>
  <si>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</si>
  <si>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</si>
  <si>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</si>
  <si>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</si>
  <si>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</si>
  <si>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</si>
  <si>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</si>
  <si>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</si>
  <si>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</si>
  <si>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</si>
  <si>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</si>
  <si>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</si>
  <si>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</si>
  <si>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</si>
  <si>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</si>
  <si>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</si>
  <si>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</si>
  <si>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</si>
  <si>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</si>
  <si>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</si>
  <si>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</si>
  <si>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</si>
  <si>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</si>
  <si>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</si>
  <si>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</si>
  <si>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</si>
  <si>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</si>
  <si>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</si>
  <si>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</si>
  <si>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</si>
  <si>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</si>
  <si>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</si>
  <si>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</si>
  <si>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</si>
  <si>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</si>
  <si>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</si>
  <si>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</si>
  <si>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</si>
  <si>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</si>
  <si>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</si>
  <si>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</si>
  <si>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</si>
  <si>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</si>
  <si>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</si>
  <si>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</si>
  <si>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</si>
  <si>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</si>
  <si>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</si>
  <si>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</si>
  <si>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</si>
  <si>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</si>
  <si>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</si>
  <si>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</si>
  <si>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</si>
  <si>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</si>
  <si>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</si>
  <si>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</si>
  <si>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</si>
  <si>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</si>
  <si>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</si>
  <si>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</si>
  <si>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</si>
  <si>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</si>
  <si>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</si>
  <si>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</si>
  <si>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</si>
  <si>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</si>
  <si>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</si>
  <si>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</si>
  <si>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</si>
  <si>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</si>
  <si>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</si>
  <si>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</si>
  <si>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</si>
  <si>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</si>
  <si>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</si>
  <si>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</si>
  <si>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</si>
  <si>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</si>
  <si>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</si>
  <si>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</si>
  <si>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</si>
  <si>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</si>
  <si>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</si>
  <si>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</si>
  <si>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</si>
  <si>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</si>
  <si>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</si>
  <si>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</si>
  <si>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</si>
  <si>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</si>
  <si>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</si>
  <si>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</si>
  <si>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</si>
  <si>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</si>
  <si>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</si>
  <si>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</si>
  <si>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</si>
  <si>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</si>
  <si>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</si>
  <si>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</si>
  <si>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</si>
  <si>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</si>
  <si>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</si>
  <si>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</si>
  <si>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</si>
  <si>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</si>
  <si>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</si>
  <si>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</si>
  <si>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</si>
  <si>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</si>
  <si>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</si>
  <si>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</si>
  <si>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</si>
  <si>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</si>
  <si>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</si>
  <si>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</si>
  <si>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</si>
  <si>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</si>
  <si>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</si>
  <si>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</si>
  <si>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</si>
  <si>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</si>
  <si>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</si>
  <si>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</si>
  <si>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</si>
  <si>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</si>
  <si>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</si>
  <si>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</si>
  <si>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</si>
  <si>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</si>
  <si>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</si>
  <si>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</si>
  <si>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</si>
  <si>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</si>
  <si>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</si>
  <si>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</si>
  <si>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</si>
  <si>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</si>
  <si>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</si>
  <si>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</si>
  <si>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</si>
  <si>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</si>
  <si>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</si>
  <si>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</si>
  <si>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</si>
  <si>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</si>
  <si>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</si>
  <si>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</si>
  <si>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</si>
  <si>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</si>
  <si>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</si>
  <si>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</si>
  <si>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</si>
  <si>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</si>
  <si>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</si>
  <si>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</si>
  <si>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</si>
  <si>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</si>
  <si>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</si>
  <si>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</si>
  <si>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</si>
  <si>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</si>
  <si>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</si>
  <si>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</si>
  <si>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</si>
  <si>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</si>
  <si>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</si>
  <si>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</si>
  <si>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</si>
  <si>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</si>
  <si>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</si>
  <si>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</si>
  <si>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</si>
  <si>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</si>
  <si>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</si>
  <si>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</si>
  <si>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</si>
  <si>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</si>
  <si>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</si>
  <si>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</si>
  <si>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</si>
  <si>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</si>
  <si>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</si>
  <si>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</si>
  <si>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</si>
  <si>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</si>
  <si>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</si>
  <si>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</si>
  <si>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</si>
  <si>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</si>
  <si>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</si>
  <si>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</si>
  <si>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</si>
  <si>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</si>
  <si>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</si>
  <si>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</si>
  <si>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</si>
  <si>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</si>
  <si>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</si>
  <si>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</si>
  <si>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</si>
  <si>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</si>
  <si>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</si>
  <si>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</si>
  <si>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</si>
  <si>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</si>
  <si>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</si>
  <si>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</si>
  <si>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</si>
  <si>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</si>
  <si>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</si>
  <si>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</si>
  <si>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</si>
  <si>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</si>
  <si>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</si>
  <si>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</si>
  <si>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</si>
  <si>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</si>
  <si>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</si>
  <si>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</si>
  <si>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</si>
  <si>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</si>
  <si>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</si>
  <si>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</si>
  <si>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</si>
  <si>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</si>
  <si>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</si>
  <si>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</si>
  <si>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</si>
  <si>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</si>
  <si>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</si>
  <si>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</si>
  <si>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</si>
  <si>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</si>
  <si>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</si>
  <si>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</si>
  <si>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</si>
  <si>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</si>
  <si>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</si>
  <si>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</si>
  <si>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</si>
  <si>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</si>
  <si>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</si>
  <si>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</si>
  <si>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</si>
  <si>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</si>
  <si>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</si>
  <si>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</si>
  <si>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</si>
  <si>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</si>
  <si>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</si>
  <si>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</si>
  <si>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</si>
  <si>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</si>
  <si>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</si>
  <si>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</si>
  <si>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</si>
  <si>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</si>
  <si>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</si>
  <si>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</si>
  <si>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</si>
  <si>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</si>
  <si>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</si>
  <si>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</si>
  <si>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</si>
  <si>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</si>
  <si>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</si>
  <si>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</si>
  <si>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</si>
  <si>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</si>
  <si>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</si>
  <si>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</si>
  <si>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</si>
  <si>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</si>
  <si>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</si>
  <si>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</si>
  <si>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</si>
  <si>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</si>
  <si>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</si>
  <si>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</si>
  <si>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</si>
  <si>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</si>
  <si>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</si>
  <si>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</si>
  <si>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</si>
  <si>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</si>
  <si>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</si>
  <si>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</si>
  <si>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</si>
  <si>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</si>
  <si>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</si>
  <si>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</si>
  <si>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</si>
  <si>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</si>
  <si>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</si>
  <si>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</si>
  <si>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</si>
  <si>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</si>
  <si>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</si>
  <si>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</si>
  <si>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</si>
  <si>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</si>
  <si>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</si>
  <si>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</si>
  <si>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</si>
  <si>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</si>
  <si>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</si>
  <si>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</si>
  <si>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</si>
  <si>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</si>
  <si>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</si>
  <si>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</si>
  <si>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</si>
  <si>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</si>
  <si>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</si>
  <si>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</si>
  <si>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</si>
  <si>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</si>
  <si>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</si>
  <si>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</si>
  <si>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</si>
  <si>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</si>
  <si>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</si>
  <si>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</si>
  <si>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</si>
  <si>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</si>
  <si>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</si>
  <si>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</si>
  <si>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</si>
  <si>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</si>
  <si>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</si>
  <si>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</si>
  <si>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</si>
  <si>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</si>
  <si>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</si>
  <si>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</si>
  <si>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</si>
  <si>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</si>
  <si>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</si>
  <si>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</si>
  <si>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</si>
  <si>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</si>
  <si>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</si>
  <si>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</si>
  <si>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</si>
  <si>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</si>
  <si>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</si>
  <si>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</si>
  <si>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</si>
  <si>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</si>
  <si>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</si>
  <si>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</si>
  <si>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</si>
  <si>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</si>
  <si>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</si>
  <si>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</si>
  <si>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</si>
  <si>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</si>
  <si>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</si>
  <si>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</si>
  <si>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</si>
  <si>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</si>
  <si>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</si>
  <si>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</si>
  <si>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</si>
  <si>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</si>
  <si>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</si>
  <si>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</si>
  <si>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</si>
  <si>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</si>
  <si>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</si>
  <si>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</si>
  <si>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</si>
  <si>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</si>
  <si>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</si>
  <si>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</si>
  <si>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</si>
  <si>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</si>
  <si>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</si>
  <si>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</si>
  <si>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</si>
  <si>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</si>
  <si>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</si>
  <si>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</si>
  <si>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</si>
  <si>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</si>
  <si>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</si>
  <si>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</si>
  <si>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</si>
  <si>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</si>
  <si>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</si>
  <si>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</si>
  <si>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</si>
  <si>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</si>
  <si>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</si>
  <si>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</si>
  <si>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</si>
  <si>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</si>
  <si>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</si>
  <si>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</si>
  <si>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</si>
  <si>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</si>
  <si>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</si>
  <si>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</si>
  <si>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</si>
  <si>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</si>
  <si>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</si>
  <si>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</si>
  <si>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</si>
  <si>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</si>
  <si>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</si>
  <si>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</si>
  <si>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</si>
  <si>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</si>
  <si>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</si>
  <si>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</si>
  <si>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</si>
  <si>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</si>
  <si>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</si>
  <si>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</si>
  <si>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</si>
  <si>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</si>
  <si>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</si>
  <si>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</si>
  <si>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</si>
  <si>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</si>
  <si>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</si>
  <si>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</si>
  <si>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</si>
  <si>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</si>
  <si>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</si>
  <si>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</si>
  <si>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</si>
  <si>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</si>
  <si>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</si>
  <si>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</si>
  <si>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</si>
  <si>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</si>
  <si>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</si>
  <si>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</si>
  <si>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</si>
  <si>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</si>
  <si>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</si>
  <si>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</si>
  <si>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</si>
  <si>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</si>
  <si>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</si>
  <si>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</si>
  <si>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</si>
  <si>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</si>
  <si>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</si>
  <si>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</si>
  <si>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</si>
  <si>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</si>
  <si>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</si>
  <si>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</si>
  <si>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</si>
  <si>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</si>
  <si>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</si>
  <si>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</si>
  <si>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</si>
  <si>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</si>
  <si>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</si>
  <si>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</si>
  <si>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</si>
  <si>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</si>
  <si>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</si>
  <si>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</si>
  <si>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</si>
  <si>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</si>
  <si>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</si>
  <si>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</si>
  <si>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</si>
  <si>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</si>
  <si>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</si>
  <si>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</si>
  <si>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</si>
  <si>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</si>
  <si>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</si>
  <si>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</si>
  <si>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</si>
  <si>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</si>
  <si>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</si>
  <si>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</si>
  <si>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</si>
  <si>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</si>
  <si>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</si>
  <si>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</si>
  <si>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</si>
  <si>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</si>
  <si>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</si>
  <si>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</si>
  <si>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</si>
  <si>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</si>
  <si>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</si>
  <si>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</si>
  <si>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</si>
  <si>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</si>
  <si>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</si>
  <si>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</si>
  <si>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</si>
  <si>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</si>
  <si>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</si>
  <si>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</si>
  <si>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</si>
  <si>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</si>
  <si>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</si>
  <si>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</si>
  <si>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</si>
  <si>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</si>
  <si>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</si>
  <si>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</si>
  <si>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</si>
  <si>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</si>
  <si>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</si>
  <si>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</si>
  <si>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</si>
  <si>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</si>
  <si>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</si>
  <si>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</si>
  <si>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</si>
  <si>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</si>
  <si>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</si>
  <si>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</si>
  <si>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</si>
  <si>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</si>
  <si>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</si>
  <si>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</si>
  <si>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</si>
  <si>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</si>
  <si>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</si>
  <si>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</si>
  <si>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</si>
  <si>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</si>
  <si>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</si>
  <si>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</si>
  <si>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</si>
  <si>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</si>
  <si>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</si>
  <si>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</si>
  <si>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</si>
  <si>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</si>
  <si>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</si>
  <si>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</si>
  <si>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</si>
  <si>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</si>
  <si>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</si>
  <si>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</si>
  <si>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</si>
  <si>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</si>
  <si>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</si>
  <si>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</si>
  <si>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</si>
  <si>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</si>
  <si>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</si>
  <si>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</si>
  <si>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</si>
  <si>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</si>
  <si>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</si>
  <si>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</si>
  <si>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</si>
  <si>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</si>
  <si>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</si>
  <si>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</si>
  <si>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</si>
  <si>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</si>
  <si>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</si>
  <si>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</si>
  <si>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</si>
  <si>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</si>
  <si>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</si>
  <si>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</si>
  <si>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</si>
  <si>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</si>
  <si>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</si>
  <si>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</si>
  <si>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</si>
  <si>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</si>
  <si>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</si>
  <si>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</si>
  <si>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</si>
  <si>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</si>
  <si>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</si>
  <si>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</si>
  <si>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</si>
  <si>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</si>
  <si>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</si>
  <si>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</si>
  <si>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</si>
  <si>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</si>
  <si>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</si>
  <si>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</si>
  <si>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</si>
  <si>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</si>
  <si>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</si>
  <si>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</si>
  <si>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</si>
  <si>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</si>
  <si>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</si>
  <si>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</si>
  <si>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</si>
  <si>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</si>
  <si>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</si>
  <si>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</si>
  <si>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</si>
  <si>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</si>
  <si>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</si>
  <si>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</si>
  <si>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</si>
  <si>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</si>
  <si>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</si>
  <si>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</si>
  <si>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</si>
  <si>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</si>
  <si>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</si>
  <si>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</si>
  <si>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</si>
  <si>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</si>
  <si>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</si>
  <si>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</si>
  <si>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</si>
  <si>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</si>
  <si>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</si>
  <si>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</si>
  <si>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</si>
  <si>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</si>
  <si>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</si>
  <si>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</si>
  <si>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</si>
  <si>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</si>
  <si>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</si>
  <si>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</si>
  <si>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</si>
  <si>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</si>
  <si>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</si>
  <si>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</si>
  <si>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</si>
  <si>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</si>
  <si>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</si>
  <si>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</si>
  <si>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</si>
  <si>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</si>
  <si>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</si>
  <si>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</si>
  <si>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</si>
  <si>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</si>
  <si>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</si>
  <si>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</si>
  <si>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</si>
  <si>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</si>
  <si>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</si>
  <si>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</si>
  <si>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</si>
  <si>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</si>
  <si>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</si>
  <si>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</si>
  <si>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</si>
  <si>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</si>
  <si>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</si>
  <si>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</si>
  <si>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</si>
  <si>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</si>
  <si>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</si>
  <si>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</si>
  <si>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</si>
  <si>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</si>
  <si>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</si>
  <si>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</si>
  <si>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</si>
  <si>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</si>
  <si>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</si>
  <si>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</si>
  <si>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</si>
  <si>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</si>
  <si>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</si>
  <si>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</si>
  <si>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</si>
  <si>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</si>
  <si>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</si>
  <si>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</si>
  <si>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</si>
  <si>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</si>
  <si>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</si>
  <si>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</si>
  <si>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</si>
  <si>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</si>
  <si>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</si>
  <si>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</si>
  <si>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</si>
  <si>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</si>
  <si>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</si>
  <si>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</si>
  <si>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</si>
  <si>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</si>
  <si>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</si>
  <si>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</si>
  <si>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</si>
  <si>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</si>
  <si>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</si>
  <si>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</si>
  <si>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</si>
  <si>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</si>
  <si>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</si>
  <si>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</si>
  <si>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</si>
  <si>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</si>
  <si>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</si>
  <si>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</si>
  <si>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</si>
  <si>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</si>
  <si>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</si>
  <si>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</si>
  <si>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</si>
  <si>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</si>
  <si>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</si>
  <si>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</si>
  <si>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</si>
  <si>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</si>
  <si>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</si>
  <si>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</si>
  <si>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</si>
  <si>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</si>
  <si>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</si>
  <si>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</si>
  <si>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</si>
  <si>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</si>
  <si>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</si>
  <si>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</si>
  <si>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</si>
  <si>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</si>
  <si>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</si>
  <si>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</si>
  <si>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</si>
  <si>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</si>
  <si>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</si>
  <si>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</si>
  <si>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</si>
  <si>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</si>
  <si>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</si>
  <si>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</si>
  <si>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</si>
  <si>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</si>
  <si>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</si>
  <si>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</si>
  <si>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</si>
  <si>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</si>
  <si>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</si>
  <si>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</si>
  <si>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</si>
  <si>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</si>
  <si>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</si>
  <si>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</si>
  <si>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</si>
  <si>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</si>
  <si>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</si>
  <si>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</si>
  <si>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</si>
  <si>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</si>
  <si>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</si>
  <si>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</si>
  <si>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</si>
  <si>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</si>
  <si>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</si>
  <si>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</si>
  <si>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</si>
  <si>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</si>
  <si>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</si>
  <si>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</si>
  <si>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</si>
  <si>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</si>
  <si>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</si>
  <si>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</si>
  <si>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</si>
  <si>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</si>
  <si>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</si>
  <si>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</si>
  <si>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</si>
  <si>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</si>
  <si>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</si>
  <si>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</si>
  <si>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</si>
  <si>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</si>
  <si>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</si>
  <si>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</si>
  <si>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</si>
  <si>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</si>
  <si>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</si>
  <si>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</si>
  <si>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</si>
  <si>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</si>
  <si>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</si>
  <si>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</si>
  <si>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</si>
  <si>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</si>
  <si>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</si>
  <si>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</si>
  <si>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</si>
  <si>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</si>
  <si>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</si>
  <si>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</si>
  <si>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</si>
  <si>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</si>
  <si>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</si>
  <si>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</si>
  <si>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</si>
  <si>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</si>
  <si>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</si>
  <si>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</si>
  <si>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</si>
  <si>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</si>
  <si>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</si>
  <si>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</si>
  <si>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</si>
  <si>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</si>
  <si>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</si>
  <si>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</si>
  <si>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</si>
  <si>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</si>
  <si>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</si>
  <si>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</si>
  <si>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</si>
  <si>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</si>
  <si>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</si>
  <si>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</si>
  <si>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</si>
  <si>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</si>
  <si>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</si>
  <si>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</si>
  <si>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</si>
  <si>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</si>
  <si>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</si>
  <si>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</si>
  <si>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</si>
  <si>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</si>
  <si>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</si>
  <si>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</si>
  <si>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</si>
  <si>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</si>
  <si>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</si>
  <si>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</si>
  <si>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</si>
  <si>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</si>
  <si>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</si>
  <si>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</si>
  <si>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</si>
  <si>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</si>
  <si>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</si>
  <si>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</si>
  <si>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</si>
  <si>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</si>
  <si>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</si>
  <si>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</si>
  <si>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</si>
  <si>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</si>
  <si>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</si>
  <si>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</si>
  <si>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</si>
  <si>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</si>
  <si>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</si>
  <si>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</si>
  <si>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</si>
  <si>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</si>
  <si>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</si>
  <si>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</si>
  <si>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</si>
  <si>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</si>
  <si>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</si>
  <si>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</si>
  <si>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</si>
  <si>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</si>
  <si>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</si>
  <si>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</si>
  <si>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</si>
  <si>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</si>
  <si>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</si>
  <si>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</si>
  <si>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</si>
  <si>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</si>
  <si>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</si>
  <si>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</si>
  <si>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</si>
  <si>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</si>
  <si>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</si>
  <si>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</si>
  <si>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</si>
  <si>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</si>
  <si>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</si>
  <si>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</si>
  <si>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</si>
  <si>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</si>
  <si>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</si>
  <si>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</si>
  <si>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</si>
  <si>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</si>
  <si>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</si>
  <si>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</si>
  <si>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</si>
  <si>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</si>
  <si>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</si>
  <si>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</si>
  <si>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</si>
  <si>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</si>
  <si>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</si>
  <si>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</si>
  <si>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</si>
  <si>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</si>
  <si>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</si>
  <si>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</si>
  <si>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</si>
  <si>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</si>
  <si>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</si>
  <si>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</si>
  <si>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</si>
  <si>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</si>
  <si>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</si>
  <si>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</si>
  <si>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</si>
  <si>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</si>
  <si>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</si>
  <si>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</si>
  <si>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</si>
  <si>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</si>
  <si>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</si>
  <si>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</si>
  <si>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</si>
  <si>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</si>
  <si>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</si>
  <si>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</si>
  <si>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</si>
  <si>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</si>
  <si>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</si>
  <si>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</si>
  <si>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</si>
  <si>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</si>
  <si>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</si>
  <si>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</si>
  <si>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</si>
  <si>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</si>
  <si>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</si>
  <si>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</si>
  <si>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</si>
  <si>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</si>
  <si>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</si>
  <si>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</si>
  <si>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</si>
  <si>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</si>
  <si>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</si>
  <si>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</si>
  <si>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</si>
  <si>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</si>
  <si>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</si>
  <si>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</si>
  <si>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</si>
  <si>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</si>
  <si>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</si>
  <si>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</si>
  <si>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</si>
  <si>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</si>
  <si>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</si>
  <si>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</si>
  <si>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</si>
  <si>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</si>
  <si>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</si>
  <si>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</si>
  <si>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</si>
  <si>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</si>
  <si>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</si>
  <si>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</si>
  <si>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</si>
  <si>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</si>
  <si>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</si>
  <si>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</si>
  <si>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</si>
  <si>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</si>
  <si>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</si>
  <si>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</si>
  <si>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</si>
  <si>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</si>
  <si>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</si>
  <si>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</si>
  <si>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</si>
  <si>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</si>
  <si>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</si>
  <si>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</si>
  <si>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</si>
  <si>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</si>
  <si>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</si>
  <si>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</si>
  <si>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</si>
  <si>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</si>
  <si>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</si>
  <si>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</si>
  <si>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</si>
  <si>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</si>
  <si>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</si>
  <si>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</si>
  <si>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</si>
  <si>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</si>
  <si>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</si>
  <si>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</si>
  <si>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</si>
  <si>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</si>
  <si>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</si>
  <si>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</si>
  <si>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</si>
  <si>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</si>
  <si>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</si>
  <si>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</si>
  <si>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</si>
  <si>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</si>
  <si>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</si>
  <si>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</si>
  <si>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</si>
  <si>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</si>
  <si>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</si>
  <si>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</si>
  <si>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</si>
  <si>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</si>
  <si>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</si>
  <si>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</si>
  <si>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</si>
  <si>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</si>
  <si>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</si>
  <si>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</si>
  <si>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</si>
  <si>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</si>
  <si>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</si>
  <si>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</si>
  <si>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</si>
  <si>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</si>
  <si>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</si>
  <si>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</si>
  <si>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</si>
  <si>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</si>
  <si>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</si>
  <si>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</si>
  <si>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</si>
  <si>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</si>
  <si>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</si>
  <si>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</si>
  <si>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</si>
  <si>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</si>
  <si>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</si>
  <si>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</si>
  <si>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</si>
  <si>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</si>
  <si>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</si>
  <si>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</si>
  <si>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</si>
  <si>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</si>
  <si>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</si>
  <si>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</si>
  <si>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</si>
  <si>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</si>
  <si>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</si>
  <si>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</si>
  <si>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</si>
  <si>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</si>
  <si>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</si>
  <si>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</si>
  <si>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</si>
  <si>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</si>
  <si>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</si>
  <si>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</si>
  <si>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</si>
  <si>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</si>
  <si>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</si>
  <si>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</si>
  <si>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</si>
  <si>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</si>
  <si>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</si>
  <si>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</si>
  <si>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</si>
  <si>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</si>
  <si>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</si>
  <si>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</si>
  <si>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</si>
  <si>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</si>
  <si>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</si>
  <si>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</si>
  <si>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</si>
  <si>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</si>
  <si>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</si>
  <si>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</si>
  <si>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</si>
  <si>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</si>
  <si>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</si>
  <si>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</si>
  <si>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</si>
  <si>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</si>
  <si>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</si>
  <si>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</si>
  <si>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</si>
  <si>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</si>
  <si>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</si>
  <si>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</si>
  <si>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</si>
  <si>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</si>
  <si>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</si>
  <si>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</si>
  <si>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</si>
  <si>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</si>
  <si>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</si>
  <si>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</si>
  <si>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</si>
  <si>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</si>
  <si>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</si>
  <si>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</si>
  <si>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</si>
  <si>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</si>
  <si>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</si>
  <si>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</si>
  <si>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</si>
  <si>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</si>
  <si>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</si>
  <si>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</si>
  <si>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</si>
  <si>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</si>
  <si>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</si>
  <si>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</si>
  <si>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</si>
  <si>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</si>
  <si>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</si>
  <si>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</si>
  <si>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</si>
  <si>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</si>
  <si>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</si>
  <si>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</si>
  <si>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</si>
  <si>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</si>
  <si>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</si>
  <si>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</si>
  <si>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</si>
  <si>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</si>
  <si>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</si>
  <si>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</si>
  <si>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</si>
  <si>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</si>
  <si>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</si>
  <si>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</si>
  <si>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</si>
  <si>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</si>
  <si>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</si>
  <si>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</si>
  <si>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</si>
  <si>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</si>
  <si>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</si>
  <si>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</si>
  <si>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</si>
  <si>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</si>
  <si>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</si>
  <si>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</si>
  <si>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</si>
  <si>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</si>
  <si>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</si>
  <si>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</si>
  <si>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</si>
  <si>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</si>
  <si>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</si>
  <si>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</si>
  <si>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</si>
  <si>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</si>
  <si>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</si>
  <si>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</si>
  <si>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</si>
  <si>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</si>
  <si>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</si>
  <si>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</si>
  <si>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</si>
  <si>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</si>
  <si>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</si>
  <si>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</si>
  <si>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</si>
  <si>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</si>
  <si>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</si>
  <si>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</si>
  <si>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</si>
  <si>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</si>
  <si>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</si>
  <si>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</si>
  <si>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</si>
  <si>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</si>
  <si>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</si>
  <si>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</si>
  <si>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</si>
  <si>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</si>
  <si>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</si>
  <si>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</si>
  <si>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</si>
  <si>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</si>
  <si>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</si>
  <si>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</si>
  <si>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</si>
  <si>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</si>
  <si>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</si>
  <si>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</si>
  <si>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</si>
  <si>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</si>
  <si>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</si>
  <si>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</si>
  <si>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</si>
  <si>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</si>
  <si>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</si>
  <si>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</si>
  <si>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</si>
  <si>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</si>
  <si>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</si>
  <si>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</si>
  <si>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</si>
  <si>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</si>
  <si>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</si>
  <si>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</si>
  <si>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</si>
  <si>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</si>
  <si>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</si>
  <si>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</si>
  <si>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</si>
  <si>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</si>
  <si>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</si>
  <si>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</si>
  <si>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</si>
  <si>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</si>
  <si>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</si>
  <si>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</si>
  <si>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</si>
  <si>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</si>
  <si>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</si>
  <si>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</si>
  <si>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</si>
  <si>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</si>
  <si>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</si>
  <si>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</si>
  <si>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</si>
  <si>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</si>
  <si>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</si>
  <si>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</si>
  <si>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</si>
  <si>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</si>
  <si>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</si>
  <si>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</si>
  <si>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</si>
  <si>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</si>
  <si>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</si>
  <si>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</si>
  <si>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</si>
  <si>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</si>
  <si>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</si>
  <si>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</si>
  <si>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</si>
  <si>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</si>
  <si>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</si>
  <si>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</si>
  <si>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</si>
  <si>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</si>
  <si>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</si>
  <si>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</si>
  <si>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</si>
  <si>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</si>
  <si>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</si>
  <si>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</si>
  <si>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</si>
  <si>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</si>
  <si>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</si>
  <si>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</si>
  <si>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</si>
  <si>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</si>
  <si>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</si>
  <si>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</si>
  <si>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</si>
  <si>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</si>
  <si>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</si>
  <si>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</si>
  <si>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</si>
  <si>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</si>
  <si>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</si>
  <si>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</si>
  <si>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</si>
  <si>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</si>
  <si>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</si>
  <si>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</si>
  <si>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</si>
  <si>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</si>
  <si>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</si>
  <si>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</si>
  <si>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</si>
  <si>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</si>
  <si>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</si>
  <si>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</si>
  <si>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</si>
  <si>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</si>
  <si>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</si>
  <si>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</si>
  <si>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</si>
  <si>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</si>
  <si>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</si>
  <si>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</si>
  <si>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</si>
  <si>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</si>
  <si>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</si>
  <si>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</si>
  <si>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</si>
  <si>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</si>
  <si>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</si>
  <si>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</si>
  <si>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</si>
  <si>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</si>
  <si>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</si>
  <si>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</si>
  <si>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</si>
  <si>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</si>
  <si>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</si>
  <si>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</si>
  <si>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</si>
  <si>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</si>
  <si>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</si>
  <si>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</si>
  <si>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</si>
  <si>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</si>
  <si>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</si>
  <si>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</si>
  <si>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</si>
  <si>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</si>
  <si>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</si>
  <si>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</si>
  <si>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</si>
  <si>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</si>
  <si>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</si>
  <si>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</si>
  <si>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</si>
  <si>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</si>
  <si>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</si>
  <si>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</si>
  <si>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</si>
  <si>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</si>
  <si>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</si>
  <si>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</si>
  <si>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</si>
  <si>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</si>
  <si>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</si>
  <si>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</si>
  <si>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</si>
  <si>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</si>
  <si>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</si>
  <si>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</si>
  <si>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</si>
  <si>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</si>
  <si>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</si>
  <si>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</si>
  <si>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</si>
  <si>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</si>
  <si>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</si>
  <si>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</si>
  <si>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</si>
  <si>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</si>
  <si>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</si>
  <si>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</si>
  <si>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</si>
  <si>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</si>
  <si>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</si>
  <si>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</si>
  <si>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</si>
  <si>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</si>
  <si>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</si>
  <si>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</si>
  <si>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</si>
  <si>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</si>
  <si>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</si>
  <si>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</si>
  <si>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</si>
  <si>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</si>
  <si>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</si>
  <si>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</si>
  <si>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</si>
  <si>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</si>
  <si>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</si>
  <si>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</si>
  <si>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</si>
  <si>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</si>
  <si>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</si>
  <si>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</si>
  <si>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</si>
  <si>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</si>
  <si>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</si>
  <si>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</si>
  <si>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</si>
  <si>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</si>
  <si>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</si>
  <si>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</si>
  <si>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</si>
  <si>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</si>
  <si>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</si>
  <si>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</si>
  <si>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</si>
  <si>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</si>
  <si>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</si>
  <si>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</si>
  <si>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</si>
  <si>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</si>
  <si>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</si>
  <si>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</si>
  <si>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</si>
  <si>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</si>
  <si>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</si>
  <si>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</si>
  <si>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</si>
  <si>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</si>
  <si>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</si>
  <si>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</si>
  <si>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</si>
  <si>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</si>
  <si>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</si>
  <si>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</si>
  <si>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</si>
  <si>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</si>
  <si>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</si>
  <si>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</si>
  <si>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</si>
  <si>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</si>
  <si>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</si>
  <si>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</si>
  <si>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</si>
  <si>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</si>
  <si>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</si>
  <si>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</si>
  <si>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</si>
  <si>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</si>
  <si>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</si>
  <si>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</si>
  <si>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</si>
  <si>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</si>
  <si>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</si>
  <si>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</si>
  <si>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</si>
  <si>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</si>
  <si>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</si>
  <si>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</si>
  <si>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</si>
  <si>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</si>
  <si>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</si>
  <si>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</si>
  <si>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</si>
  <si>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</si>
  <si>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</si>
  <si>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</si>
  <si>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</si>
  <si>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</si>
  <si>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</si>
  <si>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</si>
  <si>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</si>
  <si>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</si>
  <si>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</si>
  <si>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</si>
  <si>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</si>
  <si>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</si>
  <si>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</si>
  <si>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</si>
  <si>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</si>
  <si>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</si>
  <si>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</si>
  <si>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</si>
  <si>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</si>
  <si>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</si>
  <si>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</si>
  <si>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</si>
  <si>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</si>
  <si>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</si>
  <si>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</si>
  <si>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</si>
  <si>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</si>
  <si>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</si>
  <si>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</si>
  <si>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</si>
  <si>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</si>
  <si>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</si>
  <si>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</si>
  <si>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</si>
  <si>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</si>
  <si>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</si>
  <si>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</si>
  <si>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</si>
  <si>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</si>
  <si>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</si>
  <si>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</si>
  <si>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</si>
  <si>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</si>
  <si>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</si>
  <si>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</si>
  <si>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</si>
  <si>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</si>
  <si>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</si>
  <si>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</si>
  <si>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</si>
  <si>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</si>
  <si>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</si>
  <si>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</si>
  <si>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</si>
  <si>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</si>
  <si>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</si>
  <si>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</si>
  <si>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</si>
  <si>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</si>
  <si>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</si>
  <si>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</si>
  <si>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</si>
  <si>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</si>
  <si>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</si>
  <si>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</si>
  <si>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</si>
  <si>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</si>
  <si>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</si>
  <si>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</si>
  <si>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</si>
  <si>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</si>
  <si>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</si>
  <si>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</si>
  <si>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</si>
  <si>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</si>
  <si>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</si>
  <si>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</si>
  <si>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</si>
  <si>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</si>
  <si>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</si>
  <si>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</si>
  <si>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</si>
  <si>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</si>
  <si>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</si>
  <si>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</si>
  <si>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</si>
  <si>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</si>
  <si>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</si>
  <si>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</si>
  <si>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</si>
  <si>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</si>
  <si>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</si>
  <si>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</si>
  <si>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</si>
  <si>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</si>
  <si>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</si>
  <si>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</si>
  <si>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</si>
  <si>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</si>
  <si>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</si>
  <si>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</si>
  <si>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</si>
  <si>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</si>
  <si>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</si>
  <si>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</si>
  <si>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</si>
  <si>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</si>
  <si>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</si>
  <si>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</si>
  <si>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</si>
  <si>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</si>
  <si>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</si>
  <si>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</si>
  <si>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</si>
  <si>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</si>
  <si>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</si>
  <si>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</si>
  <si>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</si>
  <si>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</si>
  <si>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</si>
  <si>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</si>
  <si>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</si>
  <si>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</si>
  <si>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</si>
  <si>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</si>
  <si>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</si>
  <si>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</si>
  <si>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</si>
  <si>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</si>
  <si>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</si>
  <si>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</si>
  <si>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</si>
  <si>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</si>
  <si>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</si>
  <si>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</si>
  <si>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</si>
  <si>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</si>
  <si>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</si>
  <si>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</si>
  <si>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</si>
  <si>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</si>
  <si>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</si>
  <si>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</si>
  <si>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</si>
  <si>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</si>
  <si>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</si>
  <si>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</si>
  <si>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</si>
  <si>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</si>
  <si>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</si>
  <si>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</si>
  <si>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</si>
  <si>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</si>
  <si>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</si>
  <si>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</si>
  <si>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</si>
  <si>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</si>
  <si>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</si>
  <si>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</si>
  <si>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</si>
  <si>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</si>
  <si>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</si>
  <si>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</si>
  <si>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</si>
  <si>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</si>
  <si>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</si>
  <si>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</si>
  <si>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</si>
  <si>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</si>
  <si>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</si>
  <si>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</si>
  <si>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</si>
  <si>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</si>
  <si>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</si>
  <si>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</si>
  <si>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</si>
  <si>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</si>
  <si>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</si>
  <si>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</si>
  <si>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</si>
  <si>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</si>
  <si>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</si>
  <si>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</si>
  <si>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</si>
  <si>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</si>
  <si>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</si>
  <si>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</si>
  <si>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</si>
  <si>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</si>
  <si>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</si>
  <si>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</si>
  <si>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</si>
  <si>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</si>
  <si>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</si>
  <si>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</si>
  <si>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</si>
  <si>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</si>
  <si>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</si>
  <si>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</si>
  <si>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</si>
  <si>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</si>
  <si>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</si>
  <si>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</si>
  <si>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</si>
  <si>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</si>
  <si>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</si>
  <si>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</si>
  <si>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</si>
  <si>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</si>
  <si>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</si>
  <si>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</si>
  <si>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</si>
  <si>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</si>
  <si>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</si>
  <si>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</si>
  <si>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</si>
  <si>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</si>
  <si>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</si>
  <si>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</si>
  <si>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</si>
  <si>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</si>
  <si>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</si>
  <si>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</si>
  <si>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</si>
  <si>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</si>
  <si>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</si>
  <si>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</si>
  <si>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</si>
  <si>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</si>
  <si>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</si>
  <si>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</si>
  <si>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</si>
  <si>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</si>
  <si>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</si>
  <si>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</si>
  <si>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</si>
  <si>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</si>
  <si>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</si>
  <si>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</si>
  <si>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</si>
  <si>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</si>
  <si>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</si>
  <si>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</si>
  <si>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</si>
  <si>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</si>
  <si>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</si>
  <si>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</si>
  <si>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</si>
  <si>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</si>
  <si>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</si>
  <si>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</si>
  <si>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</si>
  <si>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</si>
  <si>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</si>
  <si>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</si>
  <si>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</si>
  <si>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</si>
  <si>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</si>
  <si>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</si>
  <si>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</si>
  <si>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</si>
  <si>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</si>
  <si>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</si>
  <si>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</si>
  <si>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</si>
  <si>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</si>
  <si>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</si>
  <si>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</si>
  <si>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</si>
  <si>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</si>
  <si>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</si>
  <si>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</si>
  <si>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</si>
  <si>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</si>
  <si>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</si>
  <si>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</si>
  <si>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</si>
  <si>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</si>
  <si>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</si>
  <si>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</si>
  <si>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</si>
  <si>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</si>
  <si>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</si>
  <si>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</si>
  <si>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</si>
  <si>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</si>
  <si>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</si>
  <si>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</si>
  <si>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</si>
  <si>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</si>
  <si>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</si>
  <si>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</si>
  <si>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</si>
  <si>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</si>
  <si>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</si>
  <si>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</si>
  <si>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</si>
  <si>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</si>
  <si>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</si>
  <si>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</si>
  <si>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</si>
  <si>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</si>
  <si>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</si>
  <si>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</si>
  <si>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</si>
  <si>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</si>
  <si>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</si>
  <si>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</si>
  <si>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</si>
  <si>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</si>
  <si>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</si>
  <si>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</si>
  <si>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</si>
  <si>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</si>
  <si>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</si>
  <si>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</si>
  <si>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</si>
  <si>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</si>
  <si>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</si>
  <si>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</si>
  <si>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</si>
  <si>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</si>
  <si>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</si>
  <si>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</si>
  <si>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</si>
  <si>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</si>
  <si>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</si>
  <si>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</si>
  <si>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</si>
  <si>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</si>
  <si>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</si>
  <si>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</si>
  <si>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</si>
  <si>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</si>
  <si>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</si>
  <si>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</si>
  <si>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</si>
  <si>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</si>
  <si>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</si>
  <si>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</si>
  <si>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</si>
  <si>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</si>
  <si>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</si>
  <si>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</si>
  <si>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</si>
  <si>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</si>
  <si>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</si>
  <si>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</si>
  <si>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</si>
  <si>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</si>
  <si>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</si>
  <si>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</si>
  <si>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</si>
  <si>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</si>
  <si>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</si>
  <si>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</si>
  <si>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</si>
  <si>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</si>
  <si>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</si>
  <si>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</si>
  <si>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</si>
  <si>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</si>
  <si>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</si>
  <si>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</si>
  <si>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</si>
  <si>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</si>
  <si>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</si>
  <si>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</si>
  <si>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</si>
  <si>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</si>
  <si>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</si>
  <si>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</si>
  <si>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</si>
  <si>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</si>
  <si>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</si>
  <si>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</si>
  <si>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</si>
  <si>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</si>
  <si>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</si>
  <si>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</si>
  <si>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</si>
  <si>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</si>
  <si>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</si>
  <si>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</si>
  <si>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</si>
  <si>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</si>
  <si>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</si>
  <si>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</si>
  <si>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</si>
  <si>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</si>
  <si>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</si>
  <si>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</si>
  <si>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</si>
  <si>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</si>
  <si>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</si>
  <si>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</si>
  <si>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</si>
  <si>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</si>
  <si>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</si>
  <si>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</si>
  <si>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</si>
  <si>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</si>
  <si>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</si>
  <si>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</si>
  <si>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</si>
  <si>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</si>
  <si>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</si>
  <si>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</si>
  <si>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</si>
  <si>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</si>
  <si>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</si>
  <si>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</si>
  <si>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</si>
  <si>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</si>
  <si>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</si>
  <si>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</si>
  <si>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</si>
  <si>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</si>
  <si>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</si>
  <si>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</si>
  <si>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</si>
  <si>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</si>
  <si>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</si>
  <si>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</si>
  <si>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</si>
  <si>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</si>
  <si>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</si>
  <si>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</si>
  <si>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</si>
  <si>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</si>
  <si>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</si>
  <si>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</si>
  <si>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</si>
  <si>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</si>
  <si>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</si>
  <si>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</si>
  <si>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</si>
  <si>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</si>
  <si>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</si>
  <si>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</si>
  <si>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</si>
  <si>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</si>
  <si>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</si>
  <si>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</si>
  <si>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</si>
  <si>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</si>
  <si>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</si>
  <si>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</si>
  <si>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</si>
  <si>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</si>
  <si>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</si>
  <si>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</si>
  <si>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</si>
  <si>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</si>
  <si>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</si>
  <si>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</si>
  <si>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</si>
  <si>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</si>
  <si>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</si>
  <si>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</si>
  <si>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</si>
  <si>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</si>
  <si>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</si>
  <si>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</si>
  <si>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</si>
  <si>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</si>
  <si>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</si>
  <si>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</si>
  <si>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</si>
  <si>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</si>
  <si>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</si>
  <si>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</si>
  <si>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</si>
  <si>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</si>
  <si>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</si>
  <si>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</si>
  <si>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</si>
  <si>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</si>
  <si>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</si>
  <si>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</si>
  <si>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</si>
  <si>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</si>
  <si>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</si>
  <si>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</si>
  <si>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</si>
  <si>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</si>
  <si>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</si>
  <si>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</si>
  <si>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</si>
  <si>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</si>
  <si>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</si>
  <si>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</si>
  <si>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</si>
  <si>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</si>
  <si>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</si>
  <si>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</si>
  <si>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</si>
  <si>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</si>
  <si>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</si>
  <si>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</si>
  <si>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</si>
  <si>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</si>
  <si>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</si>
  <si>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</si>
  <si>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</si>
  <si>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</si>
  <si>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</si>
  <si>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</si>
  <si>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</si>
  <si>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</si>
  <si>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</si>
  <si>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</si>
  <si>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</si>
  <si>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</si>
  <si>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</si>
  <si>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</si>
  <si>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</si>
  <si>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</si>
  <si>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</si>
  <si>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</si>
  <si>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</si>
  <si>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</si>
  <si>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</si>
  <si>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</si>
  <si>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</si>
  <si>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</si>
  <si>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</si>
  <si>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</si>
  <si>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</si>
  <si>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</si>
  <si>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</si>
  <si>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</si>
  <si>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</si>
  <si>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</si>
  <si>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</si>
  <si>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</si>
  <si>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</si>
  <si>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</si>
  <si>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</si>
  <si>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</si>
  <si>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</si>
  <si>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</si>
  <si>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</si>
  <si>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</si>
  <si>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</si>
  <si>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</si>
  <si>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</si>
  <si>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</si>
  <si>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</si>
  <si>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</si>
  <si>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</si>
  <si>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</si>
  <si>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</si>
  <si>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</si>
  <si>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</si>
  <si>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</si>
  <si>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</si>
  <si>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</si>
  <si>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</si>
  <si>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</si>
  <si>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</si>
  <si>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</si>
  <si>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</si>
  <si>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</si>
  <si>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</si>
  <si>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</si>
  <si>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</si>
  <si>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</si>
  <si>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</si>
  <si>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</si>
  <si>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</si>
  <si>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</si>
  <si>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</si>
  <si>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</si>
  <si>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</si>
  <si>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</si>
  <si>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</si>
  <si>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</si>
  <si>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</si>
  <si>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</si>
  <si>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</si>
  <si>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</si>
  <si>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</si>
  <si>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</si>
  <si>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</si>
  <si>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</si>
  <si>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</si>
  <si>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</si>
  <si>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</si>
  <si>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</si>
  <si>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</si>
  <si>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</si>
  <si>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</si>
  <si>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</si>
  <si>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</si>
  <si>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</si>
  <si>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</si>
  <si>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</si>
  <si>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</si>
  <si>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</si>
  <si>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</si>
  <si>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</si>
  <si>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</si>
  <si>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</si>
  <si>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</si>
  <si>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</si>
  <si>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</si>
  <si>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</si>
  <si>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</si>
  <si>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</si>
  <si>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</si>
  <si>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</si>
  <si>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</si>
  <si>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</si>
  <si>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</si>
  <si>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</si>
  <si>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</si>
  <si>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</si>
  <si>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</si>
  <si>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</si>
  <si>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</si>
  <si>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</si>
  <si>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</si>
  <si>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</si>
  <si>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</si>
  <si>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</si>
  <si>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</si>
  <si>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</si>
  <si>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</si>
  <si>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</si>
  <si>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</si>
  <si>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</si>
  <si>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</si>
  <si>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</si>
  <si>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</si>
  <si>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</si>
  <si>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</si>
  <si>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</si>
  <si>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</si>
  <si>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</si>
  <si>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</si>
  <si>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</si>
  <si>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</si>
  <si>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</si>
  <si>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</si>
  <si>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</si>
  <si>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</si>
  <si>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</si>
  <si>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</si>
  <si>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</si>
  <si>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</si>
  <si>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</si>
  <si>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</si>
  <si>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</si>
  <si>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</si>
  <si>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</si>
  <si>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</si>
  <si>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</si>
  <si>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</si>
  <si>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</si>
  <si>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</si>
  <si>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</si>
  <si>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</si>
  <si>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</si>
  <si>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</si>
  <si>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</si>
  <si>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</si>
  <si>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</si>
  <si>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</si>
  <si>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</si>
  <si>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</si>
  <si>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</si>
  <si>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</si>
  <si>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</si>
  <si>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</si>
  <si>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</si>
  <si>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</si>
  <si>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</si>
  <si>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</si>
  <si>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</si>
  <si>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</si>
  <si>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</si>
  <si>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</si>
  <si>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</si>
  <si>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</si>
  <si>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</si>
  <si>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</si>
  <si>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</si>
  <si>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</si>
  <si>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</si>
  <si>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</si>
  <si>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</si>
  <si>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</si>
  <si>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</si>
  <si>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</si>
  <si>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</si>
  <si>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</si>
  <si>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</si>
  <si>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</si>
  <si>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</si>
  <si>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</si>
  <si>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</si>
  <si>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</si>
  <si>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</si>
  <si>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</si>
  <si>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</si>
  <si>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</si>
  <si>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</si>
  <si>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</si>
  <si>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</si>
  <si>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</si>
  <si>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</si>
  <si>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</si>
  <si>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</si>
  <si>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</si>
  <si>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</si>
  <si>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</si>
  <si>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</si>
  <si>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</si>
  <si>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</si>
  <si>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</si>
  <si>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</si>
  <si>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</si>
  <si>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</si>
  <si>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</si>
  <si>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</si>
  <si>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</si>
  <si>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</si>
  <si>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</si>
  <si>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</si>
  <si>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</si>
  <si>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</si>
  <si>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</si>
  <si>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</si>
  <si>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</si>
  <si>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</si>
  <si>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</si>
  <si>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</si>
  <si>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</si>
  <si>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</si>
  <si>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</si>
  <si>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</si>
  <si>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</si>
  <si>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</si>
  <si>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</si>
  <si>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</si>
  <si>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</si>
  <si>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</si>
  <si>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</si>
  <si>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</si>
  <si>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</si>
  <si>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</si>
  <si>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</si>
  <si>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</si>
  <si>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</si>
  <si>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</si>
  <si>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</si>
  <si>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</si>
  <si>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</si>
  <si>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</si>
  <si>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</si>
  <si>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</si>
  <si>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</si>
  <si>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</si>
  <si>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</si>
  <si>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</si>
  <si>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</si>
  <si>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</si>
  <si>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</si>
  <si>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</si>
  <si>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</si>
  <si>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</si>
  <si>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</si>
  <si>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</si>
  <si>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</si>
  <si>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</si>
  <si>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</si>
  <si>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</si>
  <si>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</si>
  <si>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</si>
  <si>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</si>
  <si>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</si>
  <si>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</si>
  <si>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</si>
  <si>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</si>
  <si>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</si>
  <si>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</si>
  <si>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</si>
  <si>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</si>
  <si>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</si>
  <si>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</si>
  <si>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</si>
  <si>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</si>
  <si>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</si>
  <si>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</si>
  <si>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</si>
  <si>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</si>
  <si>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</si>
  <si>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</si>
  <si>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</si>
  <si>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</si>
  <si>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</si>
  <si>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</si>
  <si>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</si>
  <si>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</si>
  <si>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</si>
  <si>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</si>
  <si>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</si>
  <si>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</si>
  <si>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</si>
  <si>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</si>
  <si>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</si>
  <si>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</si>
  <si>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</si>
  <si>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</si>
  <si>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</si>
  <si>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</si>
  <si>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</si>
  <si>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</si>
  <si>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</si>
  <si>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</si>
  <si>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</si>
  <si>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</si>
  <si>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</si>
  <si>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</si>
  <si>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</si>
  <si>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</si>
  <si>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</si>
  <si>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</si>
  <si>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</si>
  <si>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</si>
  <si>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</si>
  <si>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</si>
  <si>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</si>
  <si>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</si>
  <si>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</si>
  <si>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</si>
  <si>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</si>
  <si>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</si>
  <si>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</si>
  <si>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</si>
  <si>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</si>
  <si>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</si>
  <si>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</si>
  <si>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</si>
  <si>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</si>
  <si>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</si>
  <si>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</si>
  <si>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</si>
  <si>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</si>
  <si>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</si>
  <si>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</si>
  <si>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</si>
  <si>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</si>
  <si>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</si>
  <si>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</si>
  <si>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</si>
  <si>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</si>
  <si>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</si>
  <si>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</si>
  <si>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</si>
  <si>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</si>
  <si>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</si>
  <si>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</si>
  <si>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</si>
  <si>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</si>
  <si>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</si>
  <si>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</si>
  <si>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</si>
  <si>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</si>
  <si>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</si>
  <si>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</si>
  <si>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</si>
  <si>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</si>
  <si>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</si>
  <si>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</si>
  <si>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</si>
  <si>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</si>
  <si>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</si>
  <si>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</si>
  <si>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</si>
  <si>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</si>
  <si>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</si>
  <si>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</si>
  <si>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</si>
  <si>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</si>
  <si>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</si>
  <si>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</si>
  <si>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</si>
  <si>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</si>
  <si>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</si>
  <si>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</si>
  <si>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</si>
  <si>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</si>
  <si>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</si>
  <si>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</si>
  <si>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</si>
  <si>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</si>
  <si>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</si>
  <si>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</si>
  <si>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</si>
  <si>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</si>
  <si>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</si>
  <si>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</si>
  <si>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</si>
  <si>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</si>
  <si>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</si>
  <si>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</si>
  <si>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</si>
  <si>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</si>
  <si>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</si>
  <si>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</si>
  <si>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</si>
  <si>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</si>
  <si>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</si>
  <si>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</si>
  <si>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</si>
  <si>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</si>
  <si>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</si>
  <si>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</si>
  <si>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</si>
  <si>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</si>
  <si>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</si>
  <si>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</si>
  <si>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</si>
  <si>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</si>
  <si>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</si>
  <si>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</si>
  <si>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</si>
  <si>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</si>
  <si>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</si>
  <si>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</si>
  <si>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</si>
  <si>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</si>
  <si>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</si>
  <si>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</si>
  <si>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</si>
  <si>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</si>
  <si>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</si>
  <si>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</si>
  <si>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</si>
  <si>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</si>
  <si>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</si>
  <si>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</si>
  <si>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</si>
  <si>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</si>
  <si>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</si>
  <si>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</si>
  <si>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</si>
  <si>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</si>
  <si>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</si>
  <si>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</si>
  <si>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</si>
  <si>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</si>
  <si>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</si>
  <si>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</si>
  <si>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</si>
  <si>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</si>
  <si>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</si>
  <si>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</si>
  <si>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</si>
  <si>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</si>
  <si>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</si>
  <si>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</si>
  <si>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</si>
  <si>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</si>
  <si>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</si>
  <si>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</si>
  <si>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</si>
  <si>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</si>
  <si>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</si>
  <si>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</si>
  <si>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</si>
  <si>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</si>
  <si>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</si>
  <si>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</si>
  <si>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</si>
  <si>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</si>
  <si>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</si>
  <si>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</si>
  <si>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</si>
  <si>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</si>
  <si>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</si>
  <si>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</si>
  <si>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</si>
  <si>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</si>
  <si>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</si>
  <si>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</si>
  <si>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</si>
  <si>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</si>
  <si>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</si>
  <si>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</si>
  <si>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</si>
  <si>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</si>
  <si>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</si>
  <si>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</si>
  <si>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</si>
  <si>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</si>
  <si>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</si>
  <si>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</si>
  <si>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</si>
  <si>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</si>
  <si>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</si>
  <si>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</si>
  <si>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</si>
  <si>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</si>
  <si>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</si>
  <si>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</si>
  <si>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</si>
  <si>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</si>
  <si>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</si>
  <si>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</si>
  <si>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</si>
  <si>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</si>
  <si>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</si>
  <si>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</si>
  <si>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</si>
  <si>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</si>
  <si>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</si>
  <si>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</si>
  <si>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</si>
  <si>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</si>
  <si>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</si>
  <si>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</si>
  <si>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</si>
  <si>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</si>
  <si>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</si>
  <si>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</si>
  <si>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</si>
  <si>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</si>
  <si>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</si>
  <si>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</si>
  <si>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</si>
  <si>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</si>
  <si>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</si>
  <si>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</si>
  <si>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</si>
  <si>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</si>
  <si>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</si>
  <si>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</si>
  <si>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</si>
  <si>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</si>
  <si>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</si>
  <si>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</si>
  <si>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</si>
  <si>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</si>
  <si>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</si>
  <si>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</si>
  <si>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</si>
  <si>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</si>
  <si>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</si>
  <si>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</si>
  <si>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</si>
  <si>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</si>
  <si>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</si>
  <si>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</si>
  <si>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</si>
  <si>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</si>
  <si>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</si>
  <si>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</si>
  <si>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</si>
  <si>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</si>
  <si>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</si>
  <si>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</si>
  <si>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</si>
  <si>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</si>
  <si>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</si>
  <si>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</si>
  <si>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</si>
  <si>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</si>
  <si>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</si>
  <si>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</si>
  <si>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</si>
  <si>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</si>
  <si>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</si>
  <si>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</si>
  <si>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</si>
  <si>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</si>
  <si>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</si>
  <si>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</si>
  <si>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</si>
  <si>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</si>
  <si>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</si>
  <si>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</si>
  <si>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</si>
  <si>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</si>
  <si>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</si>
  <si>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</si>
  <si>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</si>
  <si>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</si>
  <si>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</si>
  <si>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</si>
  <si>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</si>
  <si>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</si>
  <si>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</si>
  <si>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</si>
  <si>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</si>
  <si>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</si>
  <si>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</si>
  <si>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</si>
  <si>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</si>
  <si>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</si>
  <si>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</si>
  <si>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</si>
  <si>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</si>
  <si>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</si>
  <si>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</si>
  <si>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</si>
  <si>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</si>
  <si>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</si>
  <si>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</si>
  <si>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</si>
  <si>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</si>
  <si>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</si>
  <si>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</si>
  <si>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</si>
  <si>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</si>
  <si>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</si>
  <si>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</si>
  <si>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</si>
  <si>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</si>
  <si>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</si>
  <si>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</si>
  <si>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</si>
  <si>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</si>
  <si>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</si>
  <si>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</si>
  <si>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</si>
  <si>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</si>
  <si>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</si>
  <si>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</si>
  <si>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</si>
  <si>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</si>
  <si>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</si>
  <si>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</si>
  <si>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</si>
  <si>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</si>
  <si>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</si>
  <si>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</si>
  <si>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</si>
  <si>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</si>
  <si>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</si>
  <si>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</si>
  <si>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</si>
  <si>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</si>
  <si>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</si>
  <si>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</si>
  <si>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</si>
  <si>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</si>
  <si>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</si>
  <si>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</si>
  <si>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</si>
  <si>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</si>
  <si>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</si>
  <si>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</si>
  <si>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</si>
  <si>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</si>
  <si>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</si>
  <si>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</si>
  <si>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</si>
  <si>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</si>
  <si>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</si>
  <si>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</si>
  <si>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</si>
  <si>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</si>
  <si>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</si>
  <si>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</si>
  <si>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</si>
  <si>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</si>
  <si>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</si>
  <si>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</si>
  <si>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</si>
  <si>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</si>
  <si>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</si>
  <si>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</si>
  <si>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</si>
  <si>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</si>
  <si>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</si>
  <si>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</si>
  <si>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</si>
  <si>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</si>
  <si>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</si>
  <si>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</si>
  <si>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</si>
  <si>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</si>
  <si>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</si>
  <si>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</si>
  <si>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</si>
  <si>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</si>
  <si>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</si>
  <si>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</si>
  <si>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</si>
  <si>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</si>
  <si>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</si>
  <si>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</si>
  <si>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</si>
  <si>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</si>
  <si>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</si>
  <si>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</si>
  <si>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</si>
  <si>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</si>
  <si>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</si>
  <si>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</si>
  <si>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</si>
  <si>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</si>
  <si>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</si>
  <si>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</si>
  <si>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</si>
  <si>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</si>
  <si>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</si>
  <si>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</si>
  <si>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</si>
  <si>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</si>
  <si>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</si>
  <si>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</si>
  <si>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</si>
  <si>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</si>
  <si>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</si>
  <si>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</si>
  <si>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</si>
  <si>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</si>
  <si>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</si>
  <si>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</si>
  <si>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</si>
  <si>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</si>
  <si>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</si>
  <si>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</si>
  <si>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</si>
  <si>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</si>
  <si>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</si>
  <si>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</si>
  <si>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</si>
  <si>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</si>
  <si>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</si>
  <si>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</si>
  <si>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</si>
  <si>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</si>
  <si>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</si>
  <si>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</si>
  <si>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</si>
  <si>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</si>
  <si>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</si>
  <si>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</si>
  <si>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</si>
  <si>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</si>
  <si>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</si>
  <si>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</si>
  <si>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</si>
  <si>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</si>
  <si>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</si>
  <si>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</si>
  <si>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</si>
  <si>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</si>
  <si>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</si>
  <si>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</si>
  <si>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</si>
  <si>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</si>
  <si>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</si>
  <si>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</si>
  <si>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</si>
  <si>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</si>
  <si>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</si>
  <si>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</si>
  <si>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</si>
  <si>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</si>
  <si>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</si>
  <si>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</si>
  <si>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</si>
  <si>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</si>
  <si>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</si>
  <si>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</si>
  <si>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</si>
  <si>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</si>
  <si>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</si>
  <si>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</si>
  <si>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</si>
  <si>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</si>
  <si>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</si>
  <si>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</si>
  <si>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</si>
  <si>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</si>
  <si>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</si>
  <si>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</si>
  <si>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</si>
  <si>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</si>
  <si>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</si>
  <si>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</si>
  <si>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</si>
  <si>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</si>
  <si>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</si>
  <si>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</si>
  <si>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</si>
  <si>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</si>
  <si>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</si>
  <si>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</si>
  <si>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</si>
  <si>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</si>
  <si>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</si>
  <si>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</si>
  <si>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</si>
  <si>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</si>
  <si>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</si>
  <si>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</si>
  <si>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</si>
  <si>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</si>
  <si>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</si>
  <si>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</si>
  <si>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</si>
  <si>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</si>
  <si>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</si>
  <si>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</si>
  <si>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</si>
  <si>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</si>
  <si>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</si>
  <si>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</si>
  <si>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</si>
  <si>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</si>
  <si>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</si>
  <si>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</si>
  <si>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</si>
  <si>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</si>
  <si>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</si>
  <si>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</si>
  <si>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</si>
  <si>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</si>
  <si>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</si>
  <si>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</si>
  <si>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</si>
  <si>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</si>
  <si>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</si>
  <si>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</si>
  <si>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</si>
  <si>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</si>
  <si>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</si>
  <si>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</si>
  <si>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</si>
  <si>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</si>
  <si>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</si>
  <si>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</si>
  <si>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</si>
  <si>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</si>
  <si>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</si>
  <si>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</si>
  <si>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</si>
  <si>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</si>
  <si>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</si>
  <si>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</si>
  <si>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</si>
  <si>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</si>
  <si>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</si>
  <si>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</si>
  <si>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</si>
  <si>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</si>
  <si>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</si>
  <si>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</si>
  <si>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</si>
  <si>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</si>
  <si>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</si>
  <si>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</si>
  <si>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</si>
  <si>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</si>
  <si>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</si>
  <si>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</si>
  <si>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</si>
  <si>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</si>
  <si>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</si>
  <si>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</si>
  <si>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</si>
  <si>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</si>
  <si>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</si>
  <si>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</si>
  <si>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</si>
  <si>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</si>
  <si>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</si>
  <si>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</si>
  <si>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</si>
  <si>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</si>
  <si>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</si>
  <si>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</si>
  <si>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</si>
  <si>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</si>
  <si>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</si>
  <si>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</si>
  <si>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</si>
  <si>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</si>
  <si>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</si>
  <si>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</si>
  <si>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</si>
  <si>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</si>
  <si>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</si>
  <si>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</si>
  <si>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</si>
  <si>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</si>
  <si>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</si>
  <si>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</si>
  <si>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</si>
  <si>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</si>
  <si>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</si>
  <si>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</si>
  <si>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</si>
  <si>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</si>
  <si>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</si>
  <si>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</si>
  <si>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</si>
  <si>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</si>
  <si>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</si>
  <si>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</si>
  <si>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</si>
  <si>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</si>
  <si>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</si>
  <si>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</si>
  <si>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</si>
  <si>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</si>
  <si>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</si>
  <si>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</si>
  <si>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</si>
  <si>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</si>
  <si>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</si>
  <si>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</si>
  <si>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</si>
  <si>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</si>
  <si>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</si>
  <si>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</si>
  <si>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</si>
  <si>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</si>
  <si>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</si>
  <si>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</si>
  <si>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</si>
  <si>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</si>
  <si>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</si>
  <si>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</si>
  <si>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</si>
  <si>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</si>
  <si>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</si>
  <si>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</si>
  <si>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</si>
  <si>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</si>
  <si>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</si>
  <si>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</si>
  <si>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</si>
  <si>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</si>
  <si>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</si>
  <si>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</si>
  <si>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</si>
  <si>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</si>
  <si>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</si>
  <si>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</si>
  <si>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</si>
  <si>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</si>
  <si>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</si>
  <si>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</si>
  <si>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</si>
  <si>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</si>
  <si>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</si>
  <si>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</si>
  <si>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</si>
  <si>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</si>
  <si>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</si>
  <si>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</si>
  <si>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</si>
  <si>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</si>
  <si>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</si>
  <si>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</si>
  <si>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</si>
  <si>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</si>
  <si>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</si>
  <si>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</si>
  <si>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</si>
  <si>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</si>
  <si>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</si>
  <si>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</si>
  <si>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</si>
  <si>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</si>
  <si>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</si>
  <si>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</si>
  <si>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</si>
  <si>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</si>
  <si>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</si>
  <si>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</si>
  <si>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</si>
  <si>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</si>
  <si>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</si>
  <si>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</si>
  <si>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</si>
  <si>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</si>
  <si>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</si>
  <si>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</si>
  <si>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</si>
  <si>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</si>
  <si>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</si>
  <si>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</si>
  <si>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</si>
  <si>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</si>
  <si>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</si>
  <si>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</si>
  <si>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</si>
  <si>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</si>
  <si>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</si>
  <si>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</si>
  <si>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</si>
  <si>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</si>
  <si>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</si>
  <si>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</si>
  <si>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</si>
  <si>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</si>
  <si>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</si>
  <si>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</si>
  <si>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</si>
  <si>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</si>
  <si>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</si>
  <si>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</si>
  <si>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</si>
  <si>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</si>
  <si>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</si>
  <si>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</si>
  <si>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</si>
  <si>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</si>
  <si>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</si>
  <si>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</si>
  <si>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</si>
  <si>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</si>
  <si>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</si>
  <si>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</si>
  <si>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</si>
  <si>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</si>
  <si>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</si>
  <si>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</si>
  <si>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</si>
  <si>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</si>
  <si>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</si>
  <si>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</si>
  <si>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</si>
  <si>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</si>
  <si>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</si>
  <si>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</si>
  <si>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</si>
  <si>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</si>
  <si>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</si>
  <si>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</si>
  <si>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</si>
  <si>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</si>
  <si>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</si>
  <si>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</si>
  <si>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</si>
  <si>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</si>
  <si>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</si>
  <si>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</si>
  <si>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</si>
  <si>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</si>
  <si>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</si>
  <si>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</si>
  <si>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</si>
  <si>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</si>
  <si>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</si>
  <si>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</si>
  <si>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</si>
  <si>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</si>
  <si>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</si>
  <si>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</si>
  <si>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</si>
  <si>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</si>
  <si>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</si>
  <si>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</si>
  <si>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</si>
  <si>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</si>
  <si>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</si>
  <si>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</si>
  <si>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</si>
  <si>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</si>
  <si>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</si>
  <si>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</si>
  <si>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</si>
  <si>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</si>
  <si>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</si>
  <si>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</si>
  <si>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</si>
  <si>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</si>
  <si>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</si>
  <si>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</si>
  <si>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</si>
  <si>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</si>
  <si>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</si>
  <si>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</si>
  <si>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</si>
  <si>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</si>
  <si>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</si>
  <si>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</si>
  <si>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</si>
  <si>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</si>
  <si>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</si>
  <si>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</si>
  <si>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</si>
  <si>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</si>
  <si>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</si>
  <si>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</si>
  <si>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</si>
  <si>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</si>
  <si>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</si>
  <si>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</si>
  <si>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</si>
  <si>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</si>
  <si>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</si>
  <si>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</si>
  <si>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</si>
  <si>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</si>
  <si>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</si>
  <si>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</si>
  <si>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</si>
  <si>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</si>
  <si>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</si>
  <si>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</si>
  <si>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</si>
  <si>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</si>
  <si>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</si>
  <si>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</si>
  <si>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</si>
  <si>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</si>
  <si>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</si>
  <si>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</si>
  <si>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</si>
  <si>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</si>
  <si>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</si>
  <si>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</si>
  <si>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</si>
  <si>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</si>
  <si>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</si>
  <si>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</si>
  <si>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</si>
  <si>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</si>
  <si>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</si>
  <si>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</si>
  <si>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</si>
  <si>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</si>
  <si>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</si>
  <si>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</si>
  <si>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</si>
  <si>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</si>
  <si>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</si>
  <si>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</si>
  <si>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</si>
  <si>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</si>
  <si>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</si>
  <si>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</si>
  <si>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</si>
  <si>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</si>
  <si>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</si>
  <si>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</si>
  <si>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</si>
  <si>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</si>
  <si>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</si>
  <si>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</si>
  <si>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</si>
  <si>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</si>
  <si>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</si>
  <si>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</si>
  <si>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</si>
  <si>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</si>
  <si>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</si>
  <si>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</si>
  <si>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</si>
  <si>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</si>
  <si>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</si>
  <si>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</si>
  <si>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</si>
  <si>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</si>
  <si>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</si>
  <si>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</si>
  <si>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</si>
  <si>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</si>
  <si>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</si>
  <si>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</si>
  <si>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</si>
  <si>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</si>
  <si>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</si>
  <si>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</si>
  <si>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</si>
  <si>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</si>
  <si>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</si>
  <si>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</si>
  <si>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</si>
  <si>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</si>
  <si>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</si>
  <si>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</si>
  <si>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</si>
  <si>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</si>
  <si>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</si>
  <si>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</si>
  <si>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</si>
  <si>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</si>
  <si>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</si>
  <si>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</si>
  <si>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</si>
  <si>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</si>
  <si>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</si>
  <si>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</si>
  <si>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</si>
  <si>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</si>
  <si>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</si>
  <si>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</si>
  <si>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</si>
  <si>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</si>
  <si>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</si>
  <si>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</si>
  <si>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</si>
  <si>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</si>
  <si>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</si>
  <si>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</si>
  <si>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</si>
  <si>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</si>
  <si>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</si>
  <si>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</si>
  <si>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</si>
  <si>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</si>
  <si>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</si>
  <si>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</si>
  <si>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</si>
  <si>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</si>
  <si>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</si>
  <si>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</si>
  <si>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</si>
  <si>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</si>
  <si>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</si>
  <si>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</si>
  <si>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</si>
  <si>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</si>
  <si>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</si>
  <si>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</si>
  <si>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</si>
  <si>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</si>
  <si>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</si>
  <si>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</si>
  <si>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</si>
  <si>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</si>
  <si>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</si>
  <si>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</si>
  <si>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</si>
  <si>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</si>
  <si>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</si>
  <si>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</si>
  <si>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</si>
  <si>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</si>
  <si>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</si>
  <si>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</si>
  <si>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</si>
  <si>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</si>
  <si>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</si>
  <si>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</si>
  <si>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</si>
  <si>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</si>
  <si>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</si>
  <si>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</si>
  <si>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</si>
  <si>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</si>
  <si>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</si>
  <si>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</si>
  <si>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</si>
  <si>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</si>
  <si>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</si>
  <si>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</si>
  <si>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</si>
  <si>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</si>
  <si>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</si>
  <si>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</si>
  <si>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</si>
  <si>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</si>
  <si>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</si>
  <si>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</si>
  <si>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</si>
  <si>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</si>
  <si>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</si>
  <si>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</si>
  <si>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</si>
  <si>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</si>
  <si>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</si>
  <si>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</si>
  <si>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</si>
  <si>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</si>
  <si>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</si>
  <si>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</si>
  <si>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</si>
  <si>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</si>
  <si>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</si>
  <si>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</si>
  <si>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</si>
  <si>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</si>
  <si>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</si>
  <si>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</si>
  <si>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</si>
  <si>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</si>
  <si>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</si>
  <si>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</si>
  <si>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</si>
  <si>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</si>
  <si>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</si>
  <si>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</si>
  <si>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</si>
  <si>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</si>
  <si>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</si>
  <si>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</si>
  <si>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</si>
  <si>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</si>
  <si>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</si>
  <si>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</si>
  <si>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</si>
  <si>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</si>
  <si>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</si>
  <si>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</si>
  <si>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</si>
  <si>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</si>
  <si>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</si>
  <si>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</si>
  <si>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</si>
  <si>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</si>
  <si>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</si>
  <si>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</si>
  <si>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</si>
  <si>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</si>
  <si>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</si>
  <si>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</si>
  <si>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</si>
  <si>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</si>
  <si>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</si>
  <si>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</si>
  <si>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</si>
  <si>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</si>
  <si>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</si>
  <si>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</si>
  <si>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</si>
  <si>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</si>
  <si>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</si>
  <si>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</si>
  <si>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</si>
  <si>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</si>
  <si>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</si>
  <si>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</si>
  <si>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</si>
  <si>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</si>
  <si>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</si>
  <si>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</si>
  <si>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</si>
  <si>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</si>
  <si>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</si>
  <si>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</si>
  <si>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</si>
  <si>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</si>
  <si>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</si>
  <si>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</si>
  <si>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</si>
  <si>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</si>
  <si>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</si>
  <si>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</si>
  <si>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</si>
  <si>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</si>
  <si>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</si>
  <si>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</si>
  <si>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</si>
  <si>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</si>
  <si>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</si>
  <si>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</si>
  <si>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</si>
  <si>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</si>
  <si>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</si>
  <si>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</si>
  <si>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</si>
  <si>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</si>
  <si>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</si>
  <si>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</si>
  <si>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</si>
  <si>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</si>
  <si>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</si>
  <si>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</si>
  <si>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</si>
  <si>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</si>
  <si>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</si>
  <si>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</si>
  <si>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</si>
  <si>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</si>
  <si>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</si>
  <si>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</si>
  <si>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</si>
  <si>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</si>
  <si>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</si>
  <si>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</si>
  <si>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</si>
  <si>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</si>
  <si>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</si>
  <si>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</si>
  <si>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</si>
  <si>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</si>
  <si>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</si>
  <si>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</si>
  <si>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</si>
  <si>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</si>
  <si>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</si>
  <si>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</si>
  <si>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</si>
  <si>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</si>
  <si>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</si>
  <si>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</si>
  <si>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</si>
  <si>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</si>
  <si>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</si>
  <si>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</si>
  <si>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</si>
  <si>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</si>
  <si>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</si>
  <si>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</si>
  <si>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</si>
  <si>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</si>
  <si>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</si>
  <si>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</si>
  <si>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</si>
  <si>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</si>
  <si>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</si>
  <si>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</si>
  <si>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</si>
  <si>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</si>
  <si>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</si>
  <si>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</si>
  <si>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</si>
  <si>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</si>
  <si>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</si>
  <si>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</si>
  <si>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</si>
  <si>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</si>
  <si>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</si>
  <si>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</si>
  <si>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</si>
  <si>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</si>
  <si>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</si>
  <si>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</si>
  <si>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</si>
  <si>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</si>
  <si>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</si>
  <si>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</si>
  <si>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</si>
  <si>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</si>
  <si>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</si>
  <si>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</si>
  <si>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</si>
  <si>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</si>
  <si>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</si>
  <si>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</si>
  <si>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</si>
  <si>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</si>
  <si>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</si>
  <si>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</si>
  <si>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</si>
  <si>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</si>
  <si>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</si>
  <si>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</si>
  <si>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</si>
  <si>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</si>
  <si>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</si>
  <si>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</si>
  <si>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</si>
  <si>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</si>
  <si>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</si>
  <si>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</si>
  <si>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</si>
  <si>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</si>
  <si>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</si>
  <si>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</si>
  <si>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</si>
  <si>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</si>
  <si>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</si>
  <si>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</si>
  <si>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</si>
  <si>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</si>
  <si>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</si>
  <si>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</si>
  <si>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</si>
  <si>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</si>
  <si>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</si>
  <si>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</si>
  <si>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</si>
  <si>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</si>
  <si>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</si>
  <si>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</si>
  <si>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</si>
  <si>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</si>
  <si>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</si>
  <si>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</si>
  <si>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</si>
  <si>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</si>
  <si>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</si>
  <si>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</si>
  <si>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</si>
  <si>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</si>
  <si>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</si>
  <si>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</si>
  <si>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</si>
  <si>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</si>
  <si>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</si>
  <si>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</si>
  <si>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</si>
  <si>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</si>
  <si>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</si>
  <si>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</si>
  <si>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</si>
  <si>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</si>
  <si>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</si>
  <si>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</si>
  <si>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</si>
  <si>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</si>
  <si>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</si>
  <si>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</si>
  <si>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</si>
  <si>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</si>
  <si>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</si>
  <si>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</si>
  <si>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</si>
  <si>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</si>
  <si>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</si>
  <si>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</si>
  <si>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</si>
  <si>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</si>
  <si>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</si>
  <si>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</si>
  <si>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</si>
  <si>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</si>
  <si>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</si>
  <si>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</si>
  <si>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</si>
  <si>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</si>
  <si>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</si>
  <si>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</si>
  <si>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</si>
  <si>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</si>
  <si>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</si>
  <si>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</si>
  <si>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</si>
  <si>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</si>
  <si>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</si>
  <si>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</si>
  <si>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</si>
  <si>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</si>
  <si>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</si>
  <si>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</si>
  <si>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</si>
  <si>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</si>
  <si>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</si>
  <si>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</si>
  <si>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</si>
  <si>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</si>
  <si>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</si>
  <si>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</si>
  <si>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</si>
  <si>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</si>
  <si>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</si>
  <si>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</si>
  <si>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</si>
  <si>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</si>
  <si>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</si>
  <si>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</si>
  <si>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</si>
  <si>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</si>
  <si>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</si>
  <si>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</si>
  <si>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</si>
  <si>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</si>
  <si>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</si>
  <si>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</si>
  <si>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</si>
  <si>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</si>
  <si>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</si>
  <si>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</si>
  <si>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</si>
  <si>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</si>
  <si>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</si>
  <si>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</si>
  <si>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</si>
  <si>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</si>
  <si>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</si>
  <si>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</si>
  <si>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</si>
  <si>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</si>
  <si>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</si>
  <si>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</si>
  <si>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</si>
  <si>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</si>
  <si>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</si>
  <si>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</si>
  <si>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</si>
  <si>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</si>
  <si>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</si>
  <si>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</si>
  <si>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</si>
  <si>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</si>
  <si>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</si>
  <si>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</si>
  <si>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</si>
  <si>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</si>
  <si>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</si>
  <si>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</si>
  <si>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</si>
  <si>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</si>
  <si>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</si>
  <si>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</si>
  <si>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</si>
  <si>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</si>
  <si>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</si>
  <si>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</si>
  <si>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</si>
  <si>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</si>
  <si>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</si>
  <si>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</si>
  <si>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</si>
  <si>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</si>
  <si>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</si>
  <si>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</si>
  <si>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</si>
  <si>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</si>
  <si>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</si>
  <si>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</si>
  <si>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</si>
  <si>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</si>
  <si>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</si>
  <si>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</si>
  <si>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</si>
  <si>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</si>
  <si>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</si>
  <si>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</si>
  <si>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</si>
  <si>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</si>
  <si>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</si>
  <si>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</si>
  <si>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</si>
  <si>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</si>
  <si>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</si>
  <si>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</si>
  <si>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</si>
  <si>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</si>
  <si>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</si>
  <si>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</si>
  <si>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</si>
  <si>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</si>
  <si>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</si>
  <si>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</si>
  <si>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</si>
  <si>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</si>
  <si>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</si>
  <si>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</si>
  <si>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</si>
  <si>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</si>
  <si>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</si>
  <si>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</si>
  <si>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</si>
  <si>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</si>
  <si>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</si>
  <si>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</si>
  <si>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</si>
  <si>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</si>
  <si>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</si>
  <si>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</si>
  <si>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</si>
  <si>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</si>
  <si>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</si>
  <si>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</si>
  <si>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</si>
  <si>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</si>
  <si>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</si>
  <si>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</si>
  <si>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</si>
  <si>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</si>
  <si>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</si>
  <si>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</si>
  <si>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</si>
  <si>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</si>
  <si>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</si>
  <si>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</si>
  <si>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</si>
  <si>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</si>
  <si>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</si>
  <si>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</si>
  <si>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</si>
  <si>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</si>
  <si>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</si>
  <si>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</si>
  <si>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</si>
  <si>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</si>
  <si>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</si>
  <si>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</si>
  <si>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</si>
  <si>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</si>
  <si>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</si>
  <si>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</si>
  <si>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</si>
  <si>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</si>
  <si>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</si>
  <si>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</si>
  <si>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</si>
  <si>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</si>
  <si>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</si>
  <si>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</si>
  <si>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</si>
  <si>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</si>
  <si>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</si>
  <si>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</si>
  <si>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</si>
  <si>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</si>
  <si>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</si>
  <si>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</si>
  <si>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</si>
  <si>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</si>
  <si>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</si>
  <si>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</si>
  <si>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</si>
  <si>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</si>
  <si>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</si>
  <si>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</si>
  <si>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</si>
  <si>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</si>
  <si>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</si>
  <si>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</si>
  <si>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</si>
  <si>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</si>
  <si>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</si>
  <si>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</si>
  <si>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</si>
  <si>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</si>
  <si>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</si>
  <si>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</si>
  <si>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</si>
  <si>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</si>
  <si>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</si>
  <si>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</si>
  <si>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</si>
  <si>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</si>
  <si>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</si>
  <si>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</si>
  <si>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</si>
  <si>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</si>
  <si>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</si>
  <si>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</si>
  <si>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</si>
  <si>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</si>
  <si>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</si>
  <si>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</si>
  <si>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</si>
  <si>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</si>
  <si>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</si>
  <si>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</si>
  <si>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</si>
  <si>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</si>
  <si>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</si>
  <si>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</si>
  <si>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</si>
  <si>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</si>
  <si>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</si>
  <si>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</si>
  <si>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</si>
  <si>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</si>
  <si>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</si>
  <si>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</si>
  <si>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</si>
  <si>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</si>
  <si>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</si>
  <si>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</si>
  <si>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</si>
  <si>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</si>
  <si>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</si>
  <si>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</si>
  <si>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</si>
  <si>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</si>
  <si>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</si>
  <si>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</si>
  <si>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</si>
  <si>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</si>
  <si>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</si>
  <si>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</si>
  <si>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</si>
  <si>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</si>
  <si>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</si>
  <si>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</si>
  <si>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</si>
  <si>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</si>
  <si>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</si>
  <si>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</si>
  <si>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</si>
  <si>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</si>
  <si>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</si>
  <si>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</si>
  <si>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</si>
  <si>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</si>
  <si>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</si>
  <si>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</si>
  <si>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</si>
  <si>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</si>
  <si>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</si>
  <si>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</si>
  <si>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</si>
  <si>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</si>
  <si>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</si>
  <si>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</si>
  <si>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</si>
  <si>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</si>
  <si>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</si>
  <si>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</si>
  <si>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</si>
  <si>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</si>
  <si>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</si>
  <si>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</si>
  <si>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</si>
  <si>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</si>
  <si>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</si>
  <si>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</si>
  <si>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</si>
  <si>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</si>
  <si>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</si>
  <si>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</si>
  <si>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</si>
  <si>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</si>
  <si>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</si>
  <si>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</si>
  <si>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</si>
  <si>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</si>
  <si>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</si>
  <si>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</si>
  <si>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</si>
  <si>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</si>
  <si>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</si>
  <si>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</si>
  <si>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</si>
  <si>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</si>
  <si>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</si>
  <si>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</si>
  <si>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</si>
  <si>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</si>
  <si>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</si>
  <si>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</si>
  <si>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</si>
  <si>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</si>
  <si>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</si>
  <si>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</si>
  <si>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</si>
  <si>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</si>
  <si>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</si>
  <si>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</si>
  <si>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</si>
  <si>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</si>
  <si>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</si>
  <si>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</si>
  <si>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</si>
  <si>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</si>
  <si>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</si>
  <si>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</si>
  <si>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</si>
  <si>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</si>
  <si>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</si>
  <si>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</si>
  <si>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</si>
  <si>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</si>
  <si>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</si>
  <si>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</si>
  <si>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</si>
  <si>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</si>
  <si>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</si>
  <si>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</si>
  <si>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</si>
  <si>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</si>
  <si>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</si>
  <si>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</si>
  <si>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</si>
  <si>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</si>
  <si>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</si>
  <si>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</si>
  <si>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</si>
  <si>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</si>
  <si>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</si>
  <si>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</si>
  <si>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</si>
  <si>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</si>
  <si>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</si>
  <si>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</si>
  <si>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</si>
  <si>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</si>
  <si>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</si>
  <si>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</si>
  <si>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</si>
  <si>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</si>
  <si>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</si>
  <si>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</si>
  <si>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</si>
  <si>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</si>
  <si>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</si>
  <si>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</si>
  <si>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</si>
  <si>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</si>
  <si>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</si>
  <si>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</si>
  <si>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</si>
  <si>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</si>
  <si>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</si>
  <si>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</si>
  <si>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</si>
  <si>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</si>
  <si>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</si>
  <si>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</si>
  <si>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</si>
  <si>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</si>
  <si>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</si>
  <si>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</si>
  <si>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</si>
  <si>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</si>
  <si>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</si>
  <si>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</si>
  <si>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</si>
  <si>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</si>
  <si>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</si>
  <si>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</si>
  <si>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</si>
  <si>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</si>
  <si>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</si>
  <si>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</si>
  <si>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</si>
  <si>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</si>
  <si>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</si>
  <si>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</si>
  <si>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</si>
  <si>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</si>
  <si>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</si>
  <si>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</si>
  <si>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</si>
  <si>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</si>
  <si>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</si>
  <si>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</si>
  <si>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</si>
  <si>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</si>
  <si>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</si>
  <si>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</si>
  <si>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</si>
  <si>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</si>
  <si>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</si>
  <si>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</si>
  <si>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</si>
  <si>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</si>
  <si>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</si>
  <si>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</si>
  <si>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</si>
  <si>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</si>
  <si>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</si>
  <si>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</si>
  <si>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</si>
  <si>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</si>
  <si>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</si>
  <si>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</si>
  <si>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</si>
  <si>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</si>
  <si>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</si>
  <si>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</si>
  <si>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</si>
  <si>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</si>
  <si>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</si>
  <si>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</si>
  <si>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</si>
  <si>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</si>
  <si>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</si>
  <si>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</si>
  <si>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</si>
  <si>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</si>
  <si>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</si>
  <si>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</si>
  <si>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</si>
  <si>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</si>
  <si>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</si>
  <si>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</si>
  <si>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</si>
  <si>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</si>
  <si>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</si>
  <si>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</si>
  <si>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</si>
  <si>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</si>
  <si>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</si>
  <si>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</si>
  <si>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</si>
  <si>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</si>
  <si>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</si>
  <si>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</si>
  <si>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</si>
  <si>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</si>
  <si>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</si>
  <si>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</si>
  <si>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</si>
  <si>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</si>
  <si>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</si>
  <si>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</si>
  <si>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</si>
  <si>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</si>
  <si>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</si>
  <si>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</si>
  <si>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</si>
  <si>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</si>
  <si>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</si>
  <si>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</si>
  <si>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</si>
  <si>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</si>
  <si>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</si>
  <si>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</si>
  <si>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</si>
  <si>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</si>
  <si>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</si>
  <si>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</si>
  <si>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</si>
  <si>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</si>
  <si>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</si>
  <si>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</si>
  <si>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</si>
  <si>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</si>
  <si>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</si>
  <si>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</si>
  <si>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</si>
  <si>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</si>
  <si>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</si>
  <si>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</si>
  <si>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</si>
  <si>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</si>
  <si>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</si>
  <si>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</si>
  <si>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</si>
  <si>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</si>
  <si>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</si>
  <si>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</si>
  <si>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</si>
  <si>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</si>
  <si>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</si>
  <si>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</si>
  <si>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</si>
  <si>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</si>
  <si>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</si>
  <si>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</si>
  <si>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</si>
  <si>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</si>
  <si>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</si>
  <si>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</si>
  <si>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</si>
  <si>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</si>
  <si>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</si>
  <si>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</si>
  <si>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</si>
  <si>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</si>
  <si>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</si>
  <si>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</si>
  <si>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</si>
  <si>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</si>
  <si>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</si>
  <si>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</si>
  <si>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</si>
  <si>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</si>
  <si>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</si>
  <si>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</si>
  <si>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</si>
  <si>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</si>
  <si>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</si>
  <si>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</si>
  <si>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</si>
  <si>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</si>
  <si>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</si>
  <si>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</si>
  <si>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</si>
  <si>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</si>
  <si>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</si>
  <si>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</si>
  <si>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</si>
  <si>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</si>
  <si>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</si>
  <si>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</si>
  <si>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</si>
  <si>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</si>
  <si>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</si>
  <si>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</si>
  <si>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</si>
  <si>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</si>
  <si>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</si>
  <si>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</si>
  <si>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</si>
  <si>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</si>
  <si>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</si>
  <si>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</si>
  <si>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</si>
  <si>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</si>
  <si>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</si>
  <si>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</si>
  <si>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</si>
  <si>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</si>
  <si>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</si>
  <si>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</si>
  <si>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</si>
  <si>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</si>
  <si>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</si>
  <si>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</si>
  <si>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</si>
  <si>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</si>
  <si>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</si>
  <si>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</si>
  <si>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</si>
  <si>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</si>
  <si>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</si>
  <si>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</si>
  <si>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</si>
  <si>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</si>
  <si>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</si>
  <si>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</si>
  <si>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</si>
  <si>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</si>
  <si>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</si>
  <si>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</si>
  <si>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</si>
  <si>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</si>
  <si>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</si>
  <si>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</si>
  <si>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</si>
  <si>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</si>
  <si>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</si>
  <si>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</si>
  <si>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</si>
  <si>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</si>
  <si>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</si>
  <si>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</si>
  <si>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</si>
  <si>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</si>
  <si>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</si>
  <si>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</si>
  <si>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</si>
  <si>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</si>
  <si>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</si>
  <si>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</si>
  <si>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</si>
  <si>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</si>
  <si>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</si>
  <si>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</si>
  <si>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</si>
  <si>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</si>
  <si>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</si>
  <si>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</si>
  <si>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</si>
  <si>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</si>
  <si>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</si>
  <si>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</si>
  <si>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</si>
  <si>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</si>
  <si>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</si>
  <si>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</si>
  <si>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</si>
  <si>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</si>
  <si>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</si>
  <si>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</si>
  <si>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</si>
  <si>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</si>
  <si>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</si>
  <si>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</si>
  <si>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</si>
  <si>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</si>
  <si>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</si>
  <si>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</si>
  <si>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</si>
  <si>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</si>
  <si>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</si>
  <si>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</si>
  <si>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</si>
  <si>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</si>
  <si>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</si>
  <si>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</si>
  <si>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</si>
  <si>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</si>
  <si>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</si>
  <si>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</si>
  <si>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</si>
  <si>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</si>
  <si>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</si>
  <si>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</si>
  <si>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</si>
  <si>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</si>
  <si>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</si>
  <si>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</si>
  <si>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</si>
  <si>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</si>
  <si>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</si>
  <si>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</si>
  <si>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</si>
  <si>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</si>
  <si>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</si>
  <si>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</si>
  <si>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</si>
  <si>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</si>
  <si>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</si>
  <si>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</si>
  <si>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</si>
  <si>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</si>
  <si>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</si>
  <si>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</si>
  <si>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</si>
  <si>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</si>
  <si>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</si>
  <si>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</si>
  <si>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</si>
  <si>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</si>
  <si>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</si>
  <si>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</si>
  <si>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</si>
  <si>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</si>
  <si>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</si>
  <si>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</si>
  <si>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</si>
  <si>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</si>
  <si>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</si>
  <si>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</si>
  <si>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</si>
  <si>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</si>
  <si>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</si>
  <si>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</si>
  <si>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</si>
  <si>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</si>
  <si>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</si>
  <si>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</si>
  <si>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</si>
  <si>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</si>
  <si>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</si>
  <si>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</si>
  <si>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</si>
  <si>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</si>
  <si>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</si>
  <si>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</si>
  <si>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</si>
  <si>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</si>
  <si>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</si>
  <si>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</si>
  <si>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</si>
  <si>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</si>
  <si>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</si>
  <si>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</si>
  <si>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</si>
  <si>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</si>
  <si>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</si>
  <si>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</si>
  <si>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</si>
  <si>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</si>
  <si>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</si>
  <si>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</si>
  <si>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</si>
  <si>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</si>
  <si>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</si>
  <si>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</si>
  <si>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</si>
  <si>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</si>
  <si>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</si>
  <si>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</si>
  <si>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</si>
  <si>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</si>
  <si>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</si>
  <si>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</si>
  <si>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</si>
  <si>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</si>
  <si>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</si>
  <si>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</si>
  <si>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</si>
  <si>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</si>
  <si>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</si>
  <si>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</si>
  <si>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</si>
  <si>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</si>
  <si>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</si>
  <si>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</si>
  <si>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</si>
  <si>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</si>
  <si>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</si>
  <si>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</si>
  <si>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</si>
  <si>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</si>
  <si>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</si>
  <si>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</si>
  <si>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</si>
  <si>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</si>
  <si>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</si>
  <si>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</si>
  <si>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</si>
  <si>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</si>
  <si>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</si>
  <si>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</si>
  <si>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</si>
  <si>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</si>
  <si>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</si>
  <si>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</si>
  <si>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</si>
  <si>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</si>
  <si>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</si>
  <si>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</si>
  <si>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</si>
  <si>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</si>
  <si>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</si>
  <si>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</si>
  <si>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</si>
  <si>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</si>
  <si>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</si>
  <si>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</si>
  <si>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</si>
  <si>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</si>
  <si>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</si>
  <si>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</si>
  <si>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</si>
  <si>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</si>
  <si>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</si>
  <si>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</si>
  <si>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</si>
  <si>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</si>
  <si>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</si>
  <si>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</si>
  <si>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</si>
  <si>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</si>
  <si>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</si>
  <si>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</si>
  <si>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</si>
  <si>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</si>
  <si>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</si>
  <si>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</si>
  <si>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</si>
  <si>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</si>
  <si>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</si>
  <si>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</si>
  <si>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</si>
  <si>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</si>
  <si>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</si>
  <si>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</si>
  <si>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</si>
  <si>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</si>
  <si>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</si>
  <si>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</si>
  <si>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</si>
  <si>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</si>
  <si>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</si>
  <si>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</si>
  <si>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</si>
  <si>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</si>
  <si>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</si>
  <si>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</si>
  <si>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</si>
  <si>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</si>
  <si>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</si>
  <si>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</si>
  <si>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</si>
  <si>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</si>
  <si>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</si>
  <si>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</si>
  <si>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</si>
  <si>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</si>
  <si>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</si>
  <si>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</si>
  <si>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</si>
  <si>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</si>
  <si>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</si>
  <si>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</si>
  <si>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</si>
  <si>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</si>
  <si>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</si>
  <si>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</si>
  <si>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</si>
  <si>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</si>
  <si>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</si>
  <si>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</si>
  <si>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</si>
  <si>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</si>
  <si>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</si>
  <si>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</si>
  <si>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</si>
  <si>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</si>
  <si>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</si>
  <si>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</si>
  <si>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</si>
  <si>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</si>
  <si>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</si>
  <si>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</si>
  <si>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</si>
  <si>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</si>
  <si>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</si>
  <si>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</si>
  <si>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</si>
  <si>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</si>
  <si>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</si>
  <si>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</si>
  <si>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</si>
  <si>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</si>
  <si>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</si>
  <si>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</si>
  <si>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</si>
  <si>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</si>
  <si>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</si>
  <si>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</si>
  <si>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</si>
  <si>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</si>
  <si>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</si>
  <si>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</si>
  <si>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</si>
  <si>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</si>
  <si>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</si>
  <si>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</si>
  <si>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</si>
  <si>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</si>
  <si>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</si>
  <si>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</si>
  <si>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</si>
  <si>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</si>
  <si>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</si>
  <si>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</si>
  <si>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</si>
  <si>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</si>
  <si>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</si>
  <si>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</si>
  <si>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</si>
  <si>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</si>
  <si>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</si>
  <si>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</si>
  <si>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</si>
  <si>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</si>
  <si>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</si>
  <si>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</si>
  <si>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</si>
  <si>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</si>
  <si>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</si>
  <si>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</si>
  <si>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</si>
  <si>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</si>
  <si>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</si>
  <si>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</si>
  <si>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</si>
  <si>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</si>
  <si>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</si>
  <si>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</si>
  <si>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</si>
  <si>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</si>
  <si>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</si>
  <si>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</si>
  <si>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</si>
  <si>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</si>
  <si>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</si>
  <si>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</si>
  <si>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</si>
  <si>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</si>
  <si>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</si>
  <si>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</si>
  <si>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</si>
  <si>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</si>
  <si>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</si>
  <si>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</si>
  <si>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</si>
  <si>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</si>
  <si>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</si>
  <si>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</si>
  <si>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</si>
  <si>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</si>
  <si>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</si>
  <si>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</si>
  <si>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</si>
  <si>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</si>
  <si>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</si>
  <si>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</si>
  <si>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</si>
  <si>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</si>
  <si>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</si>
  <si>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</si>
  <si>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</si>
  <si>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</si>
  <si>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</si>
  <si>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</si>
  <si>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</si>
  <si>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</si>
  <si>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</si>
  <si>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</si>
  <si>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</si>
  <si>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</si>
  <si>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</si>
  <si>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</si>
  <si>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</si>
  <si>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</si>
  <si>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</si>
  <si>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</si>
  <si>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</si>
  <si>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</si>
  <si>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</si>
  <si>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</si>
  <si>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</si>
  <si>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</si>
  <si>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</si>
  <si>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</si>
  <si>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</si>
  <si>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</si>
  <si>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</si>
  <si>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</si>
  <si>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</si>
  <si>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</si>
  <si>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</si>
  <si>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</si>
  <si>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</si>
  <si>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</si>
  <si>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</si>
  <si>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</si>
  <si>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</si>
  <si>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</si>
  <si>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</si>
  <si>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</si>
  <si>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</si>
  <si>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</si>
  <si>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</si>
  <si>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</si>
  <si>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</si>
  <si>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</si>
  <si>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</si>
  <si>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</si>
  <si>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</si>
  <si>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</si>
  <si>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</si>
  <si>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</si>
  <si>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</si>
  <si>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</si>
  <si>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</si>
  <si>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</si>
  <si>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</si>
  <si>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</si>
  <si>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</si>
  <si>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</si>
  <si>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</si>
  <si>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</si>
  <si>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</si>
  <si>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</si>
  <si>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</si>
  <si>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</si>
  <si>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</si>
  <si>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</si>
  <si>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</si>
  <si>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</si>
  <si>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</si>
  <si>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</si>
  <si>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</si>
  <si>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</si>
  <si>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</si>
  <si>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</si>
  <si>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</si>
  <si>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</si>
  <si>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</si>
  <si>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</si>
  <si>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</si>
  <si>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</si>
  <si>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</si>
  <si>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</si>
  <si>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</si>
  <si>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</si>
  <si>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</si>
  <si>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</si>
  <si>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</si>
  <si>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</si>
  <si>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</si>
  <si>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</si>
  <si>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</si>
  <si>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</si>
  <si>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</si>
  <si>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</si>
  <si>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</si>
  <si>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</si>
  <si>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</si>
  <si>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</si>
  <si>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</si>
  <si>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</si>
  <si>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</si>
  <si>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</si>
  <si>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</si>
  <si>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</si>
  <si>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</si>
  <si>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</si>
  <si>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</si>
  <si>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</si>
  <si>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</si>
  <si>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</si>
  <si>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</si>
  <si>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</si>
  <si>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</si>
  <si>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</si>
  <si>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</si>
  <si>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</si>
  <si>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</si>
  <si>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</si>
  <si>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</si>
  <si>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</si>
  <si>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</si>
  <si>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</si>
  <si>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</si>
  <si>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</si>
  <si>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</si>
  <si>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</si>
  <si>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</si>
  <si>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</si>
  <si>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</si>
  <si>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</si>
  <si>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</si>
  <si>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</si>
  <si>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</si>
  <si>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</si>
  <si>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</si>
  <si>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</si>
  <si>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</si>
  <si>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</si>
  <si>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</si>
  <si>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</si>
  <si>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</si>
  <si>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</si>
  <si>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</si>
  <si>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</si>
  <si>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</si>
  <si>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</si>
  <si>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</si>
  <si>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</si>
  <si>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</si>
  <si>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</si>
  <si>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</si>
  <si>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</si>
  <si>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</si>
  <si>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</si>
  <si>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</si>
  <si>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</si>
  <si>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</si>
  <si>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</si>
  <si>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</si>
  <si>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</si>
  <si>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</si>
  <si>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</si>
  <si>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</si>
  <si>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</si>
  <si>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</si>
  <si>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</si>
  <si>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</si>
  <si>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</si>
  <si>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</si>
  <si>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</si>
  <si>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</si>
  <si>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</si>
  <si>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</si>
  <si>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</si>
  <si>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</si>
  <si>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</si>
  <si>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</si>
  <si>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</si>
  <si>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</si>
  <si>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</si>
  <si>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</si>
  <si>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</si>
  <si>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</si>
  <si>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</si>
  <si>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</si>
  <si>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</si>
  <si>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</si>
  <si>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</si>
  <si>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</si>
  <si>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</si>
  <si>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</si>
  <si>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</si>
  <si>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</si>
  <si>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</si>
  <si>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</si>
  <si>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</si>
  <si>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</si>
  <si>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</si>
  <si>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</si>
  <si>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</si>
  <si>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</si>
  <si>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</si>
  <si>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</si>
  <si>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</si>
  <si>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</si>
  <si>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</si>
  <si>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</si>
  <si>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</si>
  <si>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</si>
  <si>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</si>
  <si>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</si>
  <si>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</si>
  <si>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</si>
  <si>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</si>
  <si>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</si>
  <si>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</si>
  <si>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</si>
  <si>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</si>
  <si>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</si>
  <si>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</si>
  <si>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</si>
  <si>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</si>
  <si>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</si>
  <si>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</si>
  <si>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</si>
  <si>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</si>
  <si>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Affordable Equity Partners, Inc</t>
  </si>
  <si>
    <t>206 Peach Way</t>
  </si>
  <si>
    <t>bkimes@aepartners.com</t>
  </si>
  <si>
    <t>Brian Kimes</t>
  </si>
  <si>
    <t>Vice President</t>
  </si>
  <si>
    <t>www.aepartners.com</t>
  </si>
  <si>
    <t>Director of Operations</t>
  </si>
  <si>
    <t>Syndicator and Management Company?</t>
  </si>
  <si>
    <t>Martin Riley Associates Architects, P.C.</t>
  </si>
  <si>
    <t>215 Church Street</t>
  </si>
  <si>
    <t>www.martinriley.com</t>
  </si>
  <si>
    <t>Vice Presient</t>
  </si>
  <si>
    <t>mriley@martinriley.com</t>
  </si>
  <si>
    <t>Will Markel</t>
  </si>
  <si>
    <t>Executive Vice President</t>
  </si>
  <si>
    <t>tstanley@fairwayconstruction.net</t>
  </si>
  <si>
    <t>Fairway Construction Company, Inc</t>
  </si>
  <si>
    <t>www.fairwayconstruction.net</t>
  </si>
  <si>
    <t>Partner</t>
  </si>
  <si>
    <t>For Profit</t>
  </si>
  <si>
    <t>40% of Units at 60% of AMI</t>
  </si>
  <si>
    <t>Sterling Bank</t>
  </si>
  <si>
    <t>Affordable Equity Partners, Inc.</t>
  </si>
  <si>
    <t>Agree</t>
  </si>
  <si>
    <t>Novogradac &amp; Company, LLP</t>
  </si>
  <si>
    <t>Applicant certifies that they will include the number and kinds of services required in the QAP for the proposed tenancy.</t>
  </si>
  <si>
    <t>There is not an identity of interest between the buyer and seller. An appraisal is not included in the application.</t>
  </si>
  <si>
    <t>Geotechnical &amp; Environmental Consultants, Inc</t>
  </si>
  <si>
    <t>The Federal and State Syndicator and the General Contractor are related parties.</t>
  </si>
  <si>
    <t>N/Ap</t>
  </si>
  <si>
    <t>Georgia Power Company</t>
  </si>
  <si>
    <t>Covered Porch</t>
  </si>
  <si>
    <t>Yes - W&amp;D hookups installed in each unit</t>
  </si>
  <si>
    <t>W&amp;D installed in each unit</t>
  </si>
  <si>
    <t>Zeffert &amp; Associates</t>
  </si>
  <si>
    <t>Dulles Park II</t>
  </si>
  <si>
    <t>Direct</t>
  </si>
  <si>
    <t>Enriched Property Services</t>
  </si>
  <si>
    <t>Misc Admin</t>
  </si>
  <si>
    <t>Cable TV &amp; Internet</t>
  </si>
  <si>
    <t>Personal Property Taxes</t>
  </si>
  <si>
    <t>Electric Heat Pump</t>
  </si>
  <si>
    <t>N/a</t>
  </si>
  <si>
    <t>Within City Limits</t>
  </si>
  <si>
    <t>9% Credit Competitive Round only</t>
  </si>
  <si>
    <t>226 Old Clinton Road</t>
  </si>
  <si>
    <t>13169030301</t>
  </si>
  <si>
    <t>grayga.us</t>
  </si>
  <si>
    <t>Ed Barbee</t>
  </si>
  <si>
    <t>Mayor</t>
  </si>
  <si>
    <t>109 James Street</t>
  </si>
  <si>
    <t>City of Gray</t>
  </si>
  <si>
    <t>PA19-001</t>
  </si>
  <si>
    <t>Yes - see Comment</t>
  </si>
  <si>
    <t>Roya Collins</t>
  </si>
  <si>
    <t>Potemkin-Dulles II, LLC</t>
  </si>
  <si>
    <t>Dulles Park II, LP</t>
  </si>
  <si>
    <t>1820 The Exchange SE #350</t>
  </si>
  <si>
    <t>Member</t>
  </si>
  <si>
    <t>President</t>
  </si>
  <si>
    <t>Aprio</t>
  </si>
  <si>
    <t>Five Concourse Parkway, Suite 1000</t>
  </si>
  <si>
    <t>Mike Riley</t>
  </si>
  <si>
    <t>RAC, LLC &amp; Gateway Development Co., Inc</t>
  </si>
  <si>
    <t>Sherri Rollins</t>
  </si>
  <si>
    <t>P.O.Box 697</t>
  </si>
  <si>
    <t>srollins@gatewaydco.com</t>
  </si>
  <si>
    <t>The Applicant believes the project as proposed is an optimal utilization of DCA resources and will provide much desired housing to the City of Gray and the surrounding area.</t>
  </si>
  <si>
    <t>Applicant will prepare and submit an AFFH Marketing plan if selected for funding.</t>
  </si>
  <si>
    <t>The Applicant is targeting a HFOP 55+ tenancy for the proposed project.</t>
  </si>
  <si>
    <t>Project did not receive HOME Funds.</t>
  </si>
  <si>
    <t>12.31.2019</t>
  </si>
  <si>
    <t>Purchase Contract</t>
  </si>
  <si>
    <t>Please see Tab 08 for site control through November 30, 2019.</t>
  </si>
  <si>
    <t>Please see Tab 10 for evidence the propject is in compliance with zoning regulations.</t>
  </si>
  <si>
    <t>Applicant agrees to retain a DCA qualified consultant to monitor the project for accessibility compliance who will not be a member of the project team nor have an identity of interest with any members of the project team.</t>
  </si>
  <si>
    <t>Jones County Transit</t>
  </si>
  <si>
    <t>jonestransit@mgcaa.org</t>
  </si>
  <si>
    <t>http://www.jonescountyga.org/county-directory/transit/</t>
  </si>
  <si>
    <t>Jones County - 684</t>
  </si>
  <si>
    <t>PK - 05</t>
  </si>
  <si>
    <t>Gray Station Middle School - 0106</t>
  </si>
  <si>
    <t>06 - 08</t>
  </si>
  <si>
    <t>Gray Elementary School - 1550</t>
  </si>
  <si>
    <t>Jones County High School - 0192</t>
  </si>
  <si>
    <t>09 - 12</t>
  </si>
  <si>
    <t>Upper</t>
  </si>
  <si>
    <t>There have been no 9% Credits awarded within the City of Gray Political Jurisdiction in the years 2015, 2016, 2017 or 2018.</t>
  </si>
  <si>
    <t>magitaenterprise@bellsouth.net</t>
  </si>
  <si>
    <t>TMC Management and Realty, Inc.</t>
  </si>
  <si>
    <t>1341 Cassville Road, N.W.</t>
  </si>
  <si>
    <t>Brenda@tmcmgt.com</t>
  </si>
  <si>
    <t>Brenda Hoyt</t>
  </si>
  <si>
    <t>Frank.Gudger@aprio.com</t>
  </si>
  <si>
    <t>Frank Gudger</t>
  </si>
  <si>
    <t>Partner-in-charge</t>
  </si>
  <si>
    <t>www.aprio.com</t>
  </si>
  <si>
    <t>Spivey, Pope, Green &amp; Greer</t>
  </si>
  <si>
    <t>4875 Riverside Drive, Suite 200</t>
  </si>
  <si>
    <t>sspivey@spgglaw.com</t>
  </si>
  <si>
    <t>Scott Spivey</t>
  </si>
  <si>
    <t>ed.barbee@grayga.us</t>
  </si>
  <si>
    <t>May 2019</t>
  </si>
  <si>
    <t>Magita Inc.</t>
  </si>
  <si>
    <t>Magita, Inc</t>
  </si>
  <si>
    <t>GP/LP Equity</t>
  </si>
  <si>
    <t>DCA GA South</t>
  </si>
  <si>
    <t>MF</t>
  </si>
  <si>
    <t>Pleases see Tab 1 for the Local Government Fee documentation.</t>
  </si>
  <si>
    <t>Water Tower Park</t>
  </si>
  <si>
    <t>Heritage Vista Apartments</t>
  </si>
  <si>
    <t>Baldwin Park</t>
  </si>
  <si>
    <t>Pecan Hills of Milledgeville</t>
  </si>
  <si>
    <t>Riverbend Apartments</t>
  </si>
  <si>
    <t>2004-010</t>
  </si>
  <si>
    <t>2003-049</t>
  </si>
  <si>
    <t>Dulles Park</t>
  </si>
  <si>
    <t>2014-018</t>
  </si>
  <si>
    <t>2011-020</t>
  </si>
  <si>
    <t>2008-049</t>
  </si>
  <si>
    <t>2004-031</t>
  </si>
  <si>
    <t>The LIHTC comparables are experiencing a weighted average vacancy rate of 2.7 percent and three of the six LIHTC properties report vacancy levels under 2 percent. Futhermore, all but one of the comparable senior LIHTC properties maintain waiting lists, ranging from six to 40 households. Please see Tab 5 of the Application for the Market Study.
Additional DCA funded project in the PMA: 2001-009 Waterford Place Apartments</t>
  </si>
  <si>
    <t>Three to Four Months</t>
  </si>
  <si>
    <t>Jones County Health Department</t>
  </si>
  <si>
    <t xml:space="preserve">Health screening and wellness education services </t>
  </si>
  <si>
    <t>Blood pressure checks, biometric screenings, women's health exams, hypertension and diabetes monitoring</t>
  </si>
  <si>
    <t>CPR, first aid classes and safe home education classes</t>
  </si>
  <si>
    <t>monthly</t>
  </si>
  <si>
    <t>Healthy Eating Education</t>
  </si>
  <si>
    <t>Active Lifestyle Education</t>
  </si>
  <si>
    <t>The Applicant submitted a pre-application without a specific site location. The Project Team remained unchanged from pre-application.
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t>
  </si>
  <si>
    <t>Applicant used GA DCA Souther Region UA's for Row House</t>
  </si>
  <si>
    <t>No Debt Service indicated</t>
  </si>
  <si>
    <t>The site is legally accessible by paved roads and documentation reflecting this is included in the application.  There is both an entry through Dulles Park that is documented via an easement in tab 9 and an alternate access directly to Old Clinton Rd.</t>
  </si>
  <si>
    <t>Operating Utiities Confirmed by Georgia Power</t>
  </si>
  <si>
    <t>Water and Sewer Availability and Capacity conefirmed by the City of Gray</t>
  </si>
  <si>
    <t>All site relevant site information available in tab 15</t>
  </si>
  <si>
    <t>Applicant Wosksheet exceeds requirements for Earthcraft MF designation and applicant has attended the appropriate Earthcraft Training</t>
  </si>
  <si>
    <t>Applicant agrees to meet all DCA requirements per the 2019 QAP and Architectural Standards</t>
  </si>
  <si>
    <t>Applicant's QD was for up to 80 Affordable New Construction units at a TBD location.  The project team has not changed since application and the proposed project is for 48 units.</t>
  </si>
  <si>
    <t>Please see Tab 39 for documentation of the GICH support letter signed by the primary contact, Donald Black, stating support for the project and that the property lies within the GICH community boundaries. Also in Tab 39, there is the local government letter agreeing to the issuance of the letter from the GICH Team. The Gray/Jones County GICH Team - Alumni Certified May 17, 2019</t>
  </si>
  <si>
    <t>Applicant belives that the proposed project is feasible, viable and in conformance with the plan. The overall development and construction costs are considered reasonable and were evaluated by an experienced General Contractor and Engineer. The Residential Square footages as defined in the Core application and Q&amp;A which include patios and balconies available for the exclusive use of tenants are:  1BR/1BA = 757 Sq.ft.  and 2BR/2BA = 961 Sq. ft.</t>
  </si>
  <si>
    <t>There will be a crossing over wetlands but the disturbance is not expected to exceed 0.1 acres</t>
  </si>
  <si>
    <t>TMC Management and Realty, Inc. will provide healthy eating monthly newsletters to residents free of charge</t>
  </si>
  <si>
    <t>TMC Management and Realty, Inc. will provide active lifestyle monthly newsletters to residents free of charge</t>
  </si>
  <si>
    <t xml:space="preserve">I.  The Applicant believes to have fully completed the proposed application.
II. The overall AMI percentage for each affordable unit is 56.67%.
IV. Rural Public Transportation will be available to the residents at Dulles Park II through Jones County Transit. Please see Tab 29 for community transportation documentation.
V. The proposed development will offer enriched property services including Preventive Health Care under a MOU with a local health care provider, Jones County Health Department. Additionally, the Applicant agrees to provide a Healthy Eating Initiative at the proposed. Monthly educational newsletters will be provide free of charge to the residents at Dulles Park II.
IX.   The proposed project is located in a census tract that has a poverty level of 8.05% and is designated as an Upper Income level. Additionally, the State percentile scores from the Opportunity360 report for Housing Stability, Healthy and Well-being and Economic Security are greater to or equal than 80 for three categories. Please see Tab 34 for the Stable Communities documentation.
XXI. EXTENDED AFFORDABILITY COMMITMENT: 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
</t>
  </si>
  <si>
    <t>The project is within 2 miles of numerous desirables, including but not limited to, grocery store, public school, restaurants, pharmacy, place of worship, bank and others. The project is eligible for 10 points in this scoring section and there are no undesirables.</t>
  </si>
  <si>
    <t>The project falls within the school boundaries of Gray Elementary School, Gray Station Middle School and Jones County Hgh School. All three school have 2015-2017 average CCRPI scores above the threshold for points. In addition, Gray Elementary School recieved 2017 "Beating the Odds" designation. There are 3,528 jobs within a 2-mile radius of the site. The minimum jobs threshold for rural areas is 3,000, therefore the project is eligible for one point under Workforce Housing Need.</t>
  </si>
  <si>
    <t>Dulles Park II is the only application the Applicant is submitting where there is direct or indirect interest. Applicant is selecting the priority point for Dulles Park II.</t>
  </si>
  <si>
    <t>The total development cost for the project is below the cost limits for the Macon area.</t>
  </si>
  <si>
    <t>Applicant agrees to provide the above required amenities in conformance with DCA Amentities Guidebook. All  buildings will be single-story.</t>
  </si>
  <si>
    <t>No Changes since pre-application other than the TBD site has been defined.</t>
  </si>
  <si>
    <t>Applicant agrees to accept 811 PBRA or other DCA sponsored RA for 10% of the total restricted units.</t>
  </si>
  <si>
    <t xml:space="preserve">Please see Tab 1 for Insurance and Real Estate Tax documentation.  Also, note that although the provider will not be charging for the onsite visits, Applicant has budgeted an additional $10,000 per year for costs related to Enriched property services for additional classes, reporting and costs related to maintaining a Health Services Coordinator.  </t>
  </si>
  <si>
    <t>Magita Inc is proposing to develop a 48 unit senior complex in Gray, Ga to be named Dulles Park II.  The site is located adjacent to the original Dulles Park, which was developed by related parties some 15 years ago, and will make use of existing city utilities.  In spite of the fact that the original Dulles Park has some age on it, it remains a very desirable property, and well liked in the local community.
Like the original, Dulles Park II is designed to meet the needs of people fifty-five years or older in this area.
The development consists of 8 one bedroom and 40 two bedroom units restricted to a resident base for households making at or below 50% and 60% of AMI.  An access easement was obtained from Dulles Park.  Additionally, there is an alternate entrance to the property as well, which is located at 226 Old Clinton Road and all desirable activities were measured from this entry point.
Dulles Park II is partnering with the Jones County Health Department to offer preventative health screenings and education through a Memorandum of Understanding in order to remove barriers for our senior tenants and improve health outcomes and help them remain independent for as long as possible.
In addition, Dulles Park II ‘s management company will promote a healthy eating and lifestyle initiative through monthly newsletters, a well-maintained Community Garden and special programs to include education.</t>
  </si>
  <si>
    <t>2019-060</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</si>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</sst>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5">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5" borderId="134" xfId="1" applyNumberFormat="1" applyFont="1" applyFill="1" applyBorder="1" applyAlignment="1" applyProtection="1">
      <alignment horizontal="right" vertical="center"/>
    </xf>
    <xf numFmtId="164" fontId="45" fillId="5" borderId="136"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29">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Normal="100" workbookViewId="0">
      <selection activeCell="A5" sqref="A1:XFD1048576"/>
    </sheetView>
  </sheetViews>
  <sheetFormatPr defaultColWidth="9.33203125" defaultRowHeight="13.2"/>
  <cols>
    <col min="1" max="1" width="171.44140625" style="26" customWidth="1"/>
    <col min="2" max="16384" width="9.33203125" style="26"/>
  </cols>
  <sheetData>
    <row r="1" spans="1:6" ht="15" customHeight="1">
      <c r="A1" s="862" t="s">
        <v>979</v>
      </c>
    </row>
    <row r="2" spans="1:6" ht="15" customHeight="1">
      <c r="A2" s="863" t="str">
        <f>'Part I-Project Information'!F34</f>
        <v>Dulles Park II</v>
      </c>
    </row>
    <row r="3" spans="1:6" ht="15" customHeight="1">
      <c r="A3" s="863" t="str">
        <f>CONCATENATE('Part I-Project Information'!F38,", ", 'Part I-Project Information'!J39," County")</f>
        <v>Gray, Jones County</v>
      </c>
    </row>
    <row r="4" spans="1:6" ht="12" customHeight="1">
      <c r="A4" s="1982"/>
    </row>
    <row r="5" spans="1:6" ht="72" customHeight="1">
      <c r="A5" s="2764" t="s">
        <v>5282</v>
      </c>
      <c r="B5" s="2765" t="s">
        <v>5041</v>
      </c>
      <c r="C5" s="2765"/>
      <c r="D5" s="2765"/>
      <c r="E5" s="2765"/>
      <c r="F5" s="2765"/>
    </row>
    <row r="6" spans="1:6" ht="6.6" customHeight="1">
      <c r="A6" s="2764"/>
      <c r="B6" s="2765"/>
      <c r="C6" s="2765"/>
      <c r="D6" s="2765"/>
      <c r="E6" s="2765"/>
      <c r="F6" s="2765"/>
    </row>
    <row r="7" spans="1:6" ht="72" customHeight="1">
      <c r="A7" s="2764"/>
      <c r="B7" s="2765"/>
      <c r="C7" s="2765"/>
      <c r="D7" s="2765"/>
      <c r="E7" s="2765"/>
      <c r="F7" s="2765"/>
    </row>
    <row r="8" spans="1:6" ht="6.6" customHeight="1">
      <c r="A8" s="2764"/>
    </row>
    <row r="9" spans="1:6" ht="72" customHeight="1">
      <c r="A9" s="2764"/>
    </row>
    <row r="10" spans="1:6" ht="6.6" customHeight="1">
      <c r="A10" s="2764"/>
    </row>
    <row r="11" spans="1:6" ht="72" customHeight="1">
      <c r="A11" s="2764"/>
    </row>
    <row r="12" spans="1:6" ht="6.6" customHeight="1">
      <c r="A12" s="2764"/>
    </row>
    <row r="13" spans="1:6" ht="72" customHeight="1">
      <c r="A13" s="2764"/>
    </row>
    <row r="14" spans="1:6" ht="6.6" customHeight="1">
      <c r="A14" s="2764"/>
    </row>
    <row r="15" spans="1:6" ht="72" customHeight="1">
      <c r="A15" s="2764"/>
    </row>
    <row r="16" spans="1:6" ht="6.6" customHeight="1">
      <c r="A16" s="2764"/>
    </row>
    <row r="17" spans="1:1" ht="72" customHeight="1">
      <c r="A17" s="2764"/>
    </row>
    <row r="18" spans="1:1" ht="6.6" customHeight="1">
      <c r="A18" s="2764"/>
    </row>
    <row r="19" spans="1:1" ht="72" customHeight="1">
      <c r="A19" s="2764"/>
    </row>
    <row r="20" spans="1:1" ht="6.6" customHeight="1">
      <c r="A20" s="2764"/>
    </row>
    <row r="21" spans="1:1" ht="72" customHeight="1">
      <c r="A21" s="2764"/>
    </row>
    <row r="22" spans="1:1" ht="6.6" customHeight="1">
      <c r="A22" s="2764"/>
    </row>
    <row r="23" spans="1:1" ht="72" customHeight="1">
      <c r="A23" s="2764"/>
    </row>
  </sheetData>
  <sheetProtection algorithmName="SHA-512" hashValue="tP70HtIkSz57edy/mROh3bdAd7/r+DbcbgxvERDCWpg44wSpOxyZTKxqfuGzrMC9x3zjhG5/JEQxTGH1iQt1iw==" saltValue="5u4s4zQsK57RullsD50+Og=="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1" zoomScaleNormal="100" workbookViewId="0">
      <selection activeCell="A41"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180" t="str">
        <f>CONCATENATE("PART SIX - PROJECTED REVENUES &amp; EXPENSES","  -  ",'Part I-Project Information'!$O$6," ",'Part I-Project Information'!$F$34,", ",'Part I-Project Information'!F38,", ",'Part I-Project Information'!J39," County")</f>
        <v>PART SIX - PROJECTED REVENUES &amp; EXPENSES  -  2019-060 Dulles Park II, Gray, Jones County</v>
      </c>
      <c r="B1" s="3181"/>
      <c r="C1" s="3181"/>
      <c r="D1" s="3181"/>
      <c r="E1" s="3181"/>
      <c r="F1" s="3181"/>
      <c r="G1" s="3181"/>
      <c r="H1" s="3181"/>
      <c r="I1" s="3181"/>
      <c r="J1" s="3181"/>
      <c r="K1" s="3181"/>
      <c r="L1" s="3181"/>
      <c r="M1" s="3181"/>
      <c r="N1" s="3181"/>
      <c r="O1" s="3181"/>
      <c r="P1" s="3182"/>
      <c r="U1" s="3390" t="str">
        <f>A1</f>
        <v>PART SIX - PROJECTED REVENUES &amp; EXPENSES  -  2019-060 Dulles Park II, Gray, Jones County</v>
      </c>
      <c r="V1" s="339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3569</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388" t="s">
        <v>3423</v>
      </c>
      <c r="MF3" s="3388" t="s">
        <v>3424</v>
      </c>
      <c r="MG3" s="3388" t="s">
        <v>3425</v>
      </c>
      <c r="MH3" s="3388" t="s">
        <v>3426</v>
      </c>
      <c r="MI3" s="3388"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92" t="s">
        <v>3697</v>
      </c>
      <c r="Q4" s="2291"/>
      <c r="R4" s="416"/>
      <c r="S4" s="416"/>
      <c r="T4" s="416"/>
      <c r="U4" s="416"/>
      <c r="V4" s="417"/>
      <c r="W4" s="3389" t="s">
        <v>4618</v>
      </c>
      <c r="X4" s="3389" t="s">
        <v>4619</v>
      </c>
      <c r="Y4" s="3389" t="s">
        <v>4620</v>
      </c>
      <c r="Z4" s="3389" t="s">
        <v>4621</v>
      </c>
      <c r="AA4" s="3389" t="s">
        <v>4622</v>
      </c>
      <c r="AB4" s="3389" t="s">
        <v>4623</v>
      </c>
      <c r="AC4" s="3389" t="s">
        <v>4624</v>
      </c>
      <c r="AD4" s="3389" t="s">
        <v>4625</v>
      </c>
      <c r="AE4" s="3389" t="s">
        <v>4626</v>
      </c>
      <c r="AF4" s="3389" t="s">
        <v>4627</v>
      </c>
      <c r="AG4" s="3389" t="s">
        <v>919</v>
      </c>
      <c r="AH4" s="3389" t="s">
        <v>756</v>
      </c>
      <c r="AI4" s="3389" t="s">
        <v>757</v>
      </c>
      <c r="AJ4" s="3389" t="s">
        <v>758</v>
      </c>
      <c r="AK4" s="3389" t="s">
        <v>759</v>
      </c>
      <c r="AL4" s="3389" t="s">
        <v>920</v>
      </c>
      <c r="AM4" s="3389" t="s">
        <v>2310</v>
      </c>
      <c r="AN4" s="3389" t="s">
        <v>2311</v>
      </c>
      <c r="AO4" s="3389" t="s">
        <v>2312</v>
      </c>
      <c r="AP4" s="3389" t="s">
        <v>2313</v>
      </c>
      <c r="AQ4" s="3389" t="s">
        <v>4629</v>
      </c>
      <c r="AR4" s="3389" t="s">
        <v>4630</v>
      </c>
      <c r="AS4" s="3389" t="s">
        <v>4631</v>
      </c>
      <c r="AT4" s="3389" t="s">
        <v>4632</v>
      </c>
      <c r="AU4" s="3389" t="s">
        <v>4628</v>
      </c>
      <c r="AV4" s="3389" t="s">
        <v>921</v>
      </c>
      <c r="AW4" s="3389" t="s">
        <v>2314</v>
      </c>
      <c r="AX4" s="3389" t="s">
        <v>2315</v>
      </c>
      <c r="AY4" s="3389" t="s">
        <v>2316</v>
      </c>
      <c r="AZ4" s="3389" t="s">
        <v>2317</v>
      </c>
      <c r="BA4" s="3389" t="s">
        <v>4633</v>
      </c>
      <c r="BB4" s="3389" t="s">
        <v>4634</v>
      </c>
      <c r="BC4" s="3389" t="s">
        <v>4635</v>
      </c>
      <c r="BD4" s="3389" t="s">
        <v>4636</v>
      </c>
      <c r="BE4" s="3389" t="s">
        <v>4637</v>
      </c>
      <c r="BF4" s="3389" t="s">
        <v>129</v>
      </c>
      <c r="BG4" s="3389" t="s">
        <v>2318</v>
      </c>
      <c r="BH4" s="3389" t="s">
        <v>2319</v>
      </c>
      <c r="BI4" s="3389" t="s">
        <v>2320</v>
      </c>
      <c r="BJ4" s="3389" t="s">
        <v>1148</v>
      </c>
      <c r="BK4" s="3389" t="s">
        <v>4638</v>
      </c>
      <c r="BL4" s="3389" t="s">
        <v>4639</v>
      </c>
      <c r="BM4" s="3389" t="s">
        <v>4640</v>
      </c>
      <c r="BN4" s="3389" t="s">
        <v>4641</v>
      </c>
      <c r="BO4" s="3389" t="s">
        <v>4642</v>
      </c>
      <c r="BP4" s="3389" t="s">
        <v>556</v>
      </c>
      <c r="BQ4" s="3389" t="s">
        <v>557</v>
      </c>
      <c r="BR4" s="3389" t="s">
        <v>577</v>
      </c>
      <c r="BS4" s="3389" t="s">
        <v>578</v>
      </c>
      <c r="BT4" s="3389" t="s">
        <v>579</v>
      </c>
      <c r="BU4" s="3389" t="s">
        <v>4643</v>
      </c>
      <c r="BV4" s="3389" t="s">
        <v>4644</v>
      </c>
      <c r="BW4" s="3389" t="s">
        <v>4645</v>
      </c>
      <c r="BX4" s="3389" t="s">
        <v>4646</v>
      </c>
      <c r="BY4" s="3389" t="s">
        <v>4647</v>
      </c>
      <c r="BZ4" s="3389" t="s">
        <v>580</v>
      </c>
      <c r="CA4" s="3389" t="s">
        <v>581</v>
      </c>
      <c r="CB4" s="3389" t="s">
        <v>582</v>
      </c>
      <c r="CC4" s="3389" t="s">
        <v>583</v>
      </c>
      <c r="CD4" s="3389" t="s">
        <v>584</v>
      </c>
      <c r="CE4" s="3389" t="s">
        <v>585</v>
      </c>
      <c r="CF4" s="3389" t="s">
        <v>586</v>
      </c>
      <c r="CG4" s="3389" t="s">
        <v>931</v>
      </c>
      <c r="CH4" s="3389" t="s">
        <v>932</v>
      </c>
      <c r="CI4" s="3389" t="s">
        <v>933</v>
      </c>
      <c r="CJ4" s="3389" t="s">
        <v>4653</v>
      </c>
      <c r="CK4" s="3389" t="s">
        <v>4654</v>
      </c>
      <c r="CL4" s="3389" t="s">
        <v>4655</v>
      </c>
      <c r="CM4" s="3389" t="s">
        <v>4656</v>
      </c>
      <c r="CN4" s="3389" t="s">
        <v>4657</v>
      </c>
      <c r="CO4" s="3389" t="s">
        <v>4648</v>
      </c>
      <c r="CP4" s="3389" t="s">
        <v>4649</v>
      </c>
      <c r="CQ4" s="3389" t="s">
        <v>4650</v>
      </c>
      <c r="CR4" s="3389" t="s">
        <v>4651</v>
      </c>
      <c r="CS4" s="3389" t="s">
        <v>4652</v>
      </c>
      <c r="CT4" s="3389" t="s">
        <v>4658</v>
      </c>
      <c r="CU4" s="3389" t="s">
        <v>4659</v>
      </c>
      <c r="CV4" s="3389" t="s">
        <v>4660</v>
      </c>
      <c r="CW4" s="3389" t="s">
        <v>4661</v>
      </c>
      <c r="CX4" s="3389" t="s">
        <v>4662</v>
      </c>
      <c r="CY4" s="3389" t="s">
        <v>496</v>
      </c>
      <c r="CZ4" s="3389" t="s">
        <v>497</v>
      </c>
      <c r="DA4" s="3389" t="s">
        <v>498</v>
      </c>
      <c r="DB4" s="3389" t="s">
        <v>499</v>
      </c>
      <c r="DC4" s="3389" t="s">
        <v>500</v>
      </c>
      <c r="DD4" s="3389" t="s">
        <v>4663</v>
      </c>
      <c r="DE4" s="3389" t="s">
        <v>4664</v>
      </c>
      <c r="DF4" s="3389" t="s">
        <v>4665</v>
      </c>
      <c r="DG4" s="3389" t="s">
        <v>4666</v>
      </c>
      <c r="DH4" s="3389" t="s">
        <v>4667</v>
      </c>
      <c r="DI4" s="3389" t="s">
        <v>880</v>
      </c>
      <c r="DJ4" s="3389" t="s">
        <v>881</v>
      </c>
      <c r="DK4" s="3389" t="s">
        <v>882</v>
      </c>
      <c r="DL4" s="3389" t="s">
        <v>883</v>
      </c>
      <c r="DM4" s="3389" t="s">
        <v>884</v>
      </c>
      <c r="DN4" s="3389" t="s">
        <v>885</v>
      </c>
      <c r="DO4" s="3389" t="s">
        <v>886</v>
      </c>
      <c r="DP4" s="3389" t="s">
        <v>887</v>
      </c>
      <c r="DQ4" s="3389" t="s">
        <v>888</v>
      </c>
      <c r="DR4" s="3389" t="s">
        <v>889</v>
      </c>
      <c r="DS4" s="3389" t="s">
        <v>4668</v>
      </c>
      <c r="DT4" s="3389" t="s">
        <v>4669</v>
      </c>
      <c r="DU4" s="3389" t="s">
        <v>4670</v>
      </c>
      <c r="DV4" s="3389" t="s">
        <v>4671</v>
      </c>
      <c r="DW4" s="3389" t="s">
        <v>4672</v>
      </c>
      <c r="DX4" s="3389" t="s">
        <v>4673</v>
      </c>
      <c r="DY4" s="3389" t="s">
        <v>4674</v>
      </c>
      <c r="DZ4" s="3389" t="s">
        <v>4675</v>
      </c>
      <c r="EA4" s="3389" t="s">
        <v>4676</v>
      </c>
      <c r="EB4" s="3389" t="s">
        <v>4677</v>
      </c>
      <c r="EC4" s="3389" t="s">
        <v>2430</v>
      </c>
      <c r="ED4" s="3389" t="s">
        <v>2431</v>
      </c>
      <c r="EE4" s="3389" t="s">
        <v>2432</v>
      </c>
      <c r="EF4" s="3389" t="s">
        <v>2433</v>
      </c>
      <c r="EG4" s="3389" t="s">
        <v>2434</v>
      </c>
      <c r="EH4" s="3389" t="s">
        <v>4678</v>
      </c>
      <c r="EI4" s="3389" t="s">
        <v>4679</v>
      </c>
      <c r="EJ4" s="3389" t="s">
        <v>4680</v>
      </c>
      <c r="EK4" s="3389" t="s">
        <v>4681</v>
      </c>
      <c r="EL4" s="3389" t="s">
        <v>4682</v>
      </c>
      <c r="EM4" s="3389" t="s">
        <v>4683</v>
      </c>
      <c r="EN4" s="3389" t="s">
        <v>4684</v>
      </c>
      <c r="EO4" s="3389" t="s">
        <v>4685</v>
      </c>
      <c r="EP4" s="3389" t="s">
        <v>4686</v>
      </c>
      <c r="EQ4" s="3389" t="s">
        <v>4687</v>
      </c>
      <c r="ER4" s="3388" t="s">
        <v>117</v>
      </c>
      <c r="ES4" s="3388" t="s">
        <v>1151</v>
      </c>
      <c r="ET4" s="3388" t="s">
        <v>1152</v>
      </c>
      <c r="EU4" s="3388" t="s">
        <v>1213</v>
      </c>
      <c r="EV4" s="3388" t="s">
        <v>1214</v>
      </c>
      <c r="EW4" s="3388" t="s">
        <v>132</v>
      </c>
      <c r="EX4" s="3388" t="s">
        <v>1215</v>
      </c>
      <c r="EY4" s="3388" t="s">
        <v>1216</v>
      </c>
      <c r="EZ4" s="3388" t="s">
        <v>1217</v>
      </c>
      <c r="FA4" s="3388" t="s">
        <v>1218</v>
      </c>
      <c r="FB4" s="3389" t="s">
        <v>4688</v>
      </c>
      <c r="FC4" s="3389" t="s">
        <v>4689</v>
      </c>
      <c r="FD4" s="3389" t="s">
        <v>4690</v>
      </c>
      <c r="FE4" s="3389" t="s">
        <v>4691</v>
      </c>
      <c r="FF4" s="3389" t="s">
        <v>4692</v>
      </c>
      <c r="FG4" s="3388" t="s">
        <v>131</v>
      </c>
      <c r="FH4" s="3388" t="s">
        <v>911</v>
      </c>
      <c r="FI4" s="3388" t="s">
        <v>912</v>
      </c>
      <c r="FJ4" s="3388" t="s">
        <v>913</v>
      </c>
      <c r="FK4" s="3388" t="s">
        <v>914</v>
      </c>
      <c r="FL4" s="3389" t="s">
        <v>4693</v>
      </c>
      <c r="FM4" s="3389" t="s">
        <v>4694</v>
      </c>
      <c r="FN4" s="3389" t="s">
        <v>4695</v>
      </c>
      <c r="FO4" s="3389" t="s">
        <v>4696</v>
      </c>
      <c r="FP4" s="3389" t="s">
        <v>4697</v>
      </c>
      <c r="FQ4" s="3388" t="s">
        <v>130</v>
      </c>
      <c r="FR4" s="3388" t="s">
        <v>915</v>
      </c>
      <c r="FS4" s="3388" t="s">
        <v>916</v>
      </c>
      <c r="FT4" s="3388" t="s">
        <v>917</v>
      </c>
      <c r="FU4" s="3388" t="s">
        <v>918</v>
      </c>
      <c r="FV4" s="3388" t="s">
        <v>809</v>
      </c>
      <c r="FW4" s="3388" t="s">
        <v>810</v>
      </c>
      <c r="FX4" s="3388" t="s">
        <v>811</v>
      </c>
      <c r="FY4" s="3388" t="s">
        <v>812</v>
      </c>
      <c r="FZ4" s="3388" t="s">
        <v>813</v>
      </c>
      <c r="GA4" s="3388" t="s">
        <v>957</v>
      </c>
      <c r="GB4" s="3388" t="s">
        <v>958</v>
      </c>
      <c r="GC4" s="3388" t="s">
        <v>959</v>
      </c>
      <c r="GD4" s="3388" t="s">
        <v>960</v>
      </c>
      <c r="GE4" s="3388" t="s">
        <v>2429</v>
      </c>
      <c r="GF4" s="3388" t="s">
        <v>1433</v>
      </c>
      <c r="GG4" s="3388" t="s">
        <v>1434</v>
      </c>
      <c r="GH4" s="3388" t="s">
        <v>1435</v>
      </c>
      <c r="GI4" s="3388" t="s">
        <v>1436</v>
      </c>
      <c r="GJ4" s="3388" t="s">
        <v>1437</v>
      </c>
      <c r="GK4" s="3388" t="s">
        <v>436</v>
      </c>
      <c r="GL4" s="3388" t="s">
        <v>437</v>
      </c>
      <c r="GM4" s="3388" t="s">
        <v>438</v>
      </c>
      <c r="GN4" s="3388" t="s">
        <v>439</v>
      </c>
      <c r="GO4" s="3388" t="s">
        <v>440</v>
      </c>
      <c r="GP4" s="3388" t="s">
        <v>17</v>
      </c>
      <c r="GQ4" s="3388" t="s">
        <v>18</v>
      </c>
      <c r="GR4" s="3388" t="s">
        <v>19</v>
      </c>
      <c r="GS4" s="3388" t="s">
        <v>20</v>
      </c>
      <c r="GT4" s="3388" t="s">
        <v>21</v>
      </c>
      <c r="GU4" s="3388" t="s">
        <v>222</v>
      </c>
      <c r="GV4" s="3388" t="s">
        <v>223</v>
      </c>
      <c r="GW4" s="3388" t="s">
        <v>224</v>
      </c>
      <c r="GX4" s="3388" t="s">
        <v>1811</v>
      </c>
      <c r="GY4" s="3388" t="s">
        <v>1812</v>
      </c>
      <c r="GZ4" s="3388" t="s">
        <v>1813</v>
      </c>
      <c r="HA4" s="3388" t="s">
        <v>592</v>
      </c>
      <c r="HB4" s="3388" t="s">
        <v>593</v>
      </c>
      <c r="HC4" s="3388" t="s">
        <v>594</v>
      </c>
      <c r="HD4" s="3388" t="s">
        <v>595</v>
      </c>
      <c r="HE4" s="3388" t="s">
        <v>22</v>
      </c>
      <c r="HF4" s="3388" t="s">
        <v>23</v>
      </c>
      <c r="HG4" s="3388" t="s">
        <v>24</v>
      </c>
      <c r="HH4" s="3388" t="s">
        <v>25</v>
      </c>
      <c r="HI4" s="3388" t="s">
        <v>26</v>
      </c>
      <c r="HJ4" s="3388" t="s">
        <v>495</v>
      </c>
      <c r="HK4" s="3388" t="s">
        <v>432</v>
      </c>
      <c r="HL4" s="3388" t="s">
        <v>433</v>
      </c>
      <c r="HM4" s="3388" t="s">
        <v>434</v>
      </c>
      <c r="HN4" s="3388" t="s">
        <v>435</v>
      </c>
      <c r="HO4" s="3388" t="s">
        <v>2208</v>
      </c>
      <c r="HP4" s="3388" t="s">
        <v>2209</v>
      </c>
      <c r="HQ4" s="3388" t="s">
        <v>2210</v>
      </c>
      <c r="HR4" s="3388" t="s">
        <v>1479</v>
      </c>
      <c r="HS4" s="3388" t="s">
        <v>1480</v>
      </c>
      <c r="HT4" s="3388" t="s">
        <v>27</v>
      </c>
      <c r="HU4" s="3388" t="s">
        <v>28</v>
      </c>
      <c r="HV4" s="3388" t="s">
        <v>29</v>
      </c>
      <c r="HW4" s="3388" t="s">
        <v>30</v>
      </c>
      <c r="HX4" s="3388"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388" t="s">
        <v>1625</v>
      </c>
      <c r="LG4" s="3388" t="s">
        <v>2523</v>
      </c>
      <c r="LH4" s="3388" t="s">
        <v>2524</v>
      </c>
      <c r="LI4" s="3388" t="s">
        <v>386</v>
      </c>
      <c r="LJ4" s="3388" t="s">
        <v>387</v>
      </c>
      <c r="LK4" s="3388" t="s">
        <v>388</v>
      </c>
      <c r="LL4" s="3388" t="s">
        <v>389</v>
      </c>
      <c r="LM4" s="3388" t="s">
        <v>390</v>
      </c>
      <c r="LN4" s="3388" t="s">
        <v>391</v>
      </c>
      <c r="LO4" s="3388" t="s">
        <v>392</v>
      </c>
      <c r="LP4" s="3388" t="s">
        <v>202</v>
      </c>
      <c r="LQ4" s="3388" t="s">
        <v>203</v>
      </c>
      <c r="LR4" s="3388" t="s">
        <v>204</v>
      </c>
      <c r="LS4" s="3388" t="s">
        <v>205</v>
      </c>
      <c r="LT4" s="3388" t="s">
        <v>206</v>
      </c>
      <c r="LU4" s="3388" t="s">
        <v>207</v>
      </c>
      <c r="LV4" s="3388" t="s">
        <v>208</v>
      </c>
      <c r="LW4" s="3388" t="s">
        <v>209</v>
      </c>
      <c r="LX4" s="3388" t="s">
        <v>210</v>
      </c>
      <c r="LY4" s="3388" t="s">
        <v>211</v>
      </c>
      <c r="LZ4" s="3388" t="s">
        <v>212</v>
      </c>
      <c r="MA4" s="3388" t="s">
        <v>213</v>
      </c>
      <c r="MB4" s="3388" t="s">
        <v>214</v>
      </c>
      <c r="MC4" s="3388" t="s">
        <v>215</v>
      </c>
      <c r="MD4" s="3388" t="s">
        <v>216</v>
      </c>
      <c r="ME4" s="3388"/>
      <c r="MF4" s="3388"/>
      <c r="MG4" s="3388"/>
      <c r="MH4" s="3388"/>
      <c r="MI4" s="3388"/>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394" t="str">
        <f>IF(A48&gt;0,"Finish Row!","")</f>
        <v/>
      </c>
      <c r="B5" s="3" t="s">
        <v>1846</v>
      </c>
      <c r="D5" s="1"/>
      <c r="E5" s="3"/>
      <c r="F5" s="1"/>
      <c r="G5" s="2585" t="s">
        <v>201</v>
      </c>
      <c r="J5" s="2293" t="s">
        <v>3564</v>
      </c>
      <c r="K5" s="3395" t="str">
        <f>'Part I-Project Information'!$B$6</f>
        <v>May 2019</v>
      </c>
      <c r="L5" s="3396"/>
      <c r="M5" s="2290" t="s">
        <v>576</v>
      </c>
      <c r="O5" s="2292" t="s">
        <v>4713</v>
      </c>
      <c r="P5" s="3392"/>
      <c r="Q5" s="2291"/>
      <c r="R5" s="94"/>
      <c r="S5" s="94"/>
      <c r="T5" s="94"/>
      <c r="W5" s="3389"/>
      <c r="X5" s="3389"/>
      <c r="Y5" s="3389"/>
      <c r="Z5" s="3389"/>
      <c r="AA5" s="3389"/>
      <c r="AB5" s="3389"/>
      <c r="AC5" s="3389"/>
      <c r="AD5" s="3389"/>
      <c r="AE5" s="3389"/>
      <c r="AF5" s="3389"/>
      <c r="AG5" s="3389"/>
      <c r="AH5" s="3389"/>
      <c r="AI5" s="3389"/>
      <c r="AJ5" s="3389"/>
      <c r="AK5" s="3389"/>
      <c r="AL5" s="3389"/>
      <c r="AM5" s="3389"/>
      <c r="AN5" s="3389"/>
      <c r="AO5" s="3389"/>
      <c r="AP5" s="3389"/>
      <c r="AQ5" s="3389"/>
      <c r="AR5" s="3389"/>
      <c r="AS5" s="3389"/>
      <c r="AT5" s="3389"/>
      <c r="AU5" s="3389"/>
      <c r="AV5" s="3389"/>
      <c r="AW5" s="3389"/>
      <c r="AX5" s="3389"/>
      <c r="AY5" s="3389"/>
      <c r="AZ5" s="3389"/>
      <c r="BA5" s="3389"/>
      <c r="BB5" s="3389"/>
      <c r="BC5" s="3389"/>
      <c r="BD5" s="3389"/>
      <c r="BE5" s="3389"/>
      <c r="BF5" s="3389"/>
      <c r="BG5" s="3389"/>
      <c r="BH5" s="3389"/>
      <c r="BI5" s="3389"/>
      <c r="BJ5" s="3389"/>
      <c r="BK5" s="3389"/>
      <c r="BL5" s="3389"/>
      <c r="BM5" s="3389"/>
      <c r="BN5" s="3389"/>
      <c r="BO5" s="3389"/>
      <c r="BP5" s="3389"/>
      <c r="BQ5" s="3389"/>
      <c r="BR5" s="3389"/>
      <c r="BS5" s="3389"/>
      <c r="BT5" s="3389"/>
      <c r="BU5" s="3389"/>
      <c r="BV5" s="3389"/>
      <c r="BW5" s="3389"/>
      <c r="BX5" s="3389"/>
      <c r="BY5" s="3389"/>
      <c r="BZ5" s="3389"/>
      <c r="CA5" s="3389"/>
      <c r="CB5" s="3389"/>
      <c r="CC5" s="3389"/>
      <c r="CD5" s="3389"/>
      <c r="CE5" s="3389"/>
      <c r="CF5" s="3389"/>
      <c r="CG5" s="3389"/>
      <c r="CH5" s="3389"/>
      <c r="CI5" s="3389"/>
      <c r="CJ5" s="3389"/>
      <c r="CK5" s="3389"/>
      <c r="CL5" s="3389"/>
      <c r="CM5" s="3389"/>
      <c r="CN5" s="3389"/>
      <c r="CO5" s="3389"/>
      <c r="CP5" s="3389"/>
      <c r="CQ5" s="3389"/>
      <c r="CR5" s="3389"/>
      <c r="CS5" s="3389"/>
      <c r="CT5" s="3389"/>
      <c r="CU5" s="3389"/>
      <c r="CV5" s="3389"/>
      <c r="CW5" s="3389"/>
      <c r="CX5" s="3389"/>
      <c r="CY5" s="3389"/>
      <c r="CZ5" s="3389"/>
      <c r="DA5" s="3389"/>
      <c r="DB5" s="3389"/>
      <c r="DC5" s="3389"/>
      <c r="DD5" s="3389"/>
      <c r="DE5" s="3389"/>
      <c r="DF5" s="3389"/>
      <c r="DG5" s="3389"/>
      <c r="DH5" s="3389"/>
      <c r="DI5" s="3389"/>
      <c r="DJ5" s="3389"/>
      <c r="DK5" s="3389"/>
      <c r="DL5" s="3389"/>
      <c r="DM5" s="3389"/>
      <c r="DN5" s="3389"/>
      <c r="DO5" s="3389"/>
      <c r="DP5" s="3389"/>
      <c r="DQ5" s="3389"/>
      <c r="DR5" s="3389"/>
      <c r="DS5" s="3389"/>
      <c r="DT5" s="3389"/>
      <c r="DU5" s="3389"/>
      <c r="DV5" s="3389"/>
      <c r="DW5" s="3389"/>
      <c r="DX5" s="3389"/>
      <c r="DY5" s="3389"/>
      <c r="DZ5" s="3389"/>
      <c r="EA5" s="3389"/>
      <c r="EB5" s="3389"/>
      <c r="EC5" s="3389"/>
      <c r="ED5" s="3389"/>
      <c r="EE5" s="3389"/>
      <c r="EF5" s="3389"/>
      <c r="EG5" s="3389"/>
      <c r="EH5" s="3389"/>
      <c r="EI5" s="3389"/>
      <c r="EJ5" s="3389"/>
      <c r="EK5" s="3389"/>
      <c r="EL5" s="3389"/>
      <c r="EM5" s="3389"/>
      <c r="EN5" s="3389"/>
      <c r="EO5" s="3389"/>
      <c r="EP5" s="3389"/>
      <c r="EQ5" s="3389"/>
      <c r="ER5" s="3388"/>
      <c r="ES5" s="3388"/>
      <c r="ET5" s="3388"/>
      <c r="EU5" s="3388"/>
      <c r="EV5" s="3388"/>
      <c r="EW5" s="3388"/>
      <c r="EX5" s="3388"/>
      <c r="EY5" s="3388"/>
      <c r="EZ5" s="3388"/>
      <c r="FA5" s="3388"/>
      <c r="FB5" s="3389"/>
      <c r="FC5" s="3389"/>
      <c r="FD5" s="3389"/>
      <c r="FE5" s="3389"/>
      <c r="FF5" s="3389"/>
      <c r="FG5" s="3388"/>
      <c r="FH5" s="3388"/>
      <c r="FI5" s="3388"/>
      <c r="FJ5" s="3388"/>
      <c r="FK5" s="3388"/>
      <c r="FL5" s="3389"/>
      <c r="FM5" s="3389"/>
      <c r="FN5" s="3389"/>
      <c r="FO5" s="3389"/>
      <c r="FP5" s="3389"/>
      <c r="FQ5" s="3388"/>
      <c r="FR5" s="3388"/>
      <c r="FS5" s="3388"/>
      <c r="FT5" s="3388"/>
      <c r="FU5" s="3388"/>
      <c r="FV5" s="3388"/>
      <c r="FW5" s="3388"/>
      <c r="FX5" s="3388"/>
      <c r="FY5" s="3388"/>
      <c r="FZ5" s="3388"/>
      <c r="GA5" s="3388"/>
      <c r="GB5" s="3388"/>
      <c r="GC5" s="3388"/>
      <c r="GD5" s="3388"/>
      <c r="GE5" s="3388"/>
      <c r="GF5" s="3388"/>
      <c r="GG5" s="3388"/>
      <c r="GH5" s="3388"/>
      <c r="GI5" s="3388"/>
      <c r="GJ5" s="3388"/>
      <c r="GK5" s="3388"/>
      <c r="GL5" s="3388"/>
      <c r="GM5" s="3388"/>
      <c r="GN5" s="3388"/>
      <c r="GO5" s="3388"/>
      <c r="GP5" s="3388"/>
      <c r="GQ5" s="3388"/>
      <c r="GR5" s="3388"/>
      <c r="GS5" s="3388"/>
      <c r="GT5" s="3388"/>
      <c r="GU5" s="3388"/>
      <c r="GV5" s="3388"/>
      <c r="GW5" s="3388"/>
      <c r="GX5" s="3388"/>
      <c r="GY5" s="3388"/>
      <c r="GZ5" s="3388"/>
      <c r="HA5" s="3388"/>
      <c r="HB5" s="3388"/>
      <c r="HC5" s="3388"/>
      <c r="HD5" s="3388"/>
      <c r="HE5" s="3388"/>
      <c r="HF5" s="3388"/>
      <c r="HG5" s="3388"/>
      <c r="HH5" s="3388"/>
      <c r="HI5" s="3388"/>
      <c r="HJ5" s="3388"/>
      <c r="HK5" s="3388"/>
      <c r="HL5" s="3388"/>
      <c r="HM5" s="3388"/>
      <c r="HN5" s="3388"/>
      <c r="HO5" s="3388"/>
      <c r="HP5" s="3388"/>
      <c r="HQ5" s="3388"/>
      <c r="HR5" s="3388"/>
      <c r="HS5" s="3388"/>
      <c r="HT5" s="3388"/>
      <c r="HU5" s="3388"/>
      <c r="HV5" s="3388"/>
      <c r="HW5" s="3388"/>
      <c r="HX5" s="3388"/>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388"/>
      <c r="LG5" s="3388"/>
      <c r="LH5" s="3388"/>
      <c r="LI5" s="3388"/>
      <c r="LJ5" s="3388"/>
      <c r="LK5" s="3388"/>
      <c r="LL5" s="3388"/>
      <c r="LM5" s="3388"/>
      <c r="LN5" s="3388"/>
      <c r="LO5" s="3388"/>
      <c r="LP5" s="3388"/>
      <c r="LQ5" s="3388"/>
      <c r="LR5" s="3388"/>
      <c r="LS5" s="3388"/>
      <c r="LT5" s="3388"/>
      <c r="LU5" s="3388"/>
      <c r="LV5" s="3388"/>
      <c r="LW5" s="3388"/>
      <c r="LX5" s="3388"/>
      <c r="LY5" s="3388"/>
      <c r="LZ5" s="3388"/>
      <c r="MA5" s="3388"/>
      <c r="MB5" s="3388"/>
      <c r="MC5" s="3388"/>
      <c r="MD5" s="3388"/>
      <c r="ME5" s="3388"/>
      <c r="MF5" s="3388"/>
      <c r="MG5" s="3388"/>
      <c r="MH5" s="3388"/>
      <c r="MI5" s="3388"/>
      <c r="MJ5" s="3401" t="s">
        <v>3418</v>
      </c>
      <c r="MK5" s="3401" t="s">
        <v>3419</v>
      </c>
      <c r="ML5" s="3401" t="s">
        <v>3420</v>
      </c>
      <c r="MM5" s="3401" t="s">
        <v>3421</v>
      </c>
      <c r="MN5" s="3401" t="s">
        <v>3422</v>
      </c>
      <c r="MO5" s="3388" t="s">
        <v>3432</v>
      </c>
      <c r="MP5" s="3388" t="s">
        <v>3434</v>
      </c>
      <c r="MQ5" s="3388" t="s">
        <v>3435</v>
      </c>
      <c r="MR5" s="3388" t="s">
        <v>3436</v>
      </c>
      <c r="MS5" s="3388"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394"/>
      <c r="B6" s="28" t="s">
        <v>1805</v>
      </c>
      <c r="D6" s="1"/>
      <c r="E6" s="3"/>
      <c r="F6" s="2586" t="s">
        <v>2993</v>
      </c>
      <c r="G6" s="2293" t="s">
        <v>3662</v>
      </c>
      <c r="H6" s="3392" t="s">
        <v>3884</v>
      </c>
      <c r="I6" s="2293" t="s">
        <v>798</v>
      </c>
      <c r="J6" s="2293" t="s">
        <v>3665</v>
      </c>
      <c r="K6" s="3396"/>
      <c r="L6" s="3396"/>
      <c r="M6" s="3391" t="str">
        <f>'Part I-Project Information'!$O$40</f>
        <v>Macon</v>
      </c>
      <c r="N6" s="3391"/>
      <c r="O6" s="875">
        <f>VLOOKUP('Part I-Project Information'!$O$40,'DCA Underwriting Assumptions'!$C$158:$D$268,2)</f>
        <v>53600</v>
      </c>
      <c r="P6" s="3392"/>
      <c r="Q6" s="2291"/>
      <c r="R6" s="94"/>
      <c r="S6" s="3399" t="s">
        <v>2698</v>
      </c>
      <c r="T6" s="3399"/>
      <c r="W6" s="3389"/>
      <c r="X6" s="3389"/>
      <c r="Y6" s="3389"/>
      <c r="Z6" s="3389"/>
      <c r="AA6" s="3389"/>
      <c r="AB6" s="3389"/>
      <c r="AC6" s="3389"/>
      <c r="AD6" s="3389"/>
      <c r="AE6" s="3389"/>
      <c r="AF6" s="3389"/>
      <c r="AG6" s="3389"/>
      <c r="AH6" s="3389"/>
      <c r="AI6" s="3389"/>
      <c r="AJ6" s="3389"/>
      <c r="AK6" s="3389"/>
      <c r="AL6" s="3389"/>
      <c r="AM6" s="3389"/>
      <c r="AN6" s="3389"/>
      <c r="AO6" s="3389"/>
      <c r="AP6" s="3389"/>
      <c r="AQ6" s="3389"/>
      <c r="AR6" s="3389"/>
      <c r="AS6" s="3389"/>
      <c r="AT6" s="3389"/>
      <c r="AU6" s="3389"/>
      <c r="AV6" s="3389"/>
      <c r="AW6" s="3389"/>
      <c r="AX6" s="3389"/>
      <c r="AY6" s="3389"/>
      <c r="AZ6" s="3389"/>
      <c r="BA6" s="3389"/>
      <c r="BB6" s="3389"/>
      <c r="BC6" s="3389"/>
      <c r="BD6" s="3389"/>
      <c r="BE6" s="3389"/>
      <c r="BF6" s="3389"/>
      <c r="BG6" s="3389"/>
      <c r="BH6" s="3389"/>
      <c r="BI6" s="3389"/>
      <c r="BJ6" s="3389"/>
      <c r="BK6" s="3389"/>
      <c r="BL6" s="3389"/>
      <c r="BM6" s="3389"/>
      <c r="BN6" s="3389"/>
      <c r="BO6" s="3389"/>
      <c r="BP6" s="3389"/>
      <c r="BQ6" s="3389"/>
      <c r="BR6" s="3389"/>
      <c r="BS6" s="3389"/>
      <c r="BT6" s="3389"/>
      <c r="BU6" s="3389"/>
      <c r="BV6" s="3389"/>
      <c r="BW6" s="3389"/>
      <c r="BX6" s="3389"/>
      <c r="BY6" s="3389"/>
      <c r="BZ6" s="3389"/>
      <c r="CA6" s="3389"/>
      <c r="CB6" s="3389"/>
      <c r="CC6" s="3389"/>
      <c r="CD6" s="3389"/>
      <c r="CE6" s="3389"/>
      <c r="CF6" s="3389"/>
      <c r="CG6" s="3389"/>
      <c r="CH6" s="3389"/>
      <c r="CI6" s="3389"/>
      <c r="CJ6" s="3389"/>
      <c r="CK6" s="3389"/>
      <c r="CL6" s="3389"/>
      <c r="CM6" s="3389"/>
      <c r="CN6" s="3389"/>
      <c r="CO6" s="3389"/>
      <c r="CP6" s="3389"/>
      <c r="CQ6" s="3389"/>
      <c r="CR6" s="3389"/>
      <c r="CS6" s="3389"/>
      <c r="CT6" s="3389"/>
      <c r="CU6" s="3389"/>
      <c r="CV6" s="3389"/>
      <c r="CW6" s="3389"/>
      <c r="CX6" s="3389"/>
      <c r="CY6" s="3389"/>
      <c r="CZ6" s="3389"/>
      <c r="DA6" s="3389"/>
      <c r="DB6" s="3389"/>
      <c r="DC6" s="3389"/>
      <c r="DD6" s="3389"/>
      <c r="DE6" s="3389"/>
      <c r="DF6" s="3389"/>
      <c r="DG6" s="3389"/>
      <c r="DH6" s="3389"/>
      <c r="DI6" s="3389"/>
      <c r="DJ6" s="3389"/>
      <c r="DK6" s="3389"/>
      <c r="DL6" s="3389"/>
      <c r="DM6" s="3389"/>
      <c r="DN6" s="3389"/>
      <c r="DO6" s="3389"/>
      <c r="DP6" s="3389"/>
      <c r="DQ6" s="3389"/>
      <c r="DR6" s="3389"/>
      <c r="DS6" s="3389"/>
      <c r="DT6" s="3389"/>
      <c r="DU6" s="3389"/>
      <c r="DV6" s="3389"/>
      <c r="DW6" s="3389"/>
      <c r="DX6" s="3389"/>
      <c r="DY6" s="3389"/>
      <c r="DZ6" s="3389"/>
      <c r="EA6" s="3389"/>
      <c r="EB6" s="3389"/>
      <c r="EC6" s="3389"/>
      <c r="ED6" s="3389"/>
      <c r="EE6" s="3389"/>
      <c r="EF6" s="3389"/>
      <c r="EG6" s="3389"/>
      <c r="EH6" s="3389"/>
      <c r="EI6" s="3389"/>
      <c r="EJ6" s="3389"/>
      <c r="EK6" s="3389"/>
      <c r="EL6" s="3389"/>
      <c r="EM6" s="3389"/>
      <c r="EN6" s="3389"/>
      <c r="EO6" s="3389"/>
      <c r="EP6" s="3389"/>
      <c r="EQ6" s="3389"/>
      <c r="ER6" s="3388"/>
      <c r="ES6" s="3388"/>
      <c r="ET6" s="3388"/>
      <c r="EU6" s="3388"/>
      <c r="EV6" s="3388"/>
      <c r="EW6" s="3388"/>
      <c r="EX6" s="3388"/>
      <c r="EY6" s="3388"/>
      <c r="EZ6" s="3388"/>
      <c r="FA6" s="3388"/>
      <c r="FB6" s="3389"/>
      <c r="FC6" s="3389"/>
      <c r="FD6" s="3389"/>
      <c r="FE6" s="3389"/>
      <c r="FF6" s="3389"/>
      <c r="FG6" s="3388"/>
      <c r="FH6" s="3388"/>
      <c r="FI6" s="3388"/>
      <c r="FJ6" s="3388"/>
      <c r="FK6" s="3388"/>
      <c r="FL6" s="3389"/>
      <c r="FM6" s="3389"/>
      <c r="FN6" s="3389"/>
      <c r="FO6" s="3389"/>
      <c r="FP6" s="3389"/>
      <c r="FQ6" s="3388"/>
      <c r="FR6" s="3388"/>
      <c r="FS6" s="3388"/>
      <c r="FT6" s="3388"/>
      <c r="FU6" s="3388"/>
      <c r="FV6" s="3388"/>
      <c r="FW6" s="3388"/>
      <c r="FX6" s="3388"/>
      <c r="FY6" s="3388"/>
      <c r="FZ6" s="3388"/>
      <c r="GA6" s="3388"/>
      <c r="GB6" s="3388"/>
      <c r="GC6" s="3388"/>
      <c r="GD6" s="3388"/>
      <c r="GE6" s="3388"/>
      <c r="GF6" s="3388"/>
      <c r="GG6" s="3388"/>
      <c r="GH6" s="3388"/>
      <c r="GI6" s="3388"/>
      <c r="GJ6" s="3388"/>
      <c r="GK6" s="3388"/>
      <c r="GL6" s="3388"/>
      <c r="GM6" s="3388"/>
      <c r="GN6" s="3388"/>
      <c r="GO6" s="3388"/>
      <c r="GP6" s="3388"/>
      <c r="GQ6" s="3388"/>
      <c r="GR6" s="3388"/>
      <c r="GS6" s="3388"/>
      <c r="GT6" s="3388"/>
      <c r="GU6" s="3388"/>
      <c r="GV6" s="3388"/>
      <c r="GW6" s="3388"/>
      <c r="GX6" s="3388"/>
      <c r="GY6" s="3388"/>
      <c r="GZ6" s="3388"/>
      <c r="HA6" s="3388"/>
      <c r="HB6" s="3388"/>
      <c r="HC6" s="3388"/>
      <c r="HD6" s="3388"/>
      <c r="HE6" s="3388"/>
      <c r="HF6" s="3388"/>
      <c r="HG6" s="3388"/>
      <c r="HH6" s="3388"/>
      <c r="HI6" s="3388"/>
      <c r="HJ6" s="3388"/>
      <c r="HK6" s="3388"/>
      <c r="HL6" s="3388"/>
      <c r="HM6" s="3388"/>
      <c r="HN6" s="3388"/>
      <c r="HO6" s="3388"/>
      <c r="HP6" s="3388"/>
      <c r="HQ6" s="3388"/>
      <c r="HR6" s="3388"/>
      <c r="HS6" s="3388"/>
      <c r="HT6" s="3388"/>
      <c r="HU6" s="3388"/>
      <c r="HV6" s="3388"/>
      <c r="HW6" s="3388"/>
      <c r="HX6" s="3388"/>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388"/>
      <c r="LG6" s="3388"/>
      <c r="LH6" s="3388"/>
      <c r="LI6" s="3388"/>
      <c r="LJ6" s="3388"/>
      <c r="LK6" s="3388"/>
      <c r="LL6" s="3388"/>
      <c r="LM6" s="3388"/>
      <c r="LN6" s="3388"/>
      <c r="LO6" s="3388"/>
      <c r="LP6" s="3388"/>
      <c r="LQ6" s="3388"/>
      <c r="LR6" s="3388"/>
      <c r="LS6" s="3388"/>
      <c r="LT6" s="3388"/>
      <c r="LU6" s="3388"/>
      <c r="LV6" s="3388"/>
      <c r="LW6" s="3388"/>
      <c r="LX6" s="3388"/>
      <c r="LY6" s="3388"/>
      <c r="LZ6" s="3388"/>
      <c r="MA6" s="3388"/>
      <c r="MB6" s="3388"/>
      <c r="MC6" s="3388"/>
      <c r="MD6" s="3388"/>
      <c r="ME6" s="3388"/>
      <c r="MF6" s="3388"/>
      <c r="MG6" s="3388"/>
      <c r="MH6" s="3388"/>
      <c r="MI6" s="3388"/>
      <c r="MJ6" s="3401"/>
      <c r="MK6" s="3401"/>
      <c r="ML6" s="3401"/>
      <c r="MM6" s="3401"/>
      <c r="MN6" s="3401"/>
      <c r="MO6" s="3388"/>
      <c r="MP6" s="3388"/>
      <c r="MQ6" s="3388"/>
      <c r="MR6" s="3388"/>
      <c r="MS6" s="3388"/>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94"/>
      <c r="B7" s="1055" t="s">
        <v>4700</v>
      </c>
      <c r="C7" s="1"/>
      <c r="D7" s="3"/>
      <c r="E7" s="1"/>
      <c r="F7" s="1"/>
      <c r="G7" s="2293" t="s">
        <v>3663</v>
      </c>
      <c r="H7" s="3392"/>
      <c r="I7" s="2293" t="s">
        <v>799</v>
      </c>
      <c r="J7" s="2293" t="s">
        <v>3666</v>
      </c>
      <c r="K7" s="867"/>
      <c r="L7" s="867"/>
      <c r="M7" s="3391"/>
      <c r="N7" s="3391"/>
      <c r="P7" s="3392"/>
      <c r="Q7" s="2291"/>
      <c r="R7" s="867"/>
      <c r="S7" s="868"/>
      <c r="T7" s="872" t="s">
        <v>2695</v>
      </c>
      <c r="U7" s="416"/>
      <c r="V7" s="417"/>
      <c r="W7" s="3389"/>
      <c r="X7" s="3389"/>
      <c r="Y7" s="3389"/>
      <c r="Z7" s="3389"/>
      <c r="AA7" s="3389"/>
      <c r="AB7" s="3389"/>
      <c r="AC7" s="3389"/>
      <c r="AD7" s="3389"/>
      <c r="AE7" s="3389"/>
      <c r="AF7" s="3389"/>
      <c r="AG7" s="3389"/>
      <c r="AH7" s="3389"/>
      <c r="AI7" s="3389"/>
      <c r="AJ7" s="3389"/>
      <c r="AK7" s="3389"/>
      <c r="AL7" s="3389"/>
      <c r="AM7" s="3389"/>
      <c r="AN7" s="3389"/>
      <c r="AO7" s="3389"/>
      <c r="AP7" s="3389"/>
      <c r="AQ7" s="3389"/>
      <c r="AR7" s="3389"/>
      <c r="AS7" s="3389"/>
      <c r="AT7" s="3389"/>
      <c r="AU7" s="3389"/>
      <c r="AV7" s="3389"/>
      <c r="AW7" s="3389"/>
      <c r="AX7" s="3389"/>
      <c r="AY7" s="3389"/>
      <c r="AZ7" s="3389"/>
      <c r="BA7" s="3389"/>
      <c r="BB7" s="3389"/>
      <c r="BC7" s="3389"/>
      <c r="BD7" s="3389"/>
      <c r="BE7" s="3389"/>
      <c r="BF7" s="3389"/>
      <c r="BG7" s="3389"/>
      <c r="BH7" s="3389"/>
      <c r="BI7" s="3389"/>
      <c r="BJ7" s="3389"/>
      <c r="BK7" s="3389"/>
      <c r="BL7" s="3389"/>
      <c r="BM7" s="3389"/>
      <c r="BN7" s="3389"/>
      <c r="BO7" s="3389"/>
      <c r="BP7" s="3389"/>
      <c r="BQ7" s="3389"/>
      <c r="BR7" s="3389"/>
      <c r="BS7" s="3389"/>
      <c r="BT7" s="3389"/>
      <c r="BU7" s="3389"/>
      <c r="BV7" s="3389"/>
      <c r="BW7" s="3389"/>
      <c r="BX7" s="3389"/>
      <c r="BY7" s="3389"/>
      <c r="BZ7" s="3389"/>
      <c r="CA7" s="3389"/>
      <c r="CB7" s="3389"/>
      <c r="CC7" s="3389"/>
      <c r="CD7" s="3389"/>
      <c r="CE7" s="3389"/>
      <c r="CF7" s="3389"/>
      <c r="CG7" s="3389"/>
      <c r="CH7" s="3389"/>
      <c r="CI7" s="3389"/>
      <c r="CJ7" s="3389"/>
      <c r="CK7" s="3389"/>
      <c r="CL7" s="3389"/>
      <c r="CM7" s="3389"/>
      <c r="CN7" s="3389"/>
      <c r="CO7" s="3389"/>
      <c r="CP7" s="3389"/>
      <c r="CQ7" s="3389"/>
      <c r="CR7" s="3389"/>
      <c r="CS7" s="3389"/>
      <c r="CT7" s="3389"/>
      <c r="CU7" s="3389"/>
      <c r="CV7" s="3389"/>
      <c r="CW7" s="3389"/>
      <c r="CX7" s="3389"/>
      <c r="CY7" s="3389"/>
      <c r="CZ7" s="3389"/>
      <c r="DA7" s="3389"/>
      <c r="DB7" s="3389"/>
      <c r="DC7" s="3389"/>
      <c r="DD7" s="3389"/>
      <c r="DE7" s="3389"/>
      <c r="DF7" s="3389"/>
      <c r="DG7" s="3389"/>
      <c r="DH7" s="3389"/>
      <c r="DI7" s="3389"/>
      <c r="DJ7" s="3389"/>
      <c r="DK7" s="3389"/>
      <c r="DL7" s="3389"/>
      <c r="DM7" s="3389"/>
      <c r="DN7" s="3389"/>
      <c r="DO7" s="3389"/>
      <c r="DP7" s="3389"/>
      <c r="DQ7" s="3389"/>
      <c r="DR7" s="3389"/>
      <c r="DS7" s="3389"/>
      <c r="DT7" s="3389"/>
      <c r="DU7" s="3389"/>
      <c r="DV7" s="3389"/>
      <c r="DW7" s="3389"/>
      <c r="DX7" s="3389"/>
      <c r="DY7" s="3389"/>
      <c r="DZ7" s="3389"/>
      <c r="EA7" s="3389"/>
      <c r="EB7" s="3389"/>
      <c r="EC7" s="3389"/>
      <c r="ED7" s="3389"/>
      <c r="EE7" s="3389"/>
      <c r="EF7" s="3389"/>
      <c r="EG7" s="3389"/>
      <c r="EH7" s="3389"/>
      <c r="EI7" s="3389"/>
      <c r="EJ7" s="3389"/>
      <c r="EK7" s="3389"/>
      <c r="EL7" s="3389"/>
      <c r="EM7" s="3389"/>
      <c r="EN7" s="3389"/>
      <c r="EO7" s="3389"/>
      <c r="EP7" s="3389"/>
      <c r="EQ7" s="3389"/>
      <c r="ER7" s="3388"/>
      <c r="ES7" s="3388"/>
      <c r="ET7" s="3388"/>
      <c r="EU7" s="3388"/>
      <c r="EV7" s="3388"/>
      <c r="EW7" s="3388"/>
      <c r="EX7" s="3388"/>
      <c r="EY7" s="3388"/>
      <c r="EZ7" s="3388"/>
      <c r="FA7" s="3388"/>
      <c r="FB7" s="3389"/>
      <c r="FC7" s="3389"/>
      <c r="FD7" s="3389"/>
      <c r="FE7" s="3389"/>
      <c r="FF7" s="3389"/>
      <c r="FG7" s="3388"/>
      <c r="FH7" s="3388"/>
      <c r="FI7" s="3388"/>
      <c r="FJ7" s="3388"/>
      <c r="FK7" s="3388"/>
      <c r="FL7" s="3389"/>
      <c r="FM7" s="3389"/>
      <c r="FN7" s="3389"/>
      <c r="FO7" s="3389"/>
      <c r="FP7" s="3389"/>
      <c r="FQ7" s="3388"/>
      <c r="FR7" s="3388"/>
      <c r="FS7" s="3388"/>
      <c r="FT7" s="3388"/>
      <c r="FU7" s="3388"/>
      <c r="FV7" s="3388"/>
      <c r="FW7" s="3388"/>
      <c r="FX7" s="3388"/>
      <c r="FY7" s="3388"/>
      <c r="FZ7" s="3388"/>
      <c r="GA7" s="3388"/>
      <c r="GB7" s="3388"/>
      <c r="GC7" s="3388"/>
      <c r="GD7" s="3388"/>
      <c r="GE7" s="3388"/>
      <c r="GF7" s="3388"/>
      <c r="GG7" s="3388"/>
      <c r="GH7" s="3388"/>
      <c r="GI7" s="3388"/>
      <c r="GJ7" s="3388"/>
      <c r="GK7" s="3388"/>
      <c r="GL7" s="3388"/>
      <c r="GM7" s="3388"/>
      <c r="GN7" s="3388"/>
      <c r="GO7" s="3388"/>
      <c r="GP7" s="3388"/>
      <c r="GQ7" s="3388"/>
      <c r="GR7" s="3388"/>
      <c r="GS7" s="3388"/>
      <c r="GT7" s="3388"/>
      <c r="GU7" s="3388"/>
      <c r="GV7" s="3388"/>
      <c r="GW7" s="3388"/>
      <c r="GX7" s="3388"/>
      <c r="GY7" s="3388"/>
      <c r="GZ7" s="3388"/>
      <c r="HA7" s="3388"/>
      <c r="HB7" s="3388"/>
      <c r="HC7" s="3388"/>
      <c r="HD7" s="3388"/>
      <c r="HE7" s="3388"/>
      <c r="HF7" s="3388"/>
      <c r="HG7" s="3388"/>
      <c r="HH7" s="3388"/>
      <c r="HI7" s="3388"/>
      <c r="HJ7" s="3388"/>
      <c r="HK7" s="3388"/>
      <c r="HL7" s="3388"/>
      <c r="HM7" s="3388"/>
      <c r="HN7" s="3388"/>
      <c r="HO7" s="3388"/>
      <c r="HP7" s="3388"/>
      <c r="HQ7" s="3388"/>
      <c r="HR7" s="3388"/>
      <c r="HS7" s="3388"/>
      <c r="HT7" s="3388"/>
      <c r="HU7" s="3388"/>
      <c r="HV7" s="3388"/>
      <c r="HW7" s="3388"/>
      <c r="HX7" s="3388"/>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388"/>
      <c r="LG7" s="3388"/>
      <c r="LH7" s="3388"/>
      <c r="LI7" s="3388"/>
      <c r="LJ7" s="3388"/>
      <c r="LK7" s="3388"/>
      <c r="LL7" s="3388"/>
      <c r="LM7" s="3388"/>
      <c r="LN7" s="3388"/>
      <c r="LO7" s="3388"/>
      <c r="LP7" s="3388"/>
      <c r="LQ7" s="3388"/>
      <c r="LR7" s="3388"/>
      <c r="LS7" s="3388"/>
      <c r="LT7" s="3388"/>
      <c r="LU7" s="3388"/>
      <c r="LV7" s="3388"/>
      <c r="LW7" s="3388"/>
      <c r="LX7" s="3388"/>
      <c r="LY7" s="3388"/>
      <c r="LZ7" s="3388"/>
      <c r="MA7" s="3388"/>
      <c r="MB7" s="3388"/>
      <c r="MC7" s="3388"/>
      <c r="MD7" s="3388"/>
      <c r="ME7" s="3388"/>
      <c r="MF7" s="3388"/>
      <c r="MG7" s="3388"/>
      <c r="MH7" s="3388"/>
      <c r="MI7" s="3388"/>
      <c r="MJ7" s="3401"/>
      <c r="MK7" s="3401"/>
      <c r="ML7" s="3401"/>
      <c r="MM7" s="3401"/>
      <c r="MN7" s="3401"/>
      <c r="MO7" s="3388"/>
      <c r="MP7" s="3388"/>
      <c r="MQ7" s="3388"/>
      <c r="MR7" s="3388"/>
      <c r="MS7" s="3388"/>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94"/>
      <c r="B8" s="1971" t="s">
        <v>4701</v>
      </c>
      <c r="C8" s="2293" t="s">
        <v>172</v>
      </c>
      <c r="D8" s="2293" t="s">
        <v>545</v>
      </c>
      <c r="E8" s="2293" t="s">
        <v>1476</v>
      </c>
      <c r="F8" s="2293" t="s">
        <v>1476</v>
      </c>
      <c r="G8" s="2293" t="s">
        <v>1478</v>
      </c>
      <c r="H8" s="2293" t="s">
        <v>3663</v>
      </c>
      <c r="I8" s="3397" t="s">
        <v>5063</v>
      </c>
      <c r="J8" s="2293" t="s">
        <v>2406</v>
      </c>
      <c r="K8" s="3400" t="s">
        <v>145</v>
      </c>
      <c r="L8" s="3400"/>
      <c r="M8" s="2293" t="s">
        <v>2367</v>
      </c>
      <c r="N8" s="2293" t="s">
        <v>532</v>
      </c>
      <c r="O8" s="2293" t="s">
        <v>383</v>
      </c>
      <c r="P8" s="3392"/>
      <c r="Q8" s="3400" t="s">
        <v>3573</v>
      </c>
      <c r="R8" s="3400"/>
      <c r="S8" s="2293" t="s">
        <v>2694</v>
      </c>
      <c r="T8" s="2293" t="s">
        <v>2696</v>
      </c>
      <c r="U8" s="418"/>
      <c r="V8" s="419"/>
      <c r="W8" s="3389"/>
      <c r="X8" s="3389"/>
      <c r="Y8" s="3389"/>
      <c r="Z8" s="3389"/>
      <c r="AA8" s="3389"/>
      <c r="AB8" s="3389"/>
      <c r="AC8" s="3389"/>
      <c r="AD8" s="3389"/>
      <c r="AE8" s="3389"/>
      <c r="AF8" s="3389"/>
      <c r="AG8" s="3389"/>
      <c r="AH8" s="3389"/>
      <c r="AI8" s="3389"/>
      <c r="AJ8" s="3389"/>
      <c r="AK8" s="3389"/>
      <c r="AL8" s="3389"/>
      <c r="AM8" s="3389"/>
      <c r="AN8" s="3389"/>
      <c r="AO8" s="3389"/>
      <c r="AP8" s="3389"/>
      <c r="AQ8" s="3389"/>
      <c r="AR8" s="3389"/>
      <c r="AS8" s="3389"/>
      <c r="AT8" s="3389"/>
      <c r="AU8" s="3389"/>
      <c r="AV8" s="3389"/>
      <c r="AW8" s="3389"/>
      <c r="AX8" s="3389"/>
      <c r="AY8" s="3389"/>
      <c r="AZ8" s="3389"/>
      <c r="BA8" s="3389"/>
      <c r="BB8" s="3389"/>
      <c r="BC8" s="3389"/>
      <c r="BD8" s="3389"/>
      <c r="BE8" s="3389"/>
      <c r="BF8" s="3389"/>
      <c r="BG8" s="3389"/>
      <c r="BH8" s="3389"/>
      <c r="BI8" s="3389"/>
      <c r="BJ8" s="3389"/>
      <c r="BK8" s="3389"/>
      <c r="BL8" s="3389"/>
      <c r="BM8" s="3389"/>
      <c r="BN8" s="3389"/>
      <c r="BO8" s="3389"/>
      <c r="BP8" s="3389"/>
      <c r="BQ8" s="3389"/>
      <c r="BR8" s="3389"/>
      <c r="BS8" s="3389"/>
      <c r="BT8" s="3389"/>
      <c r="BU8" s="3389"/>
      <c r="BV8" s="3389"/>
      <c r="BW8" s="3389"/>
      <c r="BX8" s="3389"/>
      <c r="BY8" s="3389"/>
      <c r="BZ8" s="3389"/>
      <c r="CA8" s="3389"/>
      <c r="CB8" s="3389"/>
      <c r="CC8" s="3389"/>
      <c r="CD8" s="3389"/>
      <c r="CE8" s="3389"/>
      <c r="CF8" s="3389"/>
      <c r="CG8" s="3389"/>
      <c r="CH8" s="3389"/>
      <c r="CI8" s="3389"/>
      <c r="CJ8" s="3389"/>
      <c r="CK8" s="3389"/>
      <c r="CL8" s="3389"/>
      <c r="CM8" s="3389"/>
      <c r="CN8" s="3389"/>
      <c r="CO8" s="3389"/>
      <c r="CP8" s="3389"/>
      <c r="CQ8" s="3389"/>
      <c r="CR8" s="3389"/>
      <c r="CS8" s="3389"/>
      <c r="CT8" s="3389"/>
      <c r="CU8" s="3389"/>
      <c r="CV8" s="3389"/>
      <c r="CW8" s="3389"/>
      <c r="CX8" s="3389"/>
      <c r="CY8" s="3389"/>
      <c r="CZ8" s="3389"/>
      <c r="DA8" s="3389"/>
      <c r="DB8" s="3389"/>
      <c r="DC8" s="3389"/>
      <c r="DD8" s="3389"/>
      <c r="DE8" s="3389"/>
      <c r="DF8" s="3389"/>
      <c r="DG8" s="3389"/>
      <c r="DH8" s="3389"/>
      <c r="DI8" s="3389"/>
      <c r="DJ8" s="3389"/>
      <c r="DK8" s="3389"/>
      <c r="DL8" s="3389"/>
      <c r="DM8" s="3389"/>
      <c r="DN8" s="3389"/>
      <c r="DO8" s="3389"/>
      <c r="DP8" s="3389"/>
      <c r="DQ8" s="3389"/>
      <c r="DR8" s="3389"/>
      <c r="DS8" s="3389"/>
      <c r="DT8" s="3389"/>
      <c r="DU8" s="3389"/>
      <c r="DV8" s="3389"/>
      <c r="DW8" s="3389"/>
      <c r="DX8" s="3389"/>
      <c r="DY8" s="3389"/>
      <c r="DZ8" s="3389"/>
      <c r="EA8" s="3389"/>
      <c r="EB8" s="3389"/>
      <c r="EC8" s="3389"/>
      <c r="ED8" s="3389"/>
      <c r="EE8" s="3389"/>
      <c r="EF8" s="3389"/>
      <c r="EG8" s="3389"/>
      <c r="EH8" s="3389"/>
      <c r="EI8" s="3389"/>
      <c r="EJ8" s="3389"/>
      <c r="EK8" s="3389"/>
      <c r="EL8" s="3389"/>
      <c r="EM8" s="3389"/>
      <c r="EN8" s="3389"/>
      <c r="EO8" s="3389"/>
      <c r="EP8" s="3389"/>
      <c r="EQ8" s="3389"/>
      <c r="ER8" s="3388"/>
      <c r="ES8" s="3388"/>
      <c r="ET8" s="3388"/>
      <c r="EU8" s="3388"/>
      <c r="EV8" s="3388"/>
      <c r="EW8" s="3388"/>
      <c r="EX8" s="3388"/>
      <c r="EY8" s="3388"/>
      <c r="EZ8" s="3388"/>
      <c r="FA8" s="3388"/>
      <c r="FB8" s="3389"/>
      <c r="FC8" s="3389"/>
      <c r="FD8" s="3389"/>
      <c r="FE8" s="3389"/>
      <c r="FF8" s="3389"/>
      <c r="FG8" s="3388"/>
      <c r="FH8" s="3388"/>
      <c r="FI8" s="3388"/>
      <c r="FJ8" s="3388"/>
      <c r="FK8" s="3388"/>
      <c r="FL8" s="3389"/>
      <c r="FM8" s="3389"/>
      <c r="FN8" s="3389"/>
      <c r="FO8" s="3389"/>
      <c r="FP8" s="3389"/>
      <c r="FQ8" s="3388"/>
      <c r="FR8" s="3388"/>
      <c r="FS8" s="3388"/>
      <c r="FT8" s="3388"/>
      <c r="FU8" s="3388"/>
      <c r="FV8" s="3388"/>
      <c r="FW8" s="3388"/>
      <c r="FX8" s="3388"/>
      <c r="FY8" s="3388"/>
      <c r="FZ8" s="3388"/>
      <c r="GA8" s="3388"/>
      <c r="GB8" s="3388"/>
      <c r="GC8" s="3388"/>
      <c r="GD8" s="3388"/>
      <c r="GE8" s="3388"/>
      <c r="GF8" s="3388"/>
      <c r="GG8" s="3388"/>
      <c r="GH8" s="3388"/>
      <c r="GI8" s="3388"/>
      <c r="GJ8" s="3388"/>
      <c r="GK8" s="3388"/>
      <c r="GL8" s="3388"/>
      <c r="GM8" s="3388"/>
      <c r="GN8" s="3388"/>
      <c r="GO8" s="3388"/>
      <c r="GP8" s="3388"/>
      <c r="GQ8" s="3388"/>
      <c r="GR8" s="3388"/>
      <c r="GS8" s="3388"/>
      <c r="GT8" s="3388"/>
      <c r="GU8" s="3388"/>
      <c r="GV8" s="3388"/>
      <c r="GW8" s="3388"/>
      <c r="GX8" s="3388"/>
      <c r="GY8" s="3388"/>
      <c r="GZ8" s="3388"/>
      <c r="HA8" s="3388"/>
      <c r="HB8" s="3388"/>
      <c r="HC8" s="3388"/>
      <c r="HD8" s="3388"/>
      <c r="HE8" s="3388"/>
      <c r="HF8" s="3388"/>
      <c r="HG8" s="3388"/>
      <c r="HH8" s="3388"/>
      <c r="HI8" s="3388"/>
      <c r="HJ8" s="3388"/>
      <c r="HK8" s="3388"/>
      <c r="HL8" s="3388"/>
      <c r="HM8" s="3388"/>
      <c r="HN8" s="3388"/>
      <c r="HO8" s="3388"/>
      <c r="HP8" s="3388"/>
      <c r="HQ8" s="3388"/>
      <c r="HR8" s="3388"/>
      <c r="HS8" s="3388"/>
      <c r="HT8" s="3388"/>
      <c r="HU8" s="3388"/>
      <c r="HV8" s="3388"/>
      <c r="HW8" s="3388"/>
      <c r="HX8" s="3388"/>
      <c r="HY8" s="3388" t="s">
        <v>1462</v>
      </c>
      <c r="HZ8" s="453" t="s">
        <v>2440</v>
      </c>
      <c r="IA8" s="453" t="s">
        <v>2441</v>
      </c>
      <c r="IB8" s="453" t="s">
        <v>2442</v>
      </c>
      <c r="IC8" s="453" t="s">
        <v>2443</v>
      </c>
      <c r="ID8" s="3388" t="s">
        <v>2497</v>
      </c>
      <c r="IE8" s="3388" t="s">
        <v>2497</v>
      </c>
      <c r="IF8" s="3388" t="s">
        <v>2497</v>
      </c>
      <c r="IG8" s="3388" t="s">
        <v>2497</v>
      </c>
      <c r="IH8" s="3388" t="s">
        <v>2497</v>
      </c>
      <c r="II8" s="3388" t="s">
        <v>3366</v>
      </c>
      <c r="IJ8" s="3388" t="s">
        <v>3366</v>
      </c>
      <c r="IK8" s="3388" t="s">
        <v>3366</v>
      </c>
      <c r="IL8" s="3388" t="s">
        <v>3366</v>
      </c>
      <c r="IM8" s="3388" t="s">
        <v>3366</v>
      </c>
      <c r="IN8" s="453" t="s">
        <v>568</v>
      </c>
      <c r="IO8" s="453" t="s">
        <v>2440</v>
      </c>
      <c r="IP8" s="453" t="s">
        <v>2441</v>
      </c>
      <c r="IQ8" s="453" t="s">
        <v>2442</v>
      </c>
      <c r="IR8" s="453" t="s">
        <v>2443</v>
      </c>
      <c r="IS8" s="453" t="s">
        <v>568</v>
      </c>
      <c r="IT8" s="453" t="s">
        <v>2440</v>
      </c>
      <c r="IU8" s="453" t="s">
        <v>2441</v>
      </c>
      <c r="IV8" s="453" t="s">
        <v>2442</v>
      </c>
      <c r="IW8" s="453" t="s">
        <v>2443</v>
      </c>
      <c r="IX8" s="3388" t="s">
        <v>2499</v>
      </c>
      <c r="IY8" s="3388" t="s">
        <v>2499</v>
      </c>
      <c r="IZ8" s="3388" t="s">
        <v>2499</v>
      </c>
      <c r="JA8" s="3388" t="s">
        <v>2499</v>
      </c>
      <c r="JB8" s="3388" t="s">
        <v>2499</v>
      </c>
      <c r="JC8" s="3388" t="s">
        <v>3362</v>
      </c>
      <c r="JD8" s="3388" t="s">
        <v>3362</v>
      </c>
      <c r="JE8" s="3388" t="s">
        <v>3362</v>
      </c>
      <c r="JF8" s="3388" t="s">
        <v>3362</v>
      </c>
      <c r="JG8" s="3388" t="s">
        <v>3362</v>
      </c>
      <c r="JH8" s="3388" t="s">
        <v>358</v>
      </c>
      <c r="JI8" s="3388" t="s">
        <v>358</v>
      </c>
      <c r="JJ8" s="3388" t="s">
        <v>358</v>
      </c>
      <c r="JK8" s="3388" t="s">
        <v>358</v>
      </c>
      <c r="JL8" s="3388" t="s">
        <v>358</v>
      </c>
      <c r="JM8" s="3388" t="s">
        <v>3361</v>
      </c>
      <c r="JN8" s="3388" t="s">
        <v>3361</v>
      </c>
      <c r="JO8" s="3388" t="s">
        <v>3361</v>
      </c>
      <c r="JP8" s="3388" t="s">
        <v>3361</v>
      </c>
      <c r="JQ8" s="3388" t="s">
        <v>3361</v>
      </c>
      <c r="JR8" s="3388" t="s">
        <v>359</v>
      </c>
      <c r="JS8" s="3388" t="s">
        <v>359</v>
      </c>
      <c r="JT8" s="3388" t="s">
        <v>359</v>
      </c>
      <c r="JU8" s="3388" t="s">
        <v>359</v>
      </c>
      <c r="JV8" s="3388" t="s">
        <v>359</v>
      </c>
      <c r="JW8" s="3388" t="s">
        <v>3360</v>
      </c>
      <c r="JX8" s="3388" t="s">
        <v>3360</v>
      </c>
      <c r="JY8" s="3388" t="s">
        <v>3360</v>
      </c>
      <c r="JZ8" s="3388" t="s">
        <v>3360</v>
      </c>
      <c r="KA8" s="3388" t="s">
        <v>3360</v>
      </c>
      <c r="KB8" s="3388" t="s">
        <v>360</v>
      </c>
      <c r="KC8" s="3388" t="s">
        <v>360</v>
      </c>
      <c r="KD8" s="3388" t="s">
        <v>360</v>
      </c>
      <c r="KE8" s="3388" t="s">
        <v>360</v>
      </c>
      <c r="KF8" s="3388" t="s">
        <v>360</v>
      </c>
      <c r="KG8" s="3388" t="s">
        <v>3363</v>
      </c>
      <c r="KH8" s="3388" t="s">
        <v>3363</v>
      </c>
      <c r="KI8" s="3388" t="s">
        <v>3363</v>
      </c>
      <c r="KJ8" s="3388" t="s">
        <v>3363</v>
      </c>
      <c r="KK8" s="3388" t="s">
        <v>3363</v>
      </c>
      <c r="KL8" s="3388" t="s">
        <v>361</v>
      </c>
      <c r="KM8" s="3388" t="s">
        <v>361</v>
      </c>
      <c r="KN8" s="3388" t="s">
        <v>361</v>
      </c>
      <c r="KO8" s="3388" t="s">
        <v>361</v>
      </c>
      <c r="KP8" s="3388" t="s">
        <v>361</v>
      </c>
      <c r="KQ8" s="3388" t="s">
        <v>3364</v>
      </c>
      <c r="KR8" s="3388" t="s">
        <v>3364</v>
      </c>
      <c r="KS8" s="3388" t="s">
        <v>3364</v>
      </c>
      <c r="KT8" s="3388" t="s">
        <v>3364</v>
      </c>
      <c r="KU8" s="3388" t="s">
        <v>3364</v>
      </c>
      <c r="KV8" s="3388" t="s">
        <v>1461</v>
      </c>
      <c r="KW8" s="3388" t="s">
        <v>1461</v>
      </c>
      <c r="KX8" s="3388" t="s">
        <v>1461</v>
      </c>
      <c r="KY8" s="3388" t="s">
        <v>1461</v>
      </c>
      <c r="KZ8" s="3388" t="s">
        <v>1461</v>
      </c>
      <c r="LA8" s="3388" t="s">
        <v>3365</v>
      </c>
      <c r="LB8" s="3388" t="s">
        <v>3365</v>
      </c>
      <c r="LC8" s="3388" t="s">
        <v>3365</v>
      </c>
      <c r="LD8" s="3388" t="s">
        <v>3365</v>
      </c>
      <c r="LE8" s="3388" t="s">
        <v>3365</v>
      </c>
      <c r="LF8" s="3388"/>
      <c r="LG8" s="3388"/>
      <c r="LH8" s="3388"/>
      <c r="LI8" s="3388"/>
      <c r="LJ8" s="3388"/>
      <c r="LK8" s="3388"/>
      <c r="LL8" s="3388"/>
      <c r="LM8" s="3388"/>
      <c r="LN8" s="3388"/>
      <c r="LO8" s="3388"/>
      <c r="LP8" s="3388"/>
      <c r="LQ8" s="3388"/>
      <c r="LR8" s="3388"/>
      <c r="LS8" s="3388"/>
      <c r="LT8" s="3388"/>
      <c r="LU8" s="3388"/>
      <c r="LV8" s="3388"/>
      <c r="LW8" s="3388"/>
      <c r="LX8" s="3388"/>
      <c r="LY8" s="3388"/>
      <c r="LZ8" s="3388"/>
      <c r="MA8" s="3388"/>
      <c r="MB8" s="3388"/>
      <c r="MC8" s="3388"/>
      <c r="MD8" s="3388"/>
      <c r="ME8" s="3388"/>
      <c r="MF8" s="3388"/>
      <c r="MG8" s="3388"/>
      <c r="MH8" s="3388"/>
      <c r="MI8" s="3388"/>
      <c r="MJ8" s="3401"/>
      <c r="MK8" s="3401"/>
      <c r="ML8" s="3401"/>
      <c r="MM8" s="3401"/>
      <c r="MN8" s="3401"/>
      <c r="MO8" s="3388"/>
      <c r="MP8" s="3388"/>
      <c r="MQ8" s="3388"/>
      <c r="MR8" s="3388"/>
      <c r="MS8" s="3388"/>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94"/>
      <c r="B9" s="2234" t="s">
        <v>5065</v>
      </c>
      <c r="C9" s="2293" t="s">
        <v>171</v>
      </c>
      <c r="D9" s="2293" t="s">
        <v>173</v>
      </c>
      <c r="E9" s="2293" t="s">
        <v>1477</v>
      </c>
      <c r="F9" s="2293" t="s">
        <v>1279</v>
      </c>
      <c r="G9" s="2293" t="s">
        <v>3664</v>
      </c>
      <c r="H9" s="2293" t="s">
        <v>1478</v>
      </c>
      <c r="I9" s="3398"/>
      <c r="J9" s="449" t="s">
        <v>350</v>
      </c>
      <c r="K9" s="2293" t="s">
        <v>1530</v>
      </c>
      <c r="L9" s="2293" t="s">
        <v>539</v>
      </c>
      <c r="M9" s="2293" t="s">
        <v>1476</v>
      </c>
      <c r="N9" s="2293" t="s">
        <v>3315</v>
      </c>
      <c r="O9" s="2293" t="s">
        <v>384</v>
      </c>
      <c r="P9" s="3393"/>
      <c r="Q9" s="2293" t="s">
        <v>3574</v>
      </c>
      <c r="R9" s="2293" t="s">
        <v>1040</v>
      </c>
      <c r="S9" s="2293" t="s">
        <v>1478</v>
      </c>
      <c r="T9" s="2293" t="s">
        <v>2697</v>
      </c>
      <c r="U9" s="3052" t="s">
        <v>1845</v>
      </c>
      <c r="V9" s="3052"/>
      <c r="W9" s="3389"/>
      <c r="X9" s="3389"/>
      <c r="Y9" s="3389"/>
      <c r="Z9" s="3389"/>
      <c r="AA9" s="3389"/>
      <c r="AB9" s="3389"/>
      <c r="AC9" s="3389"/>
      <c r="AD9" s="3389"/>
      <c r="AE9" s="3389"/>
      <c r="AF9" s="3389"/>
      <c r="AG9" s="3389"/>
      <c r="AH9" s="3389"/>
      <c r="AI9" s="3389"/>
      <c r="AJ9" s="3389"/>
      <c r="AK9" s="3389"/>
      <c r="AL9" s="3389"/>
      <c r="AM9" s="3389"/>
      <c r="AN9" s="3389"/>
      <c r="AO9" s="3389"/>
      <c r="AP9" s="3389"/>
      <c r="AQ9" s="3389"/>
      <c r="AR9" s="3389"/>
      <c r="AS9" s="3389"/>
      <c r="AT9" s="3389"/>
      <c r="AU9" s="3389"/>
      <c r="AV9" s="3389"/>
      <c r="AW9" s="3389"/>
      <c r="AX9" s="3389"/>
      <c r="AY9" s="3389"/>
      <c r="AZ9" s="3389"/>
      <c r="BA9" s="3389"/>
      <c r="BB9" s="3389"/>
      <c r="BC9" s="3389"/>
      <c r="BD9" s="3389"/>
      <c r="BE9" s="3389"/>
      <c r="BF9" s="3389"/>
      <c r="BG9" s="3389"/>
      <c r="BH9" s="3389"/>
      <c r="BI9" s="3389"/>
      <c r="BJ9" s="3389"/>
      <c r="BK9" s="3389"/>
      <c r="BL9" s="3389"/>
      <c r="BM9" s="3389"/>
      <c r="BN9" s="3389"/>
      <c r="BO9" s="3389"/>
      <c r="BP9" s="3389"/>
      <c r="BQ9" s="3389"/>
      <c r="BR9" s="3389"/>
      <c r="BS9" s="3389"/>
      <c r="BT9" s="3389"/>
      <c r="BU9" s="3389"/>
      <c r="BV9" s="3389"/>
      <c r="BW9" s="3389"/>
      <c r="BX9" s="3389"/>
      <c r="BY9" s="3389"/>
      <c r="BZ9" s="3389"/>
      <c r="CA9" s="3389"/>
      <c r="CB9" s="3389"/>
      <c r="CC9" s="3389"/>
      <c r="CD9" s="3389"/>
      <c r="CE9" s="3389"/>
      <c r="CF9" s="3389"/>
      <c r="CG9" s="3389"/>
      <c r="CH9" s="3389"/>
      <c r="CI9" s="3389"/>
      <c r="CJ9" s="3389"/>
      <c r="CK9" s="3389"/>
      <c r="CL9" s="3389"/>
      <c r="CM9" s="3389"/>
      <c r="CN9" s="3389"/>
      <c r="CO9" s="3389"/>
      <c r="CP9" s="3389"/>
      <c r="CQ9" s="3389"/>
      <c r="CR9" s="3389"/>
      <c r="CS9" s="3389"/>
      <c r="CT9" s="3389"/>
      <c r="CU9" s="3389"/>
      <c r="CV9" s="3389"/>
      <c r="CW9" s="3389"/>
      <c r="CX9" s="3389"/>
      <c r="CY9" s="3389"/>
      <c r="CZ9" s="3389"/>
      <c r="DA9" s="3389"/>
      <c r="DB9" s="3389"/>
      <c r="DC9" s="3389"/>
      <c r="DD9" s="3389"/>
      <c r="DE9" s="3389"/>
      <c r="DF9" s="3389"/>
      <c r="DG9" s="3389"/>
      <c r="DH9" s="3389"/>
      <c r="DI9" s="3389"/>
      <c r="DJ9" s="3389"/>
      <c r="DK9" s="3389"/>
      <c r="DL9" s="3389"/>
      <c r="DM9" s="3389"/>
      <c r="DN9" s="3389"/>
      <c r="DO9" s="3389"/>
      <c r="DP9" s="3389"/>
      <c r="DQ9" s="3389"/>
      <c r="DR9" s="3389"/>
      <c r="DS9" s="3389"/>
      <c r="DT9" s="3389"/>
      <c r="DU9" s="3389"/>
      <c r="DV9" s="3389"/>
      <c r="DW9" s="3389"/>
      <c r="DX9" s="3389"/>
      <c r="DY9" s="3389"/>
      <c r="DZ9" s="3389"/>
      <c r="EA9" s="3389"/>
      <c r="EB9" s="3389"/>
      <c r="EC9" s="3389"/>
      <c r="ED9" s="3389"/>
      <c r="EE9" s="3389"/>
      <c r="EF9" s="3389"/>
      <c r="EG9" s="3389"/>
      <c r="EH9" s="3389"/>
      <c r="EI9" s="3389"/>
      <c r="EJ9" s="3389"/>
      <c r="EK9" s="3389"/>
      <c r="EL9" s="3389"/>
      <c r="EM9" s="3389"/>
      <c r="EN9" s="3389"/>
      <c r="EO9" s="3389"/>
      <c r="EP9" s="3389"/>
      <c r="EQ9" s="3389"/>
      <c r="ER9" s="3388"/>
      <c r="ES9" s="3388"/>
      <c r="ET9" s="3388"/>
      <c r="EU9" s="3388"/>
      <c r="EV9" s="3388"/>
      <c r="EW9" s="3388"/>
      <c r="EX9" s="3388"/>
      <c r="EY9" s="3388"/>
      <c r="EZ9" s="3388"/>
      <c r="FA9" s="3388"/>
      <c r="FB9" s="3389"/>
      <c r="FC9" s="3389"/>
      <c r="FD9" s="3389"/>
      <c r="FE9" s="3389"/>
      <c r="FF9" s="3389"/>
      <c r="FG9" s="3388"/>
      <c r="FH9" s="3388"/>
      <c r="FI9" s="3388"/>
      <c r="FJ9" s="3388"/>
      <c r="FK9" s="3388"/>
      <c r="FL9" s="3389"/>
      <c r="FM9" s="3389"/>
      <c r="FN9" s="3389"/>
      <c r="FO9" s="3389"/>
      <c r="FP9" s="3389"/>
      <c r="FQ9" s="3388"/>
      <c r="FR9" s="3388"/>
      <c r="FS9" s="3388"/>
      <c r="FT9" s="3388"/>
      <c r="FU9" s="3388"/>
      <c r="FV9" s="3388"/>
      <c r="FW9" s="3388"/>
      <c r="FX9" s="3388"/>
      <c r="FY9" s="3388"/>
      <c r="FZ9" s="3388"/>
      <c r="GA9" s="3388"/>
      <c r="GB9" s="3388"/>
      <c r="GC9" s="3388"/>
      <c r="GD9" s="3388"/>
      <c r="GE9" s="3388"/>
      <c r="GF9" s="3388"/>
      <c r="GG9" s="3388"/>
      <c r="GH9" s="3388"/>
      <c r="GI9" s="3388"/>
      <c r="GJ9" s="3388"/>
      <c r="GK9" s="3388"/>
      <c r="GL9" s="3388"/>
      <c r="GM9" s="3388"/>
      <c r="GN9" s="3388"/>
      <c r="GO9" s="3388"/>
      <c r="GP9" s="3388"/>
      <c r="GQ9" s="3388"/>
      <c r="GR9" s="3388"/>
      <c r="GS9" s="3388"/>
      <c r="GT9" s="3388"/>
      <c r="GU9" s="3388"/>
      <c r="GV9" s="3388"/>
      <c r="GW9" s="3388"/>
      <c r="GX9" s="3388"/>
      <c r="GY9" s="3388"/>
      <c r="GZ9" s="3388"/>
      <c r="HA9" s="3388"/>
      <c r="HB9" s="3388"/>
      <c r="HC9" s="3388"/>
      <c r="HD9" s="3388"/>
      <c r="HE9" s="3388"/>
      <c r="HF9" s="3388"/>
      <c r="HG9" s="3388"/>
      <c r="HH9" s="3388"/>
      <c r="HI9" s="3388"/>
      <c r="HJ9" s="3388"/>
      <c r="HK9" s="3388"/>
      <c r="HL9" s="3388"/>
      <c r="HM9" s="3388"/>
      <c r="HN9" s="3388"/>
      <c r="HO9" s="3388"/>
      <c r="HP9" s="3388"/>
      <c r="HQ9" s="3388"/>
      <c r="HR9" s="3388"/>
      <c r="HS9" s="3388"/>
      <c r="HT9" s="3388"/>
      <c r="HU9" s="3388"/>
      <c r="HV9" s="3388"/>
      <c r="HW9" s="3388"/>
      <c r="HX9" s="3388"/>
      <c r="HY9" s="3388"/>
      <c r="HZ9" s="453" t="s">
        <v>2496</v>
      </c>
      <c r="IA9" s="453" t="s">
        <v>2496</v>
      </c>
      <c r="IB9" s="453" t="s">
        <v>2496</v>
      </c>
      <c r="IC9" s="453" t="s">
        <v>2496</v>
      </c>
      <c r="ID9" s="3388"/>
      <c r="IE9" s="3388"/>
      <c r="IF9" s="3388"/>
      <c r="IG9" s="3388"/>
      <c r="IH9" s="3388"/>
      <c r="II9" s="3388"/>
      <c r="IJ9" s="3388"/>
      <c r="IK9" s="3388"/>
      <c r="IL9" s="3388"/>
      <c r="IM9" s="3388"/>
      <c r="IN9" s="453" t="s">
        <v>2498</v>
      </c>
      <c r="IO9" s="453" t="s">
        <v>2498</v>
      </c>
      <c r="IP9" s="453" t="s">
        <v>2498</v>
      </c>
      <c r="IQ9" s="453" t="s">
        <v>2498</v>
      </c>
      <c r="IR9" s="453" t="s">
        <v>2498</v>
      </c>
      <c r="IS9" s="453" t="s">
        <v>3367</v>
      </c>
      <c r="IT9" s="453" t="s">
        <v>3367</v>
      </c>
      <c r="IU9" s="453" t="s">
        <v>3367</v>
      </c>
      <c r="IV9" s="453" t="s">
        <v>3367</v>
      </c>
      <c r="IW9" s="453" t="s">
        <v>3367</v>
      </c>
      <c r="IX9" s="3388"/>
      <c r="IY9" s="3388"/>
      <c r="IZ9" s="3388"/>
      <c r="JA9" s="3388"/>
      <c r="JB9" s="3388"/>
      <c r="JC9" s="3388"/>
      <c r="JD9" s="3388"/>
      <c r="JE9" s="3388"/>
      <c r="JF9" s="3388"/>
      <c r="JG9" s="3388"/>
      <c r="JH9" s="3388"/>
      <c r="JI9" s="3388"/>
      <c r="JJ9" s="3388"/>
      <c r="JK9" s="3388"/>
      <c r="JL9" s="3388"/>
      <c r="JM9" s="3388"/>
      <c r="JN9" s="3388"/>
      <c r="JO9" s="3388"/>
      <c r="JP9" s="3388"/>
      <c r="JQ9" s="3388"/>
      <c r="JR9" s="3388"/>
      <c r="JS9" s="3388"/>
      <c r="JT9" s="3388"/>
      <c r="JU9" s="3388"/>
      <c r="JV9" s="3388"/>
      <c r="JW9" s="3388"/>
      <c r="JX9" s="3388"/>
      <c r="JY9" s="3388"/>
      <c r="JZ9" s="3388"/>
      <c r="KA9" s="3388"/>
      <c r="KB9" s="3388"/>
      <c r="KC9" s="3388"/>
      <c r="KD9" s="3388"/>
      <c r="KE9" s="3388"/>
      <c r="KF9" s="3388"/>
      <c r="KG9" s="3388"/>
      <c r="KH9" s="3388"/>
      <c r="KI9" s="3388"/>
      <c r="KJ9" s="3388"/>
      <c r="KK9" s="3388"/>
      <c r="KL9" s="3388"/>
      <c r="KM9" s="3388"/>
      <c r="KN9" s="3388"/>
      <c r="KO9" s="3388"/>
      <c r="KP9" s="3388"/>
      <c r="KQ9" s="3388"/>
      <c r="KR9" s="3388"/>
      <c r="KS9" s="3388"/>
      <c r="KT9" s="3388"/>
      <c r="KU9" s="3388"/>
      <c r="KV9" s="3388"/>
      <c r="KW9" s="3388"/>
      <c r="KX9" s="3388"/>
      <c r="KY9" s="3388"/>
      <c r="KZ9" s="3388"/>
      <c r="LA9" s="3388"/>
      <c r="LB9" s="3388"/>
      <c r="LC9" s="3388"/>
      <c r="LD9" s="3388"/>
      <c r="LE9" s="3388"/>
      <c r="LF9" s="3388"/>
      <c r="LG9" s="3388"/>
      <c r="LH9" s="3388"/>
      <c r="LI9" s="3388"/>
      <c r="LJ9" s="3388"/>
      <c r="LK9" s="3388"/>
      <c r="LL9" s="3388"/>
      <c r="LM9" s="3388"/>
      <c r="LN9" s="3388"/>
      <c r="LO9" s="3388"/>
      <c r="LP9" s="3388"/>
      <c r="LQ9" s="3388"/>
      <c r="LR9" s="3388"/>
      <c r="LS9" s="3388"/>
      <c r="LT9" s="3388"/>
      <c r="LU9" s="3388"/>
      <c r="LV9" s="3388"/>
      <c r="LW9" s="3388"/>
      <c r="LX9" s="3388"/>
      <c r="LY9" s="3388"/>
      <c r="LZ9" s="3388"/>
      <c r="MA9" s="3388"/>
      <c r="MB9" s="3388"/>
      <c r="MC9" s="3388"/>
      <c r="MD9" s="3388"/>
      <c r="ME9" s="3388"/>
      <c r="MF9" s="3388"/>
      <c r="MG9" s="3388"/>
      <c r="MH9" s="3388"/>
      <c r="MI9" s="3388"/>
      <c r="MJ9" s="3401"/>
      <c r="MK9" s="3401"/>
      <c r="ML9" s="3401"/>
      <c r="MM9" s="3401"/>
      <c r="MN9" s="3401"/>
      <c r="MO9" s="3388"/>
      <c r="MP9" s="3388"/>
      <c r="MQ9" s="3388"/>
      <c r="MR9" s="3388"/>
      <c r="MS9" s="3388"/>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7" t="s">
        <v>4611</v>
      </c>
      <c r="C10" s="2588"/>
      <c r="D10" s="2589"/>
      <c r="E10" s="2590"/>
      <c r="F10" s="2590"/>
      <c r="G10" s="2590"/>
      <c r="H10" s="2590"/>
      <c r="I10" s="2591">
        <f>IF(C10="",0,HLOOKUP(C10,'Part V-Utility Allowances'!$I$11:$M$22,12))</f>
        <v>0</v>
      </c>
      <c r="J10" s="2592"/>
      <c r="K10" s="592">
        <f t="shared" ref="K10:K47" si="1">MAX(0,H10-I10)</f>
        <v>0</v>
      </c>
      <c r="L10" s="592">
        <f t="shared" ref="L10:L47" si="2">MAX(0,E10*K10)</f>
        <v>0</v>
      </c>
      <c r="M10" s="2593"/>
      <c r="N10" s="2593"/>
      <c r="O10" s="2593"/>
      <c r="P10" s="2594"/>
      <c r="Q10" s="2595" t="str">
        <f t="shared" ref="Q10:Q47" si="3">IF(H10="","",H10*12/0.3)</f>
        <v/>
      </c>
      <c r="R10" s="2596" t="str">
        <f>IF(H10="","",IF(C10="Efficiency",Q10/($O$6*VLOOKUP(0,'DCA Underwriting Assumptions'!$J$146:$K$151,2,FALSE)),Q10/($O$6*VLOOKUP(C10,'DCA Underwriting Assumptions'!$J$146:$K$151,2,FALSE))))</f>
        <v/>
      </c>
      <c r="S10" s="2597"/>
      <c r="T10" s="2598"/>
      <c r="U10" s="3410"/>
      <c r="V10" s="3411"/>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9" t="s">
        <v>4611</v>
      </c>
      <c r="C11" s="2600"/>
      <c r="D11" s="2601"/>
      <c r="E11" s="2602"/>
      <c r="F11" s="2602"/>
      <c r="G11" s="2602"/>
      <c r="H11" s="2602"/>
      <c r="I11" s="2603">
        <f>IF(C11="",0,HLOOKUP(C11,'Part V-Utility Allowances'!$I$11:$M$22,12))</f>
        <v>0</v>
      </c>
      <c r="J11" s="2604"/>
      <c r="K11" s="593">
        <f t="shared" si="1"/>
        <v>0</v>
      </c>
      <c r="L11" s="593">
        <f t="shared" si="2"/>
        <v>0</v>
      </c>
      <c r="M11" s="2605"/>
      <c r="N11" s="2605"/>
      <c r="O11" s="2605"/>
      <c r="P11" s="2606"/>
      <c r="Q11" s="2607" t="str">
        <f t="shared" si="3"/>
        <v/>
      </c>
      <c r="R11" s="2608" t="str">
        <f>IF(H11="","",IF(C11="Efficiency",Q11/($O$6*VLOOKUP(0,'DCA Underwriting Assumptions'!$J$146:$K$151,2,FALSE)),Q11/($O$6*VLOOKUP(C11,'DCA Underwriting Assumptions'!$J$146:$K$151,2,FALSE))))</f>
        <v/>
      </c>
      <c r="S11" s="2609"/>
      <c r="T11" s="2610"/>
      <c r="U11" s="3402"/>
      <c r="V11" s="3403"/>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599" t="s">
        <v>303</v>
      </c>
      <c r="C12" s="2600"/>
      <c r="D12" s="2601"/>
      <c r="E12" s="2602"/>
      <c r="F12" s="2602"/>
      <c r="G12" s="2602"/>
      <c r="H12" s="2602"/>
      <c r="I12" s="2603">
        <f>IF(C12="",0,HLOOKUP(C12,'Part V-Utility Allowances'!$I$11:$M$22,12))</f>
        <v>0</v>
      </c>
      <c r="J12" s="2604"/>
      <c r="K12" s="593">
        <f t="shared" si="1"/>
        <v>0</v>
      </c>
      <c r="L12" s="593">
        <f t="shared" si="2"/>
        <v>0</v>
      </c>
      <c r="M12" s="2605"/>
      <c r="N12" s="2605"/>
      <c r="O12" s="2605"/>
      <c r="P12" s="2606"/>
      <c r="Q12" s="2607" t="str">
        <f t="shared" si="3"/>
        <v/>
      </c>
      <c r="R12" s="2608" t="str">
        <f>IF(H12="","",IF(C12="Efficiency",Q12/($O$6*VLOOKUP(0,'DCA Underwriting Assumptions'!$J$146:$K$151,2,FALSE)),Q12/($O$6*VLOOKUP(C12,'DCA Underwriting Assumptions'!$J$146:$K$151,2,FALSE))))</f>
        <v/>
      </c>
      <c r="S12" s="2609"/>
      <c r="T12" s="2610"/>
      <c r="U12" s="3402"/>
      <c r="V12" s="3403"/>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599" t="s">
        <v>303</v>
      </c>
      <c r="C13" s="2600"/>
      <c r="D13" s="2601"/>
      <c r="E13" s="2602"/>
      <c r="F13" s="2602"/>
      <c r="G13" s="2602"/>
      <c r="H13" s="2602"/>
      <c r="I13" s="2603">
        <f>IF(C13="",0,HLOOKUP(C13,'Part V-Utility Allowances'!$I$11:$M$22,12))</f>
        <v>0</v>
      </c>
      <c r="J13" s="2604"/>
      <c r="K13" s="593">
        <f t="shared" si="1"/>
        <v>0</v>
      </c>
      <c r="L13" s="593">
        <f t="shared" si="2"/>
        <v>0</v>
      </c>
      <c r="M13" s="2605"/>
      <c r="N13" s="2605"/>
      <c r="O13" s="2605"/>
      <c r="P13" s="2606"/>
      <c r="Q13" s="2607" t="str">
        <f t="shared" si="3"/>
        <v/>
      </c>
      <c r="R13" s="2608" t="str">
        <f>IF(H13="","",IF(C13="Efficiency",Q13/($O$6*VLOOKUP(0,'DCA Underwriting Assumptions'!$J$146:$K$151,2,FALSE)),Q13/($O$6*VLOOKUP(C13,'DCA Underwriting Assumptions'!$J$146:$K$151,2,FALSE))))</f>
        <v/>
      </c>
      <c r="S13" s="2609"/>
      <c r="T13" s="2610"/>
      <c r="U13" s="3402"/>
      <c r="V13" s="3403"/>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599" t="s">
        <v>303</v>
      </c>
      <c r="C14" s="2600"/>
      <c r="D14" s="2601"/>
      <c r="E14" s="2602"/>
      <c r="F14" s="2602"/>
      <c r="G14" s="2602"/>
      <c r="H14" s="2602"/>
      <c r="I14" s="2603">
        <f>IF(C14="",0,HLOOKUP(C14,'Part V-Utility Allowances'!$I$11:$M$22,12))</f>
        <v>0</v>
      </c>
      <c r="J14" s="2604"/>
      <c r="K14" s="593">
        <f t="shared" si="1"/>
        <v>0</v>
      </c>
      <c r="L14" s="593">
        <f t="shared" si="2"/>
        <v>0</v>
      </c>
      <c r="M14" s="2605"/>
      <c r="N14" s="2605"/>
      <c r="O14" s="2605"/>
      <c r="P14" s="2606"/>
      <c r="Q14" s="2607" t="str">
        <f t="shared" si="3"/>
        <v/>
      </c>
      <c r="R14" s="2608" t="str">
        <f>IF(H14="","",IF(C14="Efficiency",Q14/($O$6*VLOOKUP(0,'DCA Underwriting Assumptions'!$J$146:$K$151,2,FALSE)),Q14/($O$6*VLOOKUP(C14,'DCA Underwriting Assumptions'!$J$146:$K$151,2,FALSE))))</f>
        <v/>
      </c>
      <c r="S14" s="2609"/>
      <c r="T14" s="2610"/>
      <c r="U14" s="3402"/>
      <c r="V14" s="3403"/>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9" t="s">
        <v>303</v>
      </c>
      <c r="C15" s="2600"/>
      <c r="D15" s="2601"/>
      <c r="E15" s="2602"/>
      <c r="F15" s="2602"/>
      <c r="G15" s="2602"/>
      <c r="H15" s="2602"/>
      <c r="I15" s="2603">
        <f>IF(C15="",0,HLOOKUP(C15,'Part V-Utility Allowances'!$I$11:$M$22,12))</f>
        <v>0</v>
      </c>
      <c r="J15" s="2604"/>
      <c r="K15" s="593">
        <f t="shared" si="1"/>
        <v>0</v>
      </c>
      <c r="L15" s="593">
        <f t="shared" si="2"/>
        <v>0</v>
      </c>
      <c r="M15" s="2605"/>
      <c r="N15" s="2605"/>
      <c r="O15" s="2605"/>
      <c r="P15" s="2606"/>
      <c r="Q15" s="2607" t="str">
        <f t="shared" si="3"/>
        <v/>
      </c>
      <c r="R15" s="2608" t="str">
        <f>IF(H15="","",IF(C15="Efficiency",Q15/($O$6*VLOOKUP(0,'DCA Underwriting Assumptions'!$J$146:$K$151,2,FALSE)),Q15/($O$6*VLOOKUP(C15,'DCA Underwriting Assumptions'!$J$146:$K$151,2,FALSE))))</f>
        <v/>
      </c>
      <c r="S15" s="2609"/>
      <c r="T15" s="2610"/>
      <c r="U15" s="3402"/>
      <c r="V15" s="3403"/>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1" t="s">
        <v>303</v>
      </c>
      <c r="C16" s="2612"/>
      <c r="D16" s="2613"/>
      <c r="E16" s="2614"/>
      <c r="F16" s="2614"/>
      <c r="G16" s="2614"/>
      <c r="H16" s="2614"/>
      <c r="I16" s="2615">
        <f>IF(C16="",0,HLOOKUP(C16,'Part V-Utility Allowances'!$I$11:$M$22,12))</f>
        <v>0</v>
      </c>
      <c r="J16" s="2616"/>
      <c r="K16" s="1970">
        <f t="shared" si="1"/>
        <v>0</v>
      </c>
      <c r="L16" s="1970">
        <f t="shared" si="2"/>
        <v>0</v>
      </c>
      <c r="M16" s="2617"/>
      <c r="N16" s="2617"/>
      <c r="O16" s="2617"/>
      <c r="P16" s="2618"/>
      <c r="Q16" s="2607" t="str">
        <f t="shared" si="3"/>
        <v/>
      </c>
      <c r="R16" s="2608" t="str">
        <f>IF(H16="","",IF(C16="Efficiency",Q16/($O$6*VLOOKUP(0,'DCA Underwriting Assumptions'!$J$146:$K$151,2,FALSE)),Q16/($O$6*VLOOKUP(C16,'DCA Underwriting Assumptions'!$J$146:$K$151,2,FALSE))))</f>
        <v/>
      </c>
      <c r="S16" s="2609"/>
      <c r="T16" s="2610"/>
      <c r="U16" s="3402"/>
      <c r="V16" s="3403"/>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19">
        <v>50</v>
      </c>
      <c r="C17" s="2620">
        <v>1</v>
      </c>
      <c r="D17" s="2621">
        <v>1</v>
      </c>
      <c r="E17" s="2622">
        <v>2</v>
      </c>
      <c r="F17" s="2622">
        <v>740</v>
      </c>
      <c r="G17" s="2622">
        <v>547</v>
      </c>
      <c r="H17" s="2622">
        <v>488</v>
      </c>
      <c r="I17" s="2623">
        <f>IF(C17="",0,HLOOKUP(C17,'Part V-Utility Allowances'!$I$11:$M$22,12))</f>
        <v>96</v>
      </c>
      <c r="J17" s="2624"/>
      <c r="K17" s="1969">
        <f t="shared" si="1"/>
        <v>392</v>
      </c>
      <c r="L17" s="1969">
        <f t="shared" si="2"/>
        <v>784</v>
      </c>
      <c r="M17" s="2625" t="s">
        <v>2993</v>
      </c>
      <c r="N17" s="2625" t="s">
        <v>2604</v>
      </c>
      <c r="O17" s="2625" t="s">
        <v>2295</v>
      </c>
      <c r="P17" s="2626" t="s">
        <v>2993</v>
      </c>
      <c r="Q17" s="2607">
        <f t="shared" si="3"/>
        <v>19520</v>
      </c>
      <c r="R17" s="2608">
        <f>IF(H17="","",IF(C17="Efficiency",Q17/($O$6*VLOOKUP(0,'DCA Underwriting Assumptions'!$J$146:$K$151,2,FALSE)),Q17/($O$6*VLOOKUP(C17,'DCA Underwriting Assumptions'!$J$146:$K$151,2,FALSE))))</f>
        <v>0.48557213930348259</v>
      </c>
      <c r="S17" s="2609"/>
      <c r="T17" s="2610"/>
      <c r="U17" s="3402"/>
      <c r="V17" s="3403"/>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1480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2</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f t="shared" si="249"/>
        <v>2</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7">
        <v>50</v>
      </c>
      <c r="C18" s="2600">
        <v>2</v>
      </c>
      <c r="D18" s="2601">
        <v>2</v>
      </c>
      <c r="E18" s="2602">
        <v>14</v>
      </c>
      <c r="F18" s="2602">
        <v>950</v>
      </c>
      <c r="G18" s="2602">
        <v>657</v>
      </c>
      <c r="H18" s="2602">
        <v>588</v>
      </c>
      <c r="I18" s="2603">
        <f>IF(C18="",0,HLOOKUP(C18,'Part V-Utility Allowances'!$I$11:$M$22,12))</f>
        <v>122</v>
      </c>
      <c r="J18" s="2604"/>
      <c r="K18" s="593">
        <f t="shared" si="1"/>
        <v>466</v>
      </c>
      <c r="L18" s="593">
        <f t="shared" si="2"/>
        <v>6524</v>
      </c>
      <c r="M18" s="2605" t="s">
        <v>2993</v>
      </c>
      <c r="N18" s="2605" t="s">
        <v>2604</v>
      </c>
      <c r="O18" s="2605" t="s">
        <v>2295</v>
      </c>
      <c r="P18" s="2606" t="s">
        <v>2993</v>
      </c>
      <c r="Q18" s="2607">
        <f t="shared" si="3"/>
        <v>23520</v>
      </c>
      <c r="R18" s="2608">
        <f>IF(H18="","",IF(C18="Efficiency",Q18/($O$6*VLOOKUP(0,'DCA Underwriting Assumptions'!$J$146:$K$151,2,FALSE)),Q18/($O$6*VLOOKUP(C18,'DCA Underwriting Assumptions'!$J$146:$K$151,2,FALSE))))</f>
        <v>0.48756218905472637</v>
      </c>
      <c r="S18" s="2609"/>
      <c r="T18" s="2610"/>
      <c r="U18" s="3402"/>
      <c r="V18" s="3403"/>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14</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13300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14</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14</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f t="shared" si="250"/>
        <v>14</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14</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7">
        <v>60</v>
      </c>
      <c r="C19" s="2600">
        <v>1</v>
      </c>
      <c r="D19" s="2601">
        <v>1</v>
      </c>
      <c r="E19" s="2602">
        <v>6</v>
      </c>
      <c r="F19" s="2602">
        <v>740</v>
      </c>
      <c r="G19" s="2602">
        <v>657</v>
      </c>
      <c r="H19" s="2602">
        <v>588</v>
      </c>
      <c r="I19" s="2603">
        <f>IF(C19="",0,HLOOKUP(C19,'Part V-Utility Allowances'!$I$11:$M$22,12))</f>
        <v>96</v>
      </c>
      <c r="J19" s="2604"/>
      <c r="K19" s="593">
        <f t="shared" si="1"/>
        <v>492</v>
      </c>
      <c r="L19" s="593">
        <f t="shared" si="2"/>
        <v>2952</v>
      </c>
      <c r="M19" s="2605" t="s">
        <v>2993</v>
      </c>
      <c r="N19" s="2605" t="s">
        <v>2604</v>
      </c>
      <c r="O19" s="2605" t="s">
        <v>2295</v>
      </c>
      <c r="P19" s="2606" t="s">
        <v>2993</v>
      </c>
      <c r="Q19" s="2607">
        <f t="shared" si="3"/>
        <v>23520</v>
      </c>
      <c r="R19" s="2608">
        <f>IF(H19="","",IF(C19="Efficiency",Q19/($O$6*VLOOKUP(0,'DCA Underwriting Assumptions'!$J$146:$K$151,2,FALSE)),Q19/($O$6*VLOOKUP(C19,'DCA Underwriting Assumptions'!$J$146:$K$151,2,FALSE))))</f>
        <v>0.58507462686567169</v>
      </c>
      <c r="S19" s="2609"/>
      <c r="T19" s="2610"/>
      <c r="U19" s="3402"/>
      <c r="V19" s="3403"/>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f t="shared" si="15"/>
        <v>6</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f t="shared" si="129"/>
        <v>4440</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6</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f t="shared" si="204"/>
        <v>6</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f t="shared" si="249"/>
        <v>6</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6</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7">
        <v>60</v>
      </c>
      <c r="C20" s="2600">
        <v>2</v>
      </c>
      <c r="D20" s="2601">
        <v>2</v>
      </c>
      <c r="E20" s="2602">
        <v>26</v>
      </c>
      <c r="F20" s="2602">
        <v>950</v>
      </c>
      <c r="G20" s="2602">
        <v>789</v>
      </c>
      <c r="H20" s="2602">
        <v>704</v>
      </c>
      <c r="I20" s="2603">
        <f>IF(C20="",0,HLOOKUP(C20,'Part V-Utility Allowances'!$I$11:$M$22,12))</f>
        <v>122</v>
      </c>
      <c r="J20" s="2604"/>
      <c r="K20" s="593">
        <f t="shared" si="1"/>
        <v>582</v>
      </c>
      <c r="L20" s="593">
        <f t="shared" si="2"/>
        <v>15132</v>
      </c>
      <c r="M20" s="2605" t="s">
        <v>2993</v>
      </c>
      <c r="N20" s="2605" t="s">
        <v>2604</v>
      </c>
      <c r="O20" s="2605" t="s">
        <v>2295</v>
      </c>
      <c r="P20" s="2606" t="s">
        <v>2993</v>
      </c>
      <c r="Q20" s="2607">
        <f t="shared" si="3"/>
        <v>28160</v>
      </c>
      <c r="R20" s="2608">
        <f>IF(H20="","",IF(C20="Efficiency",Q20/($O$6*VLOOKUP(0,'DCA Underwriting Assumptions'!$J$146:$K$151,2,FALSE)),Q20/($O$6*VLOOKUP(C20,'DCA Underwriting Assumptions'!$J$146:$K$151,2,FALSE))))</f>
        <v>0.58374792703150913</v>
      </c>
      <c r="S20" s="2609"/>
      <c r="T20" s="2610"/>
      <c r="U20" s="3402"/>
      <c r="V20" s="3403"/>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26</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24700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26</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26</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f t="shared" si="250"/>
        <v>26</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26</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7">
        <v>60</v>
      </c>
      <c r="C21" s="2600"/>
      <c r="D21" s="2601"/>
      <c r="E21" s="2602"/>
      <c r="F21" s="2602"/>
      <c r="G21" s="2602"/>
      <c r="H21" s="2602"/>
      <c r="I21" s="2603">
        <f>IF(C21="",0,HLOOKUP(C21,'Part V-Utility Allowances'!$I$11:$M$22,12))</f>
        <v>0</v>
      </c>
      <c r="J21" s="2604"/>
      <c r="K21" s="593">
        <f t="shared" si="1"/>
        <v>0</v>
      </c>
      <c r="L21" s="593">
        <f t="shared" si="2"/>
        <v>0</v>
      </c>
      <c r="M21" s="2605"/>
      <c r="N21" s="2605"/>
      <c r="O21" s="2605"/>
      <c r="P21" s="2606"/>
      <c r="Q21" s="2607" t="str">
        <f t="shared" si="3"/>
        <v/>
      </c>
      <c r="R21" s="2608" t="str">
        <f>IF(H21="","",IF(C21="Efficiency",Q21/($O$6*VLOOKUP(0,'DCA Underwriting Assumptions'!$J$146:$K$151,2,FALSE)),Q21/($O$6*VLOOKUP(C21,'DCA Underwriting Assumptions'!$J$146:$K$151,2,FALSE))))</f>
        <v/>
      </c>
      <c r="S21" s="2609"/>
      <c r="T21" s="2610"/>
      <c r="U21" s="3402"/>
      <c r="V21" s="3403"/>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7">
        <v>60</v>
      </c>
      <c r="C22" s="2600"/>
      <c r="D22" s="2601"/>
      <c r="E22" s="2602"/>
      <c r="F22" s="2602"/>
      <c r="G22" s="2602"/>
      <c r="H22" s="2602"/>
      <c r="I22" s="2603">
        <f>IF(C22="",0,HLOOKUP(C22,'Part V-Utility Allowances'!$I$11:$M$22,12))</f>
        <v>0</v>
      </c>
      <c r="J22" s="2604"/>
      <c r="K22" s="593">
        <f t="shared" si="1"/>
        <v>0</v>
      </c>
      <c r="L22" s="593">
        <f t="shared" si="2"/>
        <v>0</v>
      </c>
      <c r="M22" s="2605"/>
      <c r="N22" s="2605"/>
      <c r="O22" s="2605"/>
      <c r="P22" s="2606"/>
      <c r="Q22" s="2607" t="str">
        <f t="shared" si="3"/>
        <v/>
      </c>
      <c r="R22" s="2608" t="str">
        <f>IF(H22="","",IF(C22="Efficiency",Q22/($O$6*VLOOKUP(0,'DCA Underwriting Assumptions'!$J$146:$K$151,2,FALSE)),Q22/($O$6*VLOOKUP(C22,'DCA Underwriting Assumptions'!$J$146:$K$151,2,FALSE))))</f>
        <v/>
      </c>
      <c r="S22" s="2609"/>
      <c r="T22" s="2610"/>
      <c r="U22" s="3402"/>
      <c r="V22" s="3403"/>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7">
        <v>80</v>
      </c>
      <c r="C23" s="2600"/>
      <c r="D23" s="2601"/>
      <c r="E23" s="2602"/>
      <c r="F23" s="2602"/>
      <c r="G23" s="2602"/>
      <c r="H23" s="2602"/>
      <c r="I23" s="2603">
        <f>IF(C23="",0,HLOOKUP(C23,'Part V-Utility Allowances'!$I$11:$M$22,12))</f>
        <v>0</v>
      </c>
      <c r="J23" s="2604"/>
      <c r="K23" s="593">
        <f t="shared" si="1"/>
        <v>0</v>
      </c>
      <c r="L23" s="593">
        <f t="shared" si="2"/>
        <v>0</v>
      </c>
      <c r="M23" s="2605"/>
      <c r="N23" s="2605"/>
      <c r="O23" s="2605"/>
      <c r="P23" s="2606"/>
      <c r="Q23" s="2607" t="str">
        <f t="shared" si="3"/>
        <v/>
      </c>
      <c r="R23" s="2608" t="str">
        <f>IF(H23="","",IF(C23="Efficiency",Q23/($O$6*VLOOKUP(0,'DCA Underwriting Assumptions'!$J$146:$K$151,2,FALSE)),Q23/($O$6*VLOOKUP(C23,'DCA Underwriting Assumptions'!$J$146:$K$151,2,FALSE))))</f>
        <v/>
      </c>
      <c r="S23" s="2609"/>
      <c r="T23" s="2610"/>
      <c r="U23" s="3402"/>
      <c r="V23" s="3403"/>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7">
        <v>80</v>
      </c>
      <c r="C24" s="2600"/>
      <c r="D24" s="2601"/>
      <c r="E24" s="2602"/>
      <c r="F24" s="2602"/>
      <c r="G24" s="2602"/>
      <c r="H24" s="2602"/>
      <c r="I24" s="2603">
        <f>IF(C24="",0,HLOOKUP(C24,'Part V-Utility Allowances'!$I$11:$M$22,12))</f>
        <v>0</v>
      </c>
      <c r="J24" s="2604"/>
      <c r="K24" s="593">
        <f t="shared" si="1"/>
        <v>0</v>
      </c>
      <c r="L24" s="593">
        <f t="shared" si="2"/>
        <v>0</v>
      </c>
      <c r="M24" s="2605"/>
      <c r="N24" s="2605"/>
      <c r="O24" s="2605"/>
      <c r="P24" s="2606"/>
      <c r="Q24" s="2607" t="str">
        <f t="shared" si="3"/>
        <v/>
      </c>
      <c r="R24" s="2608" t="str">
        <f>IF(H24="","",IF(C24="Efficiency",Q24/($O$6*VLOOKUP(0,'DCA Underwriting Assumptions'!$J$146:$K$151,2,FALSE)),Q24/($O$6*VLOOKUP(C24,'DCA Underwriting Assumptions'!$J$146:$K$151,2,FALSE))))</f>
        <v/>
      </c>
      <c r="S24" s="2609"/>
      <c r="T24" s="2610"/>
      <c r="U24" s="3402"/>
      <c r="V24" s="3403"/>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7"/>
      <c r="C25" s="2600"/>
      <c r="D25" s="2601"/>
      <c r="E25" s="2602"/>
      <c r="F25" s="2602"/>
      <c r="G25" s="2602"/>
      <c r="H25" s="2602"/>
      <c r="I25" s="2603">
        <f>IF(C25="",0,HLOOKUP(C25,'Part V-Utility Allowances'!$I$11:$M$22,12))</f>
        <v>0</v>
      </c>
      <c r="J25" s="2604"/>
      <c r="K25" s="593">
        <f t="shared" si="1"/>
        <v>0</v>
      </c>
      <c r="L25" s="593">
        <f t="shared" si="2"/>
        <v>0</v>
      </c>
      <c r="M25" s="2605"/>
      <c r="N25" s="2605"/>
      <c r="O25" s="2605"/>
      <c r="P25" s="2606"/>
      <c r="Q25" s="2607" t="str">
        <f t="shared" si="3"/>
        <v/>
      </c>
      <c r="R25" s="2608" t="str">
        <f>IF(H25="","",IF(C25="Efficiency",Q25/($O$6*VLOOKUP(0,'DCA Underwriting Assumptions'!$J$146:$K$151,2,FALSE)),Q25/($O$6*VLOOKUP(C25,'DCA Underwriting Assumptions'!$J$146:$K$151,2,FALSE))))</f>
        <v/>
      </c>
      <c r="S25" s="2609"/>
      <c r="T25" s="2610"/>
      <c r="U25" s="3402"/>
      <c r="V25" s="3403"/>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7"/>
      <c r="C26" s="2600"/>
      <c r="D26" s="2601"/>
      <c r="E26" s="2602"/>
      <c r="F26" s="2602"/>
      <c r="G26" s="2602"/>
      <c r="H26" s="2602"/>
      <c r="I26" s="2603">
        <f>IF(C26="",0,HLOOKUP(C26,'Part V-Utility Allowances'!$I$11:$M$22,12))</f>
        <v>0</v>
      </c>
      <c r="J26" s="2604"/>
      <c r="K26" s="593">
        <f t="shared" si="1"/>
        <v>0</v>
      </c>
      <c r="L26" s="593">
        <f t="shared" si="2"/>
        <v>0</v>
      </c>
      <c r="M26" s="2605"/>
      <c r="N26" s="2605"/>
      <c r="O26" s="2605"/>
      <c r="P26" s="2606"/>
      <c r="Q26" s="2607" t="str">
        <f t="shared" si="3"/>
        <v/>
      </c>
      <c r="R26" s="2608" t="str">
        <f>IF(H26="","",IF(C26="Efficiency",Q26/($O$6*VLOOKUP(0,'DCA Underwriting Assumptions'!$J$146:$K$151,2,FALSE)),Q26/($O$6*VLOOKUP(C26,'DCA Underwriting Assumptions'!$J$146:$K$151,2,FALSE))))</f>
        <v/>
      </c>
      <c r="S26" s="2609"/>
      <c r="T26" s="2610"/>
      <c r="U26" s="3402"/>
      <c r="V26" s="3403"/>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7"/>
      <c r="C27" s="2600"/>
      <c r="D27" s="2601"/>
      <c r="E27" s="2602"/>
      <c r="F27" s="2602"/>
      <c r="G27" s="2602"/>
      <c r="H27" s="2602"/>
      <c r="I27" s="2603">
        <f>IF(C27="",0,HLOOKUP(C27,'Part V-Utility Allowances'!$I$11:$M$22,12))</f>
        <v>0</v>
      </c>
      <c r="J27" s="2604"/>
      <c r="K27" s="593">
        <f t="shared" si="1"/>
        <v>0</v>
      </c>
      <c r="L27" s="593">
        <f t="shared" si="2"/>
        <v>0</v>
      </c>
      <c r="M27" s="2605"/>
      <c r="N27" s="2605"/>
      <c r="O27" s="2605"/>
      <c r="P27" s="2606"/>
      <c r="Q27" s="2607" t="str">
        <f t="shared" si="3"/>
        <v/>
      </c>
      <c r="R27" s="2608" t="str">
        <f>IF(H27="","",IF(C27="Efficiency",Q27/($O$6*VLOOKUP(0,'DCA Underwriting Assumptions'!$J$146:$K$151,2,FALSE)),Q27/($O$6*VLOOKUP(C27,'DCA Underwriting Assumptions'!$J$146:$K$151,2,FALSE))))</f>
        <v/>
      </c>
      <c r="S27" s="2609"/>
      <c r="T27" s="2610"/>
      <c r="U27" s="3402"/>
      <c r="V27" s="3403"/>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7"/>
      <c r="C28" s="2600"/>
      <c r="D28" s="2601"/>
      <c r="E28" s="2602"/>
      <c r="F28" s="2602"/>
      <c r="G28" s="2602"/>
      <c r="H28" s="2602"/>
      <c r="I28" s="2603">
        <f>IF(C28="",0,HLOOKUP(C28,'Part V-Utility Allowances'!$I$11:$M$22,12))</f>
        <v>0</v>
      </c>
      <c r="J28" s="2604"/>
      <c r="K28" s="593">
        <f t="shared" si="1"/>
        <v>0</v>
      </c>
      <c r="L28" s="593">
        <f t="shared" si="2"/>
        <v>0</v>
      </c>
      <c r="M28" s="2605"/>
      <c r="N28" s="2605"/>
      <c r="O28" s="2605"/>
      <c r="P28" s="2606"/>
      <c r="Q28" s="2607" t="str">
        <f t="shared" si="3"/>
        <v/>
      </c>
      <c r="R28" s="2608" t="str">
        <f>IF(H28="","",IF(C28="Efficiency",Q28/($O$6*VLOOKUP(0,'DCA Underwriting Assumptions'!$J$146:$K$151,2,FALSE)),Q28/($O$6*VLOOKUP(C28,'DCA Underwriting Assumptions'!$J$146:$K$151,2,FALSE))))</f>
        <v/>
      </c>
      <c r="S28" s="2609"/>
      <c r="T28" s="2610"/>
      <c r="U28" s="3402"/>
      <c r="V28" s="3403"/>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7"/>
      <c r="C29" s="2600"/>
      <c r="D29" s="2601"/>
      <c r="E29" s="2602"/>
      <c r="F29" s="2602"/>
      <c r="G29" s="2602"/>
      <c r="H29" s="2602"/>
      <c r="I29" s="2603">
        <f>IF(C29="",0,HLOOKUP(C29,'Part V-Utility Allowances'!$I$11:$M$22,12))</f>
        <v>0</v>
      </c>
      <c r="J29" s="2604"/>
      <c r="K29" s="593">
        <f t="shared" si="1"/>
        <v>0</v>
      </c>
      <c r="L29" s="593">
        <f t="shared" si="2"/>
        <v>0</v>
      </c>
      <c r="M29" s="2605"/>
      <c r="N29" s="2605"/>
      <c r="O29" s="2605"/>
      <c r="P29" s="2606"/>
      <c r="Q29" s="2607" t="str">
        <f t="shared" si="3"/>
        <v/>
      </c>
      <c r="R29" s="2608" t="str">
        <f>IF(H29="","",IF(C29="Efficiency",Q29/($O$6*VLOOKUP(0,'DCA Underwriting Assumptions'!$J$146:$K$151,2,FALSE)),Q29/($O$6*VLOOKUP(C29,'DCA Underwriting Assumptions'!$J$146:$K$151,2,FALSE))))</f>
        <v/>
      </c>
      <c r="S29" s="2609"/>
      <c r="T29" s="2610"/>
      <c r="U29" s="3402"/>
      <c r="V29" s="3403"/>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7"/>
      <c r="C30" s="2600"/>
      <c r="D30" s="2601"/>
      <c r="E30" s="2602"/>
      <c r="F30" s="2602"/>
      <c r="G30" s="2602"/>
      <c r="H30" s="2602"/>
      <c r="I30" s="2603">
        <f>IF(C30="",0,HLOOKUP(C30,'Part V-Utility Allowances'!$I$11:$M$22,12))</f>
        <v>0</v>
      </c>
      <c r="J30" s="2604"/>
      <c r="K30" s="593">
        <f t="shared" si="1"/>
        <v>0</v>
      </c>
      <c r="L30" s="593">
        <f t="shared" si="2"/>
        <v>0</v>
      </c>
      <c r="M30" s="2605"/>
      <c r="N30" s="2605"/>
      <c r="O30" s="2605"/>
      <c r="P30" s="2606"/>
      <c r="Q30" s="2607" t="str">
        <f t="shared" si="3"/>
        <v/>
      </c>
      <c r="R30" s="2608" t="str">
        <f>IF(H30="","",IF(C30="Efficiency",Q30/($O$6*VLOOKUP(0,'DCA Underwriting Assumptions'!$J$146:$K$151,2,FALSE)),Q30/($O$6*VLOOKUP(C30,'DCA Underwriting Assumptions'!$J$146:$K$151,2,FALSE))))</f>
        <v/>
      </c>
      <c r="S30" s="2609"/>
      <c r="T30" s="2610"/>
      <c r="U30" s="3402"/>
      <c r="V30" s="3403"/>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7"/>
      <c r="C31" s="2600"/>
      <c r="D31" s="2601"/>
      <c r="E31" s="2602"/>
      <c r="F31" s="2602"/>
      <c r="G31" s="2602"/>
      <c r="H31" s="2602"/>
      <c r="I31" s="2603">
        <f>IF(C31="",0,HLOOKUP(C31,'Part V-Utility Allowances'!$I$11:$M$22,12))</f>
        <v>0</v>
      </c>
      <c r="J31" s="2604"/>
      <c r="K31" s="593">
        <f t="shared" si="1"/>
        <v>0</v>
      </c>
      <c r="L31" s="593">
        <f t="shared" si="2"/>
        <v>0</v>
      </c>
      <c r="M31" s="2605"/>
      <c r="N31" s="2605"/>
      <c r="O31" s="2605"/>
      <c r="P31" s="2606"/>
      <c r="Q31" s="2607" t="str">
        <f t="shared" si="3"/>
        <v/>
      </c>
      <c r="R31" s="2608" t="str">
        <f>IF(H31="","",IF(C31="Efficiency",Q31/($O$6*VLOOKUP(0,'DCA Underwriting Assumptions'!$J$146:$K$151,2,FALSE)),Q31/($O$6*VLOOKUP(C31,'DCA Underwriting Assumptions'!$J$146:$K$151,2,FALSE))))</f>
        <v/>
      </c>
      <c r="S31" s="2609"/>
      <c r="T31" s="2610"/>
      <c r="U31" s="3402"/>
      <c r="V31" s="3403"/>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7"/>
      <c r="C32" s="2600"/>
      <c r="D32" s="2601"/>
      <c r="E32" s="2602"/>
      <c r="F32" s="2602"/>
      <c r="G32" s="2602"/>
      <c r="H32" s="2602"/>
      <c r="I32" s="2603">
        <f>IF(C32="",0,HLOOKUP(C32,'Part V-Utility Allowances'!$I$11:$M$22,12))</f>
        <v>0</v>
      </c>
      <c r="J32" s="2604"/>
      <c r="K32" s="593">
        <f t="shared" si="1"/>
        <v>0</v>
      </c>
      <c r="L32" s="593">
        <f t="shared" si="2"/>
        <v>0</v>
      </c>
      <c r="M32" s="2605"/>
      <c r="N32" s="2605"/>
      <c r="O32" s="2605"/>
      <c r="P32" s="2606"/>
      <c r="Q32" s="2607" t="str">
        <f t="shared" si="3"/>
        <v/>
      </c>
      <c r="R32" s="2608" t="str">
        <f>IF(H32="","",IF(C32="Efficiency",Q32/($O$6*VLOOKUP(0,'DCA Underwriting Assumptions'!$J$146:$K$151,2,FALSE)),Q32/($O$6*VLOOKUP(C32,'DCA Underwriting Assumptions'!$J$146:$K$151,2,FALSE))))</f>
        <v/>
      </c>
      <c r="S32" s="2609"/>
      <c r="T32" s="2610"/>
      <c r="U32" s="3402"/>
      <c r="V32" s="3403"/>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7"/>
      <c r="C33" s="2600"/>
      <c r="D33" s="2601"/>
      <c r="E33" s="2602"/>
      <c r="F33" s="2602"/>
      <c r="G33" s="2602"/>
      <c r="H33" s="2602"/>
      <c r="I33" s="2603">
        <f>IF(C33="",0,HLOOKUP(C33,'Part V-Utility Allowances'!$I$11:$M$22,12))</f>
        <v>0</v>
      </c>
      <c r="J33" s="2604"/>
      <c r="K33" s="593">
        <f t="shared" si="1"/>
        <v>0</v>
      </c>
      <c r="L33" s="593">
        <f t="shared" si="2"/>
        <v>0</v>
      </c>
      <c r="M33" s="2605"/>
      <c r="N33" s="2605"/>
      <c r="O33" s="2605"/>
      <c r="P33" s="2606"/>
      <c r="Q33" s="2607" t="str">
        <f t="shared" si="3"/>
        <v/>
      </c>
      <c r="R33" s="2608" t="str">
        <f>IF(H33="","",IF(C33="Efficiency",Q33/($O$6*VLOOKUP(0,'DCA Underwriting Assumptions'!$J$146:$K$151,2,FALSE)),Q33/($O$6*VLOOKUP(C33,'DCA Underwriting Assumptions'!$J$146:$K$151,2,FALSE))))</f>
        <v/>
      </c>
      <c r="S33" s="2609"/>
      <c r="T33" s="2610"/>
      <c r="U33" s="3402"/>
      <c r="V33" s="3403"/>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7"/>
      <c r="C34" s="2600"/>
      <c r="D34" s="2601"/>
      <c r="E34" s="2602"/>
      <c r="F34" s="2602"/>
      <c r="G34" s="2602"/>
      <c r="H34" s="2602"/>
      <c r="I34" s="2603">
        <f>IF(C34="",0,HLOOKUP(C34,'Part V-Utility Allowances'!$I$11:$M$22,12))</f>
        <v>0</v>
      </c>
      <c r="J34" s="2604"/>
      <c r="K34" s="593">
        <f t="shared" si="1"/>
        <v>0</v>
      </c>
      <c r="L34" s="593">
        <f t="shared" si="2"/>
        <v>0</v>
      </c>
      <c r="M34" s="2605"/>
      <c r="N34" s="2605"/>
      <c r="O34" s="2605"/>
      <c r="P34" s="2606"/>
      <c r="Q34" s="2607" t="str">
        <f t="shared" si="3"/>
        <v/>
      </c>
      <c r="R34" s="2608" t="str">
        <f>IF(H34="","",IF(C34="Efficiency",Q34/($O$6*VLOOKUP(0,'DCA Underwriting Assumptions'!$J$146:$K$151,2,FALSE)),Q34/($O$6*VLOOKUP(C34,'DCA Underwriting Assumptions'!$J$146:$K$151,2,FALSE))))</f>
        <v/>
      </c>
      <c r="S34" s="2609"/>
      <c r="T34" s="2610"/>
      <c r="U34" s="3402"/>
      <c r="V34" s="3403"/>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7"/>
      <c r="C35" s="2600"/>
      <c r="D35" s="2601"/>
      <c r="E35" s="2602"/>
      <c r="F35" s="2602"/>
      <c r="G35" s="2602"/>
      <c r="H35" s="2602"/>
      <c r="I35" s="2603">
        <f>IF(C35="",0,HLOOKUP(C35,'Part V-Utility Allowances'!$I$11:$M$22,12))</f>
        <v>0</v>
      </c>
      <c r="J35" s="2604"/>
      <c r="K35" s="593">
        <f t="shared" si="1"/>
        <v>0</v>
      </c>
      <c r="L35" s="593">
        <f t="shared" si="2"/>
        <v>0</v>
      </c>
      <c r="M35" s="2605"/>
      <c r="N35" s="2605"/>
      <c r="O35" s="2605"/>
      <c r="P35" s="2606"/>
      <c r="Q35" s="2607" t="str">
        <f t="shared" si="3"/>
        <v/>
      </c>
      <c r="R35" s="2608" t="str">
        <f>IF(H35="","",IF(C35="Efficiency",Q35/($O$6*VLOOKUP(0,'DCA Underwriting Assumptions'!$J$146:$K$151,2,FALSE)),Q35/($O$6*VLOOKUP(C35,'DCA Underwriting Assumptions'!$J$146:$K$151,2,FALSE))))</f>
        <v/>
      </c>
      <c r="S35" s="2609"/>
      <c r="T35" s="2610"/>
      <c r="U35" s="3402"/>
      <c r="V35" s="3403"/>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7"/>
      <c r="C36" s="2600"/>
      <c r="D36" s="2601"/>
      <c r="E36" s="2602"/>
      <c r="F36" s="2602"/>
      <c r="G36" s="2602"/>
      <c r="H36" s="2602"/>
      <c r="I36" s="2603">
        <f>IF(C36="",0,HLOOKUP(C36,'Part V-Utility Allowances'!$I$11:$M$22,12))</f>
        <v>0</v>
      </c>
      <c r="J36" s="2604"/>
      <c r="K36" s="593">
        <f t="shared" si="1"/>
        <v>0</v>
      </c>
      <c r="L36" s="593">
        <f t="shared" si="2"/>
        <v>0</v>
      </c>
      <c r="M36" s="2605"/>
      <c r="N36" s="2605"/>
      <c r="O36" s="2605"/>
      <c r="P36" s="2606"/>
      <c r="Q36" s="2607" t="str">
        <f t="shared" si="3"/>
        <v/>
      </c>
      <c r="R36" s="2608" t="str">
        <f>IF(H36="","",IF(C36="Efficiency",Q36/($O$6*VLOOKUP(0,'DCA Underwriting Assumptions'!$J$146:$K$151,2,FALSE)),Q36/($O$6*VLOOKUP(C36,'DCA Underwriting Assumptions'!$J$146:$K$151,2,FALSE))))</f>
        <v/>
      </c>
      <c r="S36" s="2609"/>
      <c r="T36" s="2610"/>
      <c r="U36" s="3402"/>
      <c r="V36" s="3403"/>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7"/>
      <c r="C37" s="2600"/>
      <c r="D37" s="2601"/>
      <c r="E37" s="2602"/>
      <c r="F37" s="2602"/>
      <c r="G37" s="2602"/>
      <c r="H37" s="2602"/>
      <c r="I37" s="2603">
        <f>IF(C37="",0,HLOOKUP(C37,'Part V-Utility Allowances'!$I$11:$M$22,12))</f>
        <v>0</v>
      </c>
      <c r="J37" s="2604"/>
      <c r="K37" s="593">
        <f t="shared" si="1"/>
        <v>0</v>
      </c>
      <c r="L37" s="593">
        <f t="shared" si="2"/>
        <v>0</v>
      </c>
      <c r="M37" s="2605"/>
      <c r="N37" s="2605"/>
      <c r="O37" s="2605"/>
      <c r="P37" s="2606"/>
      <c r="Q37" s="2607" t="str">
        <f t="shared" si="3"/>
        <v/>
      </c>
      <c r="R37" s="2608" t="str">
        <f>IF(H37="","",IF(C37="Efficiency",Q37/($O$6*VLOOKUP(0,'DCA Underwriting Assumptions'!$J$146:$K$151,2,FALSE)),Q37/($O$6*VLOOKUP(C37,'DCA Underwriting Assumptions'!$J$146:$K$151,2,FALSE))))</f>
        <v/>
      </c>
      <c r="S37" s="2609"/>
      <c r="T37" s="2610"/>
      <c r="U37" s="3402"/>
      <c r="V37" s="3403"/>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7"/>
      <c r="C38" s="2600"/>
      <c r="D38" s="2601"/>
      <c r="E38" s="2602"/>
      <c r="F38" s="2602"/>
      <c r="G38" s="2602"/>
      <c r="H38" s="2602"/>
      <c r="I38" s="2603">
        <f>IF(C38="",0,HLOOKUP(C38,'Part V-Utility Allowances'!$I$11:$M$22,12))</f>
        <v>0</v>
      </c>
      <c r="J38" s="2604"/>
      <c r="K38" s="593">
        <f t="shared" si="1"/>
        <v>0</v>
      </c>
      <c r="L38" s="593">
        <f t="shared" si="2"/>
        <v>0</v>
      </c>
      <c r="M38" s="2605"/>
      <c r="N38" s="2605"/>
      <c r="O38" s="2605"/>
      <c r="P38" s="2606"/>
      <c r="Q38" s="2607" t="str">
        <f t="shared" si="3"/>
        <v/>
      </c>
      <c r="R38" s="2608" t="str">
        <f>IF(H38="","",IF(C38="Efficiency",Q38/($O$6*VLOOKUP(0,'DCA Underwriting Assumptions'!$J$146:$K$151,2,FALSE)),Q38/($O$6*VLOOKUP(C38,'DCA Underwriting Assumptions'!$J$146:$K$151,2,FALSE))))</f>
        <v/>
      </c>
      <c r="S38" s="2609"/>
      <c r="T38" s="2610"/>
      <c r="U38" s="3402"/>
      <c r="V38" s="3403"/>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7"/>
      <c r="C39" s="2600"/>
      <c r="D39" s="2601"/>
      <c r="E39" s="2602"/>
      <c r="F39" s="2602"/>
      <c r="G39" s="2602"/>
      <c r="H39" s="2602"/>
      <c r="I39" s="2603">
        <f>IF(C39="",0,HLOOKUP(C39,'Part V-Utility Allowances'!$I$11:$M$22,12))</f>
        <v>0</v>
      </c>
      <c r="J39" s="2604"/>
      <c r="K39" s="593">
        <f t="shared" si="1"/>
        <v>0</v>
      </c>
      <c r="L39" s="593">
        <f t="shared" si="2"/>
        <v>0</v>
      </c>
      <c r="M39" s="2605"/>
      <c r="N39" s="2605"/>
      <c r="O39" s="2605"/>
      <c r="P39" s="2606"/>
      <c r="Q39" s="2607" t="str">
        <f t="shared" si="3"/>
        <v/>
      </c>
      <c r="R39" s="2608" t="str">
        <f>IF(H39="","",IF(C39="Efficiency",Q39/($O$6*VLOOKUP(0,'DCA Underwriting Assumptions'!$J$146:$K$151,2,FALSE)),Q39/($O$6*VLOOKUP(C39,'DCA Underwriting Assumptions'!$J$146:$K$151,2,FALSE))))</f>
        <v/>
      </c>
      <c r="S39" s="2609"/>
      <c r="T39" s="2610"/>
      <c r="U39" s="3402"/>
      <c r="V39" s="3403"/>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7"/>
      <c r="C40" s="2600"/>
      <c r="D40" s="2601"/>
      <c r="E40" s="2602"/>
      <c r="F40" s="2602"/>
      <c r="G40" s="2602"/>
      <c r="H40" s="2602"/>
      <c r="I40" s="2603">
        <f>IF(C40="",0,HLOOKUP(C40,'Part V-Utility Allowances'!$I$11:$M$22,12))</f>
        <v>0</v>
      </c>
      <c r="J40" s="2604"/>
      <c r="K40" s="593">
        <f t="shared" si="1"/>
        <v>0</v>
      </c>
      <c r="L40" s="593">
        <f t="shared" si="2"/>
        <v>0</v>
      </c>
      <c r="M40" s="2605"/>
      <c r="N40" s="2605"/>
      <c r="O40" s="2605"/>
      <c r="P40" s="2606"/>
      <c r="Q40" s="2607" t="str">
        <f t="shared" si="3"/>
        <v/>
      </c>
      <c r="R40" s="2608" t="str">
        <f>IF(H40="","",IF(C40="Efficiency",Q40/($O$6*VLOOKUP(0,'DCA Underwriting Assumptions'!$J$146:$K$151,2,FALSE)),Q40/($O$6*VLOOKUP(C40,'DCA Underwriting Assumptions'!$J$146:$K$151,2,FALSE))))</f>
        <v/>
      </c>
      <c r="S40" s="2609"/>
      <c r="T40" s="2610"/>
      <c r="U40" s="3402"/>
      <c r="V40" s="3403"/>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7"/>
      <c r="C41" s="2600"/>
      <c r="D41" s="2601"/>
      <c r="E41" s="2602"/>
      <c r="F41" s="2602"/>
      <c r="G41" s="2602"/>
      <c r="H41" s="2602"/>
      <c r="I41" s="2603">
        <f>IF(C41="",0,HLOOKUP(C41,'Part V-Utility Allowances'!$I$11:$M$22,12))</f>
        <v>0</v>
      </c>
      <c r="J41" s="2604"/>
      <c r="K41" s="593">
        <f t="shared" si="1"/>
        <v>0</v>
      </c>
      <c r="L41" s="593">
        <f t="shared" si="2"/>
        <v>0</v>
      </c>
      <c r="M41" s="2605"/>
      <c r="N41" s="2605"/>
      <c r="O41" s="2605"/>
      <c r="P41" s="2606"/>
      <c r="Q41" s="2607" t="str">
        <f t="shared" si="3"/>
        <v/>
      </c>
      <c r="R41" s="2608" t="str">
        <f>IF(H41="","",IF(C41="Efficiency",Q41/($O$6*VLOOKUP(0,'DCA Underwriting Assumptions'!$J$146:$K$151,2,FALSE)),Q41/($O$6*VLOOKUP(C41,'DCA Underwriting Assumptions'!$J$146:$K$151,2,FALSE))))</f>
        <v/>
      </c>
      <c r="S41" s="2609"/>
      <c r="T41" s="2610"/>
      <c r="U41" s="3402"/>
      <c r="V41" s="3403"/>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7"/>
      <c r="C42" s="2600"/>
      <c r="D42" s="2601"/>
      <c r="E42" s="2602"/>
      <c r="F42" s="2602"/>
      <c r="G42" s="2602"/>
      <c r="H42" s="2602"/>
      <c r="I42" s="2603">
        <f>IF(C42="",0,HLOOKUP(C42,'Part V-Utility Allowances'!$I$11:$M$22,12))</f>
        <v>0</v>
      </c>
      <c r="J42" s="2604"/>
      <c r="K42" s="593">
        <f t="shared" si="1"/>
        <v>0</v>
      </c>
      <c r="L42" s="593">
        <f t="shared" si="2"/>
        <v>0</v>
      </c>
      <c r="M42" s="2605"/>
      <c r="N42" s="2605"/>
      <c r="O42" s="2605"/>
      <c r="P42" s="2606"/>
      <c r="Q42" s="2607" t="str">
        <f t="shared" si="3"/>
        <v/>
      </c>
      <c r="R42" s="2608" t="str">
        <f>IF(H42="","",IF(C42="Efficiency",Q42/($O$6*VLOOKUP(0,'DCA Underwriting Assumptions'!$J$146:$K$151,2,FALSE)),Q42/($O$6*VLOOKUP(C42,'DCA Underwriting Assumptions'!$J$146:$K$151,2,FALSE))))</f>
        <v/>
      </c>
      <c r="S42" s="2609"/>
      <c r="T42" s="2610"/>
      <c r="U42" s="3402"/>
      <c r="V42" s="3403"/>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7"/>
      <c r="C43" s="2600"/>
      <c r="D43" s="2601"/>
      <c r="E43" s="2602"/>
      <c r="F43" s="2602"/>
      <c r="G43" s="2602"/>
      <c r="H43" s="2602"/>
      <c r="I43" s="2603">
        <f>IF(C43="",0,HLOOKUP(C43,'Part V-Utility Allowances'!$I$11:$M$22,12))</f>
        <v>0</v>
      </c>
      <c r="J43" s="2604"/>
      <c r="K43" s="593">
        <f t="shared" si="1"/>
        <v>0</v>
      </c>
      <c r="L43" s="593">
        <f t="shared" si="2"/>
        <v>0</v>
      </c>
      <c r="M43" s="2605"/>
      <c r="N43" s="2605"/>
      <c r="O43" s="2605"/>
      <c r="P43" s="2606"/>
      <c r="Q43" s="2607" t="str">
        <f t="shared" si="3"/>
        <v/>
      </c>
      <c r="R43" s="2608" t="str">
        <f>IF(H43="","",IF(C43="Efficiency",Q43/($O$6*VLOOKUP(0,'DCA Underwriting Assumptions'!$J$146:$K$151,2,FALSE)),Q43/($O$6*VLOOKUP(C43,'DCA Underwriting Assumptions'!$J$146:$K$151,2,FALSE))))</f>
        <v/>
      </c>
      <c r="S43" s="2609"/>
      <c r="T43" s="2610"/>
      <c r="U43" s="3402"/>
      <c r="V43" s="3403"/>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7"/>
      <c r="C44" s="2600"/>
      <c r="D44" s="2601"/>
      <c r="E44" s="2602"/>
      <c r="F44" s="2602"/>
      <c r="G44" s="2602"/>
      <c r="H44" s="2602"/>
      <c r="I44" s="2603">
        <f>IF(C44="",0,HLOOKUP(C44,'Part V-Utility Allowances'!$I$11:$M$22,12))</f>
        <v>0</v>
      </c>
      <c r="J44" s="2604"/>
      <c r="K44" s="593">
        <f t="shared" si="1"/>
        <v>0</v>
      </c>
      <c r="L44" s="593">
        <f t="shared" si="2"/>
        <v>0</v>
      </c>
      <c r="M44" s="2605"/>
      <c r="N44" s="2605"/>
      <c r="O44" s="2605"/>
      <c r="P44" s="2606"/>
      <c r="Q44" s="2607" t="str">
        <f t="shared" si="3"/>
        <v/>
      </c>
      <c r="R44" s="2608" t="str">
        <f>IF(H44="","",IF(C44="Efficiency",Q44/($O$6*VLOOKUP(0,'DCA Underwriting Assumptions'!$J$146:$K$151,2,FALSE)),Q44/($O$6*VLOOKUP(C44,'DCA Underwriting Assumptions'!$J$146:$K$151,2,FALSE))))</f>
        <v/>
      </c>
      <c r="S44" s="2609"/>
      <c r="T44" s="2610"/>
      <c r="U44" s="3402"/>
      <c r="V44" s="3403"/>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7"/>
      <c r="C45" s="2600"/>
      <c r="D45" s="2601"/>
      <c r="E45" s="2602"/>
      <c r="F45" s="2602"/>
      <c r="G45" s="2602"/>
      <c r="H45" s="2602"/>
      <c r="I45" s="2603">
        <f>IF(C45="",0,HLOOKUP(C45,'Part V-Utility Allowances'!$I$11:$M$22,12))</f>
        <v>0</v>
      </c>
      <c r="J45" s="2604"/>
      <c r="K45" s="593">
        <f t="shared" si="1"/>
        <v>0</v>
      </c>
      <c r="L45" s="593">
        <f t="shared" si="2"/>
        <v>0</v>
      </c>
      <c r="M45" s="2605"/>
      <c r="N45" s="2605"/>
      <c r="O45" s="2605"/>
      <c r="P45" s="2606"/>
      <c r="Q45" s="2607" t="str">
        <f t="shared" si="3"/>
        <v/>
      </c>
      <c r="R45" s="2608" t="str">
        <f>IF(H45="","",IF(C45="Efficiency",Q45/($O$6*VLOOKUP(0,'DCA Underwriting Assumptions'!$J$146:$K$151,2,FALSE)),Q45/($O$6*VLOOKUP(C45,'DCA Underwriting Assumptions'!$J$146:$K$151,2,FALSE))))</f>
        <v/>
      </c>
      <c r="S45" s="2609"/>
      <c r="T45" s="2610"/>
      <c r="U45" s="3402"/>
      <c r="V45" s="3403"/>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7"/>
      <c r="C46" s="2600"/>
      <c r="D46" s="2601"/>
      <c r="E46" s="2602"/>
      <c r="F46" s="2602"/>
      <c r="G46" s="2602"/>
      <c r="H46" s="2602"/>
      <c r="I46" s="2603">
        <f>IF(C46="",0,HLOOKUP(C46,'Part V-Utility Allowances'!$I$11:$M$22,12))</f>
        <v>0</v>
      </c>
      <c r="J46" s="2604"/>
      <c r="K46" s="593">
        <f t="shared" si="1"/>
        <v>0</v>
      </c>
      <c r="L46" s="593">
        <f t="shared" si="2"/>
        <v>0</v>
      </c>
      <c r="M46" s="2605"/>
      <c r="N46" s="2605"/>
      <c r="O46" s="2605"/>
      <c r="P46" s="2606"/>
      <c r="Q46" s="2607" t="str">
        <f t="shared" si="3"/>
        <v/>
      </c>
      <c r="R46" s="2608" t="str">
        <f>IF(H46="","",IF(C46="Efficiency",Q46/($O$6*VLOOKUP(0,'DCA Underwriting Assumptions'!$J$146:$K$151,2,FALSE)),Q46/($O$6*VLOOKUP(C46,'DCA Underwriting Assumptions'!$J$146:$K$151,2,FALSE))))</f>
        <v/>
      </c>
      <c r="S46" s="2609"/>
      <c r="T46" s="2610"/>
      <c r="U46" s="3402"/>
      <c r="V46" s="3403"/>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8"/>
      <c r="C47" s="2629"/>
      <c r="D47" s="2630"/>
      <c r="E47" s="2631"/>
      <c r="F47" s="2631"/>
      <c r="G47" s="2631"/>
      <c r="H47" s="2631"/>
      <c r="I47" s="2632">
        <f>IF(C47="",0,HLOOKUP(C47,'Part V-Utility Allowances'!$I$11:$M$22,12))</f>
        <v>0</v>
      </c>
      <c r="J47" s="2633"/>
      <c r="K47" s="594">
        <f t="shared" si="1"/>
        <v>0</v>
      </c>
      <c r="L47" s="594">
        <f t="shared" si="2"/>
        <v>0</v>
      </c>
      <c r="M47" s="2634"/>
      <c r="N47" s="2634"/>
      <c r="O47" s="2634"/>
      <c r="P47" s="2635"/>
      <c r="Q47" s="2636" t="str">
        <f t="shared" si="3"/>
        <v/>
      </c>
      <c r="R47" s="2637" t="str">
        <f>IF(H47="","",IF(C47="Efficiency",Q47/($O$6*VLOOKUP(0,'DCA Underwriting Assumptions'!$J$146:$K$151,2,FALSE)),Q47/($O$6*VLOOKUP(C47,'DCA Underwriting Assumptions'!$J$146:$K$151,2,FALSE))))</f>
        <v/>
      </c>
      <c r="S47" s="2638"/>
      <c r="T47" s="2639"/>
      <c r="U47" s="3444"/>
      <c r="V47" s="3446"/>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06" t="s">
        <v>4705</v>
      </c>
      <c r="C48" s="3407"/>
      <c r="D48" s="138" t="s">
        <v>1018</v>
      </c>
      <c r="E48" s="1975">
        <f>SUM(E10:E47)</f>
        <v>48</v>
      </c>
      <c r="F48" s="1973">
        <f>(E10*F10+E11*F11+E12*F12+E13*F13+E14*F14+E15*F15+E16*F16+E17*F17+E18*F18+E19*F19+E20*F20+E21*F21+E22*F22+E23*F23+E24*F24+E25*F25+E26*F26+E27*F27+E28*F28+E29*F29+E30*F30+E31*F31+E32*F32+E33*F33+E34*F34+E35*F35+E36*F36+E37*F37+E38*F38+E39*F39+E40*F40+E41*F41+E42*F42+E43*F43+E44*F44+E45*F45+E46*F46+E47*F47)</f>
        <v>43920</v>
      </c>
      <c r="G48" s="3460" t="s">
        <v>4702</v>
      </c>
      <c r="H48" s="2640" t="s">
        <v>4703</v>
      </c>
      <c r="I48" s="1976" t="str">
        <f>IF(O67=0,"",IF(SUM(O56:O62)/O67&gt;=0.4,"Pass","Fail"))</f>
        <v>Pass</v>
      </c>
      <c r="J48" s="571"/>
      <c r="K48" s="913" t="s">
        <v>1302</v>
      </c>
      <c r="L48" s="123">
        <f>SUM(L10:L47)</f>
        <v>25392</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6</v>
      </c>
      <c r="AI48" s="2254">
        <f t="shared" si="340"/>
        <v>26</v>
      </c>
      <c r="AJ48" s="2254">
        <f t="shared" si="340"/>
        <v>0</v>
      </c>
      <c r="AK48" s="2254">
        <f t="shared" si="340"/>
        <v>0</v>
      </c>
      <c r="AL48" s="2254">
        <f>SUM(AL10:AL47)</f>
        <v>0</v>
      </c>
      <c r="AM48" s="2254">
        <f>SUM(AM10:AM47)</f>
        <v>2</v>
      </c>
      <c r="AN48" s="2254">
        <f>SUM(AN10:AN47)</f>
        <v>14</v>
      </c>
      <c r="AO48" s="2254">
        <f>SUM(AO10:AO47)</f>
        <v>0</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4440</v>
      </c>
      <c r="ET48" s="2254">
        <f t="shared" si="343"/>
        <v>24700</v>
      </c>
      <c r="EU48" s="2254">
        <f t="shared" si="343"/>
        <v>0</v>
      </c>
      <c r="EV48" s="2254">
        <f t="shared" si="343"/>
        <v>0</v>
      </c>
      <c r="EW48" s="2254">
        <f t="shared" si="339"/>
        <v>0</v>
      </c>
      <c r="EX48" s="2254">
        <f t="shared" si="339"/>
        <v>1480</v>
      </c>
      <c r="EY48" s="2254">
        <f t="shared" si="339"/>
        <v>13300</v>
      </c>
      <c r="EZ48" s="2254">
        <f t="shared" si="339"/>
        <v>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8</v>
      </c>
      <c r="GH48" s="2254">
        <f t="shared" si="344"/>
        <v>40</v>
      </c>
      <c r="GI48" s="2254">
        <f t="shared" si="344"/>
        <v>0</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8</v>
      </c>
      <c r="IA48" s="2254">
        <f t="shared" si="345"/>
        <v>40</v>
      </c>
      <c r="IB48" s="2254">
        <f t="shared" si="345"/>
        <v>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8</v>
      </c>
      <c r="JT48" s="2254">
        <f t="shared" si="345"/>
        <v>40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0</v>
      </c>
      <c r="KN48" s="2254">
        <f t="shared" si="346"/>
        <v>0</v>
      </c>
      <c r="KO48" s="2254">
        <f t="shared" si="346"/>
        <v>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8</v>
      </c>
      <c r="ML48" s="2254">
        <f t="shared" si="346"/>
        <v>40</v>
      </c>
      <c r="MM48" s="2254">
        <f t="shared" si="346"/>
        <v>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08">
        <f>IF(SUM(E17:E47)=0,"",(B17*E17+B18*E18+B19*E19+B20*E20+B21*E21+B22*E22+B23*E23+B24*E24+B25*E25+B26*E26+B27*E27+B28*E28+B29*E29+B30*E30+B31*E31+B32*E32+B33*E33+B34*E34+B35*E35+B36*E36+B37*E37+B38*E38+B39*E39+B40*E40+B41*E41+B42*E42+B43*E43+B44*E44+B45*E45+B46*E46+B47*E47)/SUM(E17:E47))</f>
        <v>56.666666666666664</v>
      </c>
      <c r="C49" s="3409"/>
      <c r="D49" s="2292" t="s">
        <v>4612</v>
      </c>
      <c r="E49" s="1972">
        <f>SUM(E17:E47)</f>
        <v>48</v>
      </c>
      <c r="F49" s="1974">
        <f>(E17*F17+E18*F18+E19*F19+E20*F20+E21*F21+E22*F22+E23*F23+E24*F24+E25*F25+E26*F26+E27*F27+E28*F28+E29*F29+E30*F30+E31*F31+E32*F32+E33*F33+E34*F34+E35*F35+E36*F36+E37*F37+E38*F38+E39*F39+E40*F40+E41*F41+E42*F42+E43*F43+E44*F44+E45*F45+E46*F46+E47*F47)</f>
        <v>43920</v>
      </c>
      <c r="G49" s="3461"/>
      <c r="H49" s="2641" t="s">
        <v>4704</v>
      </c>
      <c r="I49" s="1977" t="str">
        <f>IF(O67=0,"",IF(SUM(O56:O62)/O67&gt;=0.2,"Pass","Fail"))</f>
        <v>Pass</v>
      </c>
      <c r="J49" s="571"/>
      <c r="K49" s="138" t="s">
        <v>814</v>
      </c>
      <c r="L49" s="123">
        <f>L48*12</f>
        <v>304704</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04" t="s">
        <v>2621</v>
      </c>
      <c r="B51" s="3405"/>
      <c r="C51" s="3405"/>
      <c r="D51" s="3405"/>
      <c r="E51" s="3405"/>
      <c r="F51" s="3405"/>
      <c r="G51" s="3405"/>
      <c r="H51" s="3405"/>
      <c r="I51" s="3405"/>
      <c r="J51" s="3405"/>
      <c r="K51" s="3405"/>
      <c r="L51" s="3405"/>
      <c r="M51" s="3405"/>
      <c r="N51" s="3405"/>
      <c r="O51" s="3405"/>
      <c r="P51" s="3405"/>
      <c r="Q51" s="2642"/>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05"/>
      <c r="B52" s="3405"/>
      <c r="C52" s="3405"/>
      <c r="D52" s="3405"/>
      <c r="E52" s="3405"/>
      <c r="F52" s="3405"/>
      <c r="G52" s="3405"/>
      <c r="H52" s="3405"/>
      <c r="I52" s="3405"/>
      <c r="J52" s="3405"/>
      <c r="K52" s="3405"/>
      <c r="L52" s="3405"/>
      <c r="M52" s="3405"/>
      <c r="N52" s="3405"/>
      <c r="O52" s="3405"/>
      <c r="P52" s="3405"/>
      <c r="Q52" s="2642"/>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7" customHeight="1" thickBot="1">
      <c r="A53" s="12" t="s">
        <v>740</v>
      </c>
      <c r="B53" s="12" t="s">
        <v>534</v>
      </c>
      <c r="K53" s="3382" t="str">
        <f>'Part I-Project Information'!$K$94</f>
        <v>40% of Units at 60% of AMI</v>
      </c>
      <c r="L53" s="3383"/>
      <c r="M53" s="3383"/>
      <c r="N53" s="3384"/>
      <c r="O53" s="82"/>
      <c r="R53" s="3386" t="str">
        <f>B53</f>
        <v>UNIT SUMMARY</v>
      </c>
      <c r="S53" s="3386"/>
      <c r="T53" s="3386"/>
      <c r="U53" s="3386"/>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387" t="s">
        <v>442</v>
      </c>
      <c r="B56" s="3387"/>
      <c r="C56" s="94" t="s">
        <v>1137</v>
      </c>
      <c r="D56" s="1"/>
      <c r="E56" s="1"/>
      <c r="F56" s="1"/>
      <c r="G56" s="82"/>
      <c r="H56" s="35" t="s">
        <v>4613</v>
      </c>
      <c r="I56" s="82"/>
      <c r="J56" s="1989">
        <f>W48</f>
        <v>0</v>
      </c>
      <c r="K56" s="1990">
        <f>X48</f>
        <v>0</v>
      </c>
      <c r="L56" s="1990">
        <f>Y48</f>
        <v>0</v>
      </c>
      <c r="M56" s="1990">
        <f>Z48</f>
        <v>0</v>
      </c>
      <c r="N56" s="1991">
        <f>AA48</f>
        <v>0</v>
      </c>
      <c r="O56" s="961">
        <f t="shared" ref="O56:O67" si="347">SUM(J56:N56)</f>
        <v>0</v>
      </c>
      <c r="P56" s="3463" t="s">
        <v>3667</v>
      </c>
      <c r="Q56" s="2310"/>
      <c r="R56" s="3410"/>
      <c r="S56" s="3447"/>
      <c r="T56" s="3447"/>
      <c r="U56" s="3447"/>
      <c r="V56" s="3411"/>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387"/>
      <c r="B57" s="3387"/>
      <c r="C57" s="94"/>
      <c r="D57" s="1"/>
      <c r="E57" s="1"/>
      <c r="F57" s="1"/>
      <c r="G57" s="82"/>
      <c r="H57" s="35" t="s">
        <v>4614</v>
      </c>
      <c r="I57" s="82"/>
      <c r="J57" s="1992">
        <f>AB48</f>
        <v>0</v>
      </c>
      <c r="K57" s="1993">
        <f>AC48</f>
        <v>0</v>
      </c>
      <c r="L57" s="1993">
        <f>AD48</f>
        <v>0</v>
      </c>
      <c r="M57" s="1993">
        <f>AE48</f>
        <v>0</v>
      </c>
      <c r="N57" s="1994">
        <f>AF48</f>
        <v>0</v>
      </c>
      <c r="O57" s="956">
        <f t="shared" si="347"/>
        <v>0</v>
      </c>
      <c r="P57" s="3463"/>
      <c r="Q57" s="2310"/>
      <c r="R57" s="3402"/>
      <c r="S57" s="3443"/>
      <c r="T57" s="3443"/>
      <c r="U57" s="3443"/>
      <c r="V57" s="3403"/>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387"/>
      <c r="B58" s="3387"/>
      <c r="C58" s="94"/>
      <c r="D58" s="1"/>
      <c r="E58" s="1"/>
      <c r="F58" s="1"/>
      <c r="G58" s="82"/>
      <c r="H58" s="35" t="s">
        <v>1149</v>
      </c>
      <c r="I58" s="82"/>
      <c r="J58" s="1992">
        <f>AG48</f>
        <v>0</v>
      </c>
      <c r="K58" s="1993">
        <f>AH48</f>
        <v>6</v>
      </c>
      <c r="L58" s="1993">
        <f>AI48</f>
        <v>26</v>
      </c>
      <c r="M58" s="1993">
        <f>AJ48</f>
        <v>0</v>
      </c>
      <c r="N58" s="1994">
        <f>AK48</f>
        <v>0</v>
      </c>
      <c r="O58" s="956">
        <f t="shared" si="347"/>
        <v>32</v>
      </c>
      <c r="P58" s="3463"/>
      <c r="Q58" s="2310"/>
      <c r="R58" s="3402"/>
      <c r="S58" s="3443"/>
      <c r="T58" s="3443"/>
      <c r="U58" s="3443"/>
      <c r="V58" s="3403"/>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387"/>
      <c r="B59" s="3387"/>
      <c r="C59" s="94"/>
      <c r="D59" s="1"/>
      <c r="E59" s="1"/>
      <c r="F59" s="1"/>
      <c r="G59" s="82"/>
      <c r="H59" s="51" t="s">
        <v>118</v>
      </c>
      <c r="I59" s="1155"/>
      <c r="J59" s="2022">
        <f>AL48</f>
        <v>0</v>
      </c>
      <c r="K59" s="2023">
        <f>AM48</f>
        <v>2</v>
      </c>
      <c r="L59" s="2023">
        <f>AN48</f>
        <v>14</v>
      </c>
      <c r="M59" s="2023">
        <f>AO48</f>
        <v>0</v>
      </c>
      <c r="N59" s="2024">
        <f>AP48</f>
        <v>0</v>
      </c>
      <c r="O59" s="598">
        <f t="shared" si="347"/>
        <v>16</v>
      </c>
      <c r="P59" s="3463"/>
      <c r="Q59" s="2310"/>
      <c r="R59" s="3402"/>
      <c r="S59" s="3443"/>
      <c r="T59" s="3443"/>
      <c r="U59" s="3443"/>
      <c r="V59" s="3403"/>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387"/>
      <c r="B60" s="3387"/>
      <c r="C60" s="94"/>
      <c r="D60" s="1"/>
      <c r="E60" s="1"/>
      <c r="F60" s="1"/>
      <c r="G60" s="82"/>
      <c r="H60" s="51" t="s">
        <v>4615</v>
      </c>
      <c r="I60" s="1155"/>
      <c r="J60" s="1992">
        <f>AQ48</f>
        <v>0</v>
      </c>
      <c r="K60" s="1993">
        <f>AR48</f>
        <v>0</v>
      </c>
      <c r="L60" s="1993">
        <f>AS48</f>
        <v>0</v>
      </c>
      <c r="M60" s="1993">
        <f>AT48</f>
        <v>0</v>
      </c>
      <c r="N60" s="1994">
        <f>AU48</f>
        <v>0</v>
      </c>
      <c r="O60" s="956">
        <f t="shared" si="347"/>
        <v>0</v>
      </c>
      <c r="P60" s="3463"/>
      <c r="Q60" s="2310"/>
      <c r="R60" s="3402"/>
      <c r="S60" s="3443"/>
      <c r="T60" s="3443"/>
      <c r="U60" s="3443"/>
      <c r="V60" s="3403"/>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387"/>
      <c r="B61" s="3387"/>
      <c r="C61" s="94"/>
      <c r="D61" s="1"/>
      <c r="E61" s="1"/>
      <c r="F61" s="1"/>
      <c r="G61" s="82"/>
      <c r="H61" s="35" t="s">
        <v>4616</v>
      </c>
      <c r="I61" s="82"/>
      <c r="J61" s="1992">
        <f>AV48</f>
        <v>0</v>
      </c>
      <c r="K61" s="1993">
        <f>AW48</f>
        <v>0</v>
      </c>
      <c r="L61" s="1993">
        <f>AX48</f>
        <v>0</v>
      </c>
      <c r="M61" s="1993">
        <f>AY48</f>
        <v>0</v>
      </c>
      <c r="N61" s="1994">
        <f>AZ48</f>
        <v>0</v>
      </c>
      <c r="O61" s="956">
        <f t="shared" si="347"/>
        <v>0</v>
      </c>
      <c r="P61" s="3463"/>
      <c r="Q61" s="2310"/>
      <c r="R61" s="3402"/>
      <c r="S61" s="3443"/>
      <c r="T61" s="3443"/>
      <c r="U61" s="3443"/>
      <c r="V61" s="3403"/>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387"/>
      <c r="B62" s="3387"/>
      <c r="C62" s="3"/>
      <c r="D62" s="1"/>
      <c r="E62" s="1"/>
      <c r="F62" s="1"/>
      <c r="G62" s="82"/>
      <c r="H62" s="35" t="s">
        <v>4617</v>
      </c>
      <c r="I62" s="82"/>
      <c r="J62" s="1995">
        <f>BA48</f>
        <v>0</v>
      </c>
      <c r="K62" s="1996">
        <f>BB48</f>
        <v>0</v>
      </c>
      <c r="L62" s="1996">
        <f>BC48</f>
        <v>0</v>
      </c>
      <c r="M62" s="1996">
        <f>BD48</f>
        <v>0</v>
      </c>
      <c r="N62" s="1997">
        <f>BE48</f>
        <v>0</v>
      </c>
      <c r="O62" s="598">
        <f t="shared" si="347"/>
        <v>0</v>
      </c>
      <c r="P62" s="3463"/>
      <c r="Q62" s="2310"/>
      <c r="R62" s="3402"/>
      <c r="S62" s="3443"/>
      <c r="T62" s="3443"/>
      <c r="U62" s="3443"/>
      <c r="V62" s="3403"/>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387"/>
      <c r="B63" s="3387"/>
      <c r="C63" s="110" t="s">
        <v>4699</v>
      </c>
      <c r="D63" s="1"/>
      <c r="E63" s="1"/>
      <c r="F63" s="1"/>
      <c r="G63" s="82"/>
      <c r="H63" s="54"/>
      <c r="I63" s="82"/>
      <c r="J63" s="1959">
        <f>SUM(J56:J62)</f>
        <v>0</v>
      </c>
      <c r="K63" s="1959">
        <f>SUM(K56:K62)</f>
        <v>8</v>
      </c>
      <c r="L63" s="1959">
        <f>SUM(L56:L62)</f>
        <v>40</v>
      </c>
      <c r="M63" s="1959">
        <f>SUM(M56:M62)</f>
        <v>0</v>
      </c>
      <c r="N63" s="1959">
        <f>SUM(N56:N62)</f>
        <v>0</v>
      </c>
      <c r="O63" s="1959">
        <f t="shared" si="347"/>
        <v>48</v>
      </c>
      <c r="P63" s="3464"/>
      <c r="R63" s="3402"/>
      <c r="S63" s="3443"/>
      <c r="T63" s="3443"/>
      <c r="U63" s="3443"/>
      <c r="V63" s="3403"/>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387"/>
      <c r="B64" s="3387"/>
      <c r="D64" s="1"/>
      <c r="E64" s="1"/>
      <c r="F64" s="1"/>
      <c r="G64" s="82"/>
      <c r="H64" s="35" t="s">
        <v>303</v>
      </c>
      <c r="I64" s="82"/>
      <c r="J64" s="957">
        <f>BF48</f>
        <v>0</v>
      </c>
      <c r="K64" s="957">
        <f>BG48</f>
        <v>0</v>
      </c>
      <c r="L64" s="957">
        <f>BH48</f>
        <v>0</v>
      </c>
      <c r="M64" s="957">
        <f>BI48</f>
        <v>0</v>
      </c>
      <c r="N64" s="957">
        <f>BJ48</f>
        <v>0</v>
      </c>
      <c r="O64" s="957">
        <f t="shared" si="347"/>
        <v>0</v>
      </c>
      <c r="R64" s="3402"/>
      <c r="S64" s="3443"/>
      <c r="T64" s="3443"/>
      <c r="U64" s="3443"/>
      <c r="V64" s="3403"/>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387"/>
      <c r="B65" s="3387"/>
      <c r="C65" s="1966" t="s">
        <v>1138</v>
      </c>
      <c r="D65" s="1966"/>
      <c r="E65" s="1966"/>
      <c r="F65" s="1966"/>
      <c r="G65" s="1967"/>
      <c r="H65" s="48"/>
      <c r="I65" s="1967"/>
      <c r="J65" s="1968">
        <f>SUM(J63:J64)</f>
        <v>0</v>
      </c>
      <c r="K65" s="1968">
        <f>SUM(K63:K64)</f>
        <v>8</v>
      </c>
      <c r="L65" s="1968">
        <f>SUM(L63:L64)</f>
        <v>40</v>
      </c>
      <c r="M65" s="1968">
        <f>SUM(M63:M64)</f>
        <v>0</v>
      </c>
      <c r="N65" s="1968">
        <f>SUM(N63:N64)</f>
        <v>0</v>
      </c>
      <c r="O65" s="1968">
        <f t="shared" si="347"/>
        <v>48</v>
      </c>
      <c r="R65" s="3402"/>
      <c r="S65" s="3443"/>
      <c r="T65" s="3443"/>
      <c r="U65" s="3443"/>
      <c r="V65" s="3403"/>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387"/>
      <c r="B66" s="3387"/>
      <c r="D66" s="1"/>
      <c r="E66" s="1"/>
      <c r="F66" s="1"/>
      <c r="G66" s="82"/>
      <c r="H66" s="35" t="s">
        <v>2511</v>
      </c>
      <c r="I66" s="82"/>
      <c r="J66" s="957">
        <f>EC48</f>
        <v>0</v>
      </c>
      <c r="K66" s="957">
        <f>ED48</f>
        <v>0</v>
      </c>
      <c r="L66" s="957">
        <f>EE48</f>
        <v>0</v>
      </c>
      <c r="M66" s="957">
        <f>EF48</f>
        <v>0</v>
      </c>
      <c r="N66" s="957">
        <f>EG48</f>
        <v>0</v>
      </c>
      <c r="O66" s="957">
        <f t="shared" si="347"/>
        <v>0</v>
      </c>
      <c r="P66" s="493" t="s">
        <v>3668</v>
      </c>
      <c r="R66" s="3402"/>
      <c r="S66" s="3443"/>
      <c r="T66" s="3443"/>
      <c r="U66" s="3443"/>
      <c r="V66" s="3403"/>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387"/>
      <c r="B67" s="3387"/>
      <c r="C67" s="3" t="s">
        <v>1793</v>
      </c>
      <c r="D67" s="1"/>
      <c r="E67" s="1"/>
      <c r="F67" s="1"/>
      <c r="G67" s="82"/>
      <c r="H67" s="35"/>
      <c r="I67" s="82"/>
      <c r="J67" s="1958">
        <f>SUM(J65:J66)</f>
        <v>0</v>
      </c>
      <c r="K67" s="1958">
        <f>SUM(K65:K66)</f>
        <v>8</v>
      </c>
      <c r="L67" s="1958">
        <f>SUM(L65:L66)</f>
        <v>40</v>
      </c>
      <c r="M67" s="1958">
        <f>SUM(M65:M66)</f>
        <v>0</v>
      </c>
      <c r="N67" s="1958">
        <f>SUM(N65:N66)</f>
        <v>0</v>
      </c>
      <c r="O67" s="1958">
        <f t="shared" si="347"/>
        <v>48</v>
      </c>
      <c r="R67" s="3444"/>
      <c r="S67" s="3445"/>
      <c r="T67" s="3445"/>
      <c r="U67" s="3445"/>
      <c r="V67" s="3446"/>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387"/>
      <c r="B68" s="3387"/>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387"/>
      <c r="B69" s="3387"/>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387"/>
      <c r="B70" s="3387"/>
      <c r="C70" s="3468" t="s">
        <v>4720</v>
      </c>
      <c r="D70" s="3468"/>
      <c r="E70" s="3468"/>
      <c r="F70" s="3468"/>
      <c r="G70" s="103"/>
      <c r="H70" s="51"/>
      <c r="I70" s="2209" t="s">
        <v>4719</v>
      </c>
      <c r="J70" s="2212"/>
      <c r="K70" s="2213"/>
      <c r="L70" s="2213"/>
      <c r="M70" s="2213"/>
      <c r="N70" s="2213"/>
      <c r="O70" s="2212"/>
      <c r="P70" s="1042" t="s">
        <v>4718</v>
      </c>
      <c r="R70" s="3410"/>
      <c r="S70" s="3447"/>
      <c r="T70" s="3447"/>
      <c r="U70" s="3447"/>
      <c r="V70" s="3411"/>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387"/>
      <c r="B71" s="3387"/>
      <c r="C71" s="3468"/>
      <c r="D71" s="3468"/>
      <c r="E71" s="3468"/>
      <c r="F71" s="3468"/>
      <c r="G71" s="103"/>
      <c r="H71" s="51" t="s">
        <v>4613</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402"/>
      <c r="S71" s="3443"/>
      <c r="T71" s="3443"/>
      <c r="U71" s="3443"/>
      <c r="V71" s="3403"/>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387"/>
      <c r="B72" s="3387"/>
      <c r="C72" s="3468"/>
      <c r="D72" s="3468"/>
      <c r="E72" s="3468"/>
      <c r="F72" s="3468"/>
      <c r="G72" s="103"/>
      <c r="H72" s="51" t="s">
        <v>4614</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402"/>
      <c r="S72" s="3443"/>
      <c r="T72" s="3443"/>
      <c r="U72" s="3443"/>
      <c r="V72" s="3403"/>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387"/>
      <c r="B73" s="3387"/>
      <c r="C73" s="2210"/>
      <c r="D73" s="3416" t="s">
        <v>5039</v>
      </c>
      <c r="E73" s="3469"/>
      <c r="F73" s="3469"/>
      <c r="G73" s="3469"/>
      <c r="H73" s="51" t="s">
        <v>1149</v>
      </c>
      <c r="I73" s="2208" t="str">
        <f t="shared" si="348"/>
        <v/>
      </c>
      <c r="J73" s="2001">
        <f t="shared" si="349"/>
        <v>0</v>
      </c>
      <c r="K73" s="2002">
        <f t="shared" si="350"/>
        <v>0.75</v>
      </c>
      <c r="L73" s="2002">
        <f t="shared" si="351"/>
        <v>0.65</v>
      </c>
      <c r="M73" s="2002">
        <f t="shared" si="352"/>
        <v>0</v>
      </c>
      <c r="N73" s="2003">
        <f t="shared" si="353"/>
        <v>0</v>
      </c>
      <c r="O73" s="1987">
        <f t="shared" si="354"/>
        <v>0.66666666666666663</v>
      </c>
      <c r="P73" s="1984">
        <f t="shared" si="355"/>
        <v>0.7</v>
      </c>
      <c r="R73" s="3402"/>
      <c r="S73" s="3443"/>
      <c r="T73" s="3443"/>
      <c r="U73" s="3443"/>
      <c r="V73" s="3403"/>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387"/>
      <c r="B74" s="3387"/>
      <c r="C74" s="2210"/>
      <c r="D74" s="3469"/>
      <c r="E74" s="3469"/>
      <c r="F74" s="3469"/>
      <c r="G74" s="3469"/>
      <c r="H74" s="51" t="s">
        <v>118</v>
      </c>
      <c r="I74" s="2208" t="str">
        <f t="shared" si="348"/>
        <v/>
      </c>
      <c r="J74" s="2164">
        <f t="shared" si="349"/>
        <v>0</v>
      </c>
      <c r="K74" s="2165">
        <f t="shared" si="350"/>
        <v>0.25</v>
      </c>
      <c r="L74" s="2165">
        <f t="shared" si="351"/>
        <v>0.35</v>
      </c>
      <c r="M74" s="2165">
        <f t="shared" si="352"/>
        <v>0</v>
      </c>
      <c r="N74" s="2166">
        <f t="shared" si="353"/>
        <v>0</v>
      </c>
      <c r="O74" s="2167">
        <f t="shared" si="354"/>
        <v>0.33333333333333331</v>
      </c>
      <c r="P74" s="1984">
        <f t="shared" si="355"/>
        <v>0.3</v>
      </c>
      <c r="R74" s="3402"/>
      <c r="S74" s="3443"/>
      <c r="T74" s="3443"/>
      <c r="U74" s="3443"/>
      <c r="V74" s="3403"/>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69"/>
      <c r="E75" s="3469"/>
      <c r="F75" s="3469"/>
      <c r="G75" s="3469"/>
      <c r="H75" s="51" t="s">
        <v>4615</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402"/>
      <c r="S75" s="3443"/>
      <c r="T75" s="3443"/>
      <c r="U75" s="3443"/>
      <c r="V75" s="3403"/>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69"/>
      <c r="E76" s="3469"/>
      <c r="F76" s="3469"/>
      <c r="G76" s="3469"/>
      <c r="H76" s="51" t="s">
        <v>4616</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402"/>
      <c r="S76" s="3443"/>
      <c r="T76" s="3443"/>
      <c r="U76" s="3443"/>
      <c r="V76" s="3403"/>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69"/>
      <c r="E77" s="3469"/>
      <c r="F77" s="3469"/>
      <c r="G77" s="3469"/>
      <c r="H77" s="51" t="s">
        <v>4617</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44"/>
      <c r="S77" s="3445"/>
      <c r="T77" s="3445"/>
      <c r="U77" s="3445"/>
      <c r="V77" s="3446"/>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4613</v>
      </c>
      <c r="I81" s="82"/>
      <c r="J81" s="2007">
        <f>CO48</f>
        <v>0</v>
      </c>
      <c r="K81" s="2008">
        <f>CP48</f>
        <v>0</v>
      </c>
      <c r="L81" s="2008">
        <f>CQ48</f>
        <v>0</v>
      </c>
      <c r="M81" s="2008">
        <f>CR48</f>
        <v>0</v>
      </c>
      <c r="N81" s="2009">
        <f>CS48</f>
        <v>0</v>
      </c>
      <c r="O81" s="958">
        <f t="shared" ref="O81:O88" si="356">SUM(J81:N81)</f>
        <v>0</v>
      </c>
      <c r="R81" s="3410"/>
      <c r="S81" s="3447"/>
      <c r="T81" s="3447"/>
      <c r="U81" s="3447"/>
      <c r="V81" s="3411"/>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4614</v>
      </c>
      <c r="I82" s="82"/>
      <c r="J82" s="2010">
        <f>CJ48</f>
        <v>0</v>
      </c>
      <c r="K82" s="2011">
        <f>CK48</f>
        <v>0</v>
      </c>
      <c r="L82" s="2011">
        <f>CL48</f>
        <v>0</v>
      </c>
      <c r="M82" s="2011">
        <f>CM48</f>
        <v>0</v>
      </c>
      <c r="N82" s="2012">
        <f>CN48</f>
        <v>0</v>
      </c>
      <c r="O82" s="1957">
        <f t="shared" si="356"/>
        <v>0</v>
      </c>
      <c r="R82" s="3402"/>
      <c r="S82" s="3443"/>
      <c r="T82" s="3443"/>
      <c r="U82" s="3443"/>
      <c r="V82" s="3403"/>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402"/>
      <c r="S83" s="3443"/>
      <c r="T83" s="3443"/>
      <c r="U83" s="3443"/>
      <c r="V83" s="3403"/>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402"/>
      <c r="S84" s="3443"/>
      <c r="T84" s="3443"/>
      <c r="U84" s="3443"/>
      <c r="V84" s="3403"/>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4615</v>
      </c>
      <c r="I85" s="1155"/>
      <c r="J85" s="2010">
        <f>BU48</f>
        <v>0</v>
      </c>
      <c r="K85" s="2011">
        <f>BV48</f>
        <v>0</v>
      </c>
      <c r="L85" s="2011">
        <f>BW48</f>
        <v>0</v>
      </c>
      <c r="M85" s="2011">
        <f>BX48</f>
        <v>0</v>
      </c>
      <c r="N85" s="2012">
        <f>BY48</f>
        <v>0</v>
      </c>
      <c r="O85" s="1957">
        <f t="shared" si="356"/>
        <v>0</v>
      </c>
      <c r="R85" s="3402"/>
      <c r="S85" s="3443"/>
      <c r="T85" s="3443"/>
      <c r="U85" s="3443"/>
      <c r="V85" s="3403"/>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4616</v>
      </c>
      <c r="I86" s="82"/>
      <c r="J86" s="2010">
        <f>BP48</f>
        <v>0</v>
      </c>
      <c r="K86" s="2011">
        <f>BQ48</f>
        <v>0</v>
      </c>
      <c r="L86" s="2011">
        <f>BR48</f>
        <v>0</v>
      </c>
      <c r="M86" s="2011">
        <f>BS48</f>
        <v>0</v>
      </c>
      <c r="N86" s="2012">
        <f>BT48</f>
        <v>0</v>
      </c>
      <c r="O86" s="1957">
        <f t="shared" si="356"/>
        <v>0</v>
      </c>
      <c r="R86" s="3402"/>
      <c r="S86" s="3443"/>
      <c r="T86" s="3443"/>
      <c r="U86" s="3443"/>
      <c r="V86" s="3403"/>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4617</v>
      </c>
      <c r="I87" s="82"/>
      <c r="J87" s="2013">
        <f>BK48</f>
        <v>0</v>
      </c>
      <c r="K87" s="2014">
        <f>BL48</f>
        <v>0</v>
      </c>
      <c r="L87" s="2014">
        <f>BM48</f>
        <v>0</v>
      </c>
      <c r="M87" s="2014">
        <f>BN48</f>
        <v>0</v>
      </c>
      <c r="N87" s="2015">
        <f>BO48</f>
        <v>0</v>
      </c>
      <c r="O87" s="960">
        <f t="shared" si="356"/>
        <v>0</v>
      </c>
      <c r="R87" s="3402"/>
      <c r="S87" s="3443"/>
      <c r="T87" s="3443"/>
      <c r="U87" s="3443"/>
      <c r="V87" s="3403"/>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444"/>
      <c r="S88" s="3445"/>
      <c r="T88" s="3445"/>
      <c r="U88" s="3445"/>
      <c r="V88" s="3446"/>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7" customHeight="1" thickBot="1">
      <c r="A90" s="12" t="s">
        <v>740</v>
      </c>
      <c r="B90" s="12" t="s">
        <v>4996</v>
      </c>
      <c r="K90" s="3382" t="str">
        <f>$K$53</f>
        <v>40% of Units at 60% of AMI</v>
      </c>
      <c r="L90" s="3383"/>
      <c r="M90" s="3383"/>
      <c r="N90" s="3384"/>
      <c r="O90" s="82"/>
      <c r="R90" s="3385" t="str">
        <f>B90</f>
        <v>UNIT SUMMARY (Continued)</v>
      </c>
      <c r="S90" s="3385"/>
      <c r="T90" s="3385"/>
      <c r="U90" s="3385"/>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4613</v>
      </c>
      <c r="I92" s="82"/>
      <c r="J92" s="2007">
        <f>DX48</f>
        <v>0</v>
      </c>
      <c r="K92" s="2008">
        <f>DY48</f>
        <v>0</v>
      </c>
      <c r="L92" s="2008">
        <f>DZ48</f>
        <v>0</v>
      </c>
      <c r="M92" s="2008">
        <f>EA48</f>
        <v>0</v>
      </c>
      <c r="N92" s="2009">
        <f>EB48</f>
        <v>0</v>
      </c>
      <c r="O92" s="961">
        <f t="shared" ref="O92:O99" si="357">SUM(J92:N92)</f>
        <v>0</v>
      </c>
      <c r="R92" s="3410"/>
      <c r="S92" s="3447"/>
      <c r="T92" s="3447"/>
      <c r="U92" s="3447"/>
      <c r="V92" s="3411"/>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4614</v>
      </c>
      <c r="I93" s="82"/>
      <c r="J93" s="2010">
        <f>DS48</f>
        <v>0</v>
      </c>
      <c r="K93" s="2011">
        <f>DT48</f>
        <v>0</v>
      </c>
      <c r="L93" s="2011">
        <f>DU48</f>
        <v>0</v>
      </c>
      <c r="M93" s="2011">
        <f>DV48</f>
        <v>0</v>
      </c>
      <c r="N93" s="2012">
        <f>DW48</f>
        <v>0</v>
      </c>
      <c r="O93" s="956">
        <f t="shared" si="357"/>
        <v>0</v>
      </c>
      <c r="R93" s="3402"/>
      <c r="S93" s="3443"/>
      <c r="T93" s="3443"/>
      <c r="U93" s="3443"/>
      <c r="V93" s="3403"/>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402"/>
      <c r="S94" s="3443"/>
      <c r="T94" s="3443"/>
      <c r="U94" s="3443"/>
      <c r="V94" s="3403"/>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402"/>
      <c r="S95" s="3443"/>
      <c r="T95" s="3443"/>
      <c r="U95" s="3443"/>
      <c r="V95" s="3403"/>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4615</v>
      </c>
      <c r="I96" s="1155"/>
      <c r="J96" s="2010">
        <f>DD48</f>
        <v>0</v>
      </c>
      <c r="K96" s="2011">
        <f>DE48</f>
        <v>0</v>
      </c>
      <c r="L96" s="2011">
        <f>DF48</f>
        <v>0</v>
      </c>
      <c r="M96" s="2011">
        <f>DG48</f>
        <v>0</v>
      </c>
      <c r="N96" s="2012">
        <f>DH48</f>
        <v>0</v>
      </c>
      <c r="O96" s="956">
        <f t="shared" si="357"/>
        <v>0</v>
      </c>
      <c r="R96" s="3402"/>
      <c r="S96" s="3443"/>
      <c r="T96" s="3443"/>
      <c r="U96" s="3443"/>
      <c r="V96" s="3403"/>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4616</v>
      </c>
      <c r="I97" s="82"/>
      <c r="J97" s="2010">
        <f>CY48</f>
        <v>0</v>
      </c>
      <c r="K97" s="2011">
        <f>CZ48</f>
        <v>0</v>
      </c>
      <c r="L97" s="2011">
        <f>DA48</f>
        <v>0</v>
      </c>
      <c r="M97" s="2011">
        <f>DB48</f>
        <v>0</v>
      </c>
      <c r="N97" s="2012">
        <f>DC48</f>
        <v>0</v>
      </c>
      <c r="O97" s="956">
        <f t="shared" si="357"/>
        <v>0</v>
      </c>
      <c r="R97" s="3402"/>
      <c r="S97" s="3443"/>
      <c r="T97" s="3443"/>
      <c r="U97" s="3443"/>
      <c r="V97" s="3403"/>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4617</v>
      </c>
      <c r="I98" s="82"/>
      <c r="J98" s="2013">
        <f>CT48</f>
        <v>0</v>
      </c>
      <c r="K98" s="2014">
        <f>CU48</f>
        <v>0</v>
      </c>
      <c r="L98" s="2014">
        <f>CV48</f>
        <v>0</v>
      </c>
      <c r="M98" s="2014">
        <f>CW48</f>
        <v>0</v>
      </c>
      <c r="N98" s="2015">
        <f>CX48</f>
        <v>0</v>
      </c>
      <c r="O98" s="957">
        <f t="shared" si="357"/>
        <v>0</v>
      </c>
      <c r="R98" s="3402"/>
      <c r="S98" s="3443"/>
      <c r="T98" s="3443"/>
      <c r="U98" s="3443"/>
      <c r="V98" s="3403"/>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444"/>
      <c r="S99" s="3445"/>
      <c r="T99" s="3445"/>
      <c r="U99" s="3445"/>
      <c r="V99" s="3446"/>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19" t="s">
        <v>38</v>
      </c>
      <c r="D101" s="3419"/>
      <c r="E101" s="103" t="s">
        <v>2295</v>
      </c>
      <c r="F101" s="1"/>
      <c r="G101" s="82"/>
      <c r="H101" s="35" t="s">
        <v>1432</v>
      </c>
      <c r="I101" s="82"/>
      <c r="J101" s="1989">
        <f>GF48</f>
        <v>0</v>
      </c>
      <c r="K101" s="1990">
        <f>GG48</f>
        <v>8</v>
      </c>
      <c r="L101" s="1990">
        <f>GH48</f>
        <v>40</v>
      </c>
      <c r="M101" s="1990">
        <f>GI48</f>
        <v>0</v>
      </c>
      <c r="N101" s="1991">
        <f>GJ48</f>
        <v>0</v>
      </c>
      <c r="O101" s="961">
        <f t="shared" ref="O101:O111" si="358">SUM(J101:N101)</f>
        <v>48</v>
      </c>
      <c r="R101" s="3410"/>
      <c r="S101" s="3447"/>
      <c r="T101" s="3447"/>
      <c r="U101" s="3447"/>
      <c r="V101" s="3411"/>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19"/>
      <c r="D102" s="3419"/>
      <c r="E102" s="110"/>
      <c r="F102" s="1"/>
      <c r="G102" s="82"/>
      <c r="H102" s="35" t="s">
        <v>303</v>
      </c>
      <c r="I102" s="82"/>
      <c r="J102" s="1995">
        <f>GK48</f>
        <v>0</v>
      </c>
      <c r="K102" s="1996">
        <f>GL48</f>
        <v>0</v>
      </c>
      <c r="L102" s="1996">
        <f>GM48</f>
        <v>0</v>
      </c>
      <c r="M102" s="1996">
        <f>GN48</f>
        <v>0</v>
      </c>
      <c r="N102" s="1997">
        <f>GO48</f>
        <v>0</v>
      </c>
      <c r="O102" s="957">
        <f t="shared" si="358"/>
        <v>0</v>
      </c>
      <c r="R102" s="3402"/>
      <c r="S102" s="3443"/>
      <c r="T102" s="3443"/>
      <c r="U102" s="3443"/>
      <c r="V102" s="3403"/>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19"/>
      <c r="D103" s="3419"/>
      <c r="E103" s="110"/>
      <c r="F103" s="1"/>
      <c r="G103" s="82"/>
      <c r="H103" s="86" t="s">
        <v>32</v>
      </c>
      <c r="I103" s="82"/>
      <c r="J103" s="1960">
        <f>SUM(J101:J102)+GP48</f>
        <v>0</v>
      </c>
      <c r="K103" s="1960">
        <f>SUM(K101:K102)+GQ48</f>
        <v>8</v>
      </c>
      <c r="L103" s="1960">
        <f>SUM(L101:L102)+GR48</f>
        <v>40</v>
      </c>
      <c r="M103" s="1960">
        <f>SUM(M101:M102)+GS48</f>
        <v>0</v>
      </c>
      <c r="N103" s="1960">
        <f>SUM(N101:N102)+GT48</f>
        <v>0</v>
      </c>
      <c r="O103" s="1960">
        <f t="shared" si="358"/>
        <v>48</v>
      </c>
      <c r="R103" s="3402"/>
      <c r="S103" s="3443"/>
      <c r="T103" s="3443"/>
      <c r="U103" s="3443"/>
      <c r="V103" s="3403"/>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19"/>
      <c r="D104" s="3419"/>
      <c r="E104" s="103" t="s">
        <v>2137</v>
      </c>
      <c r="F104" s="1"/>
      <c r="G104" s="82"/>
      <c r="H104" s="35" t="s">
        <v>1432</v>
      </c>
      <c r="I104" s="82"/>
      <c r="J104" s="1989">
        <f>GU48</f>
        <v>0</v>
      </c>
      <c r="K104" s="1990">
        <f>GV48</f>
        <v>0</v>
      </c>
      <c r="L104" s="1990">
        <f>GW48</f>
        <v>0</v>
      </c>
      <c r="M104" s="1990">
        <f>GX48</f>
        <v>0</v>
      </c>
      <c r="N104" s="1991">
        <f>GY48</f>
        <v>0</v>
      </c>
      <c r="O104" s="961">
        <f t="shared" si="358"/>
        <v>0</v>
      </c>
      <c r="R104" s="3402"/>
      <c r="S104" s="3443"/>
      <c r="T104" s="3443"/>
      <c r="U104" s="3443"/>
      <c r="V104" s="3403"/>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19"/>
      <c r="D105" s="3419"/>
      <c r="E105" s="110"/>
      <c r="F105" s="1"/>
      <c r="G105" s="82"/>
      <c r="H105" s="35" t="s">
        <v>303</v>
      </c>
      <c r="I105" s="82"/>
      <c r="J105" s="1995">
        <f>GZ48</f>
        <v>0</v>
      </c>
      <c r="K105" s="1996">
        <f>HA48</f>
        <v>0</v>
      </c>
      <c r="L105" s="1996">
        <f>HB48</f>
        <v>0</v>
      </c>
      <c r="M105" s="1996">
        <f>HC48</f>
        <v>0</v>
      </c>
      <c r="N105" s="1997">
        <f>HD48</f>
        <v>0</v>
      </c>
      <c r="O105" s="957">
        <f t="shared" si="358"/>
        <v>0</v>
      </c>
      <c r="R105" s="3402"/>
      <c r="S105" s="3443"/>
      <c r="T105" s="3443"/>
      <c r="U105" s="3443"/>
      <c r="V105" s="3403"/>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19"/>
      <c r="D106" s="3419"/>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402"/>
      <c r="S106" s="3443"/>
      <c r="T106" s="3443"/>
      <c r="U106" s="3443"/>
      <c r="V106" s="3403"/>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20" t="s">
        <v>1419</v>
      </c>
      <c r="F107" s="3420"/>
      <c r="G107" s="82"/>
      <c r="H107" s="35" t="s">
        <v>1432</v>
      </c>
      <c r="I107" s="82"/>
      <c r="J107" s="1989">
        <f>HJ48</f>
        <v>0</v>
      </c>
      <c r="K107" s="1990">
        <f>HK48</f>
        <v>0</v>
      </c>
      <c r="L107" s="1990">
        <f>HL48</f>
        <v>0</v>
      </c>
      <c r="M107" s="1990">
        <f>HM48</f>
        <v>0</v>
      </c>
      <c r="N107" s="1991">
        <f>HN48</f>
        <v>0</v>
      </c>
      <c r="O107" s="961">
        <f t="shared" si="358"/>
        <v>0</v>
      </c>
      <c r="R107" s="3402"/>
      <c r="S107" s="3443"/>
      <c r="T107" s="3443"/>
      <c r="U107" s="3443"/>
      <c r="V107" s="3403"/>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20"/>
      <c r="F108" s="3420"/>
      <c r="G108" s="82"/>
      <c r="H108" s="35" t="s">
        <v>303</v>
      </c>
      <c r="I108" s="82"/>
      <c r="J108" s="1995">
        <f>HO48</f>
        <v>0</v>
      </c>
      <c r="K108" s="1996">
        <f>HP48</f>
        <v>0</v>
      </c>
      <c r="L108" s="1996">
        <f>HQ48</f>
        <v>0</v>
      </c>
      <c r="M108" s="1996">
        <f>HR48</f>
        <v>0</v>
      </c>
      <c r="N108" s="1997">
        <f>HS48</f>
        <v>0</v>
      </c>
      <c r="O108" s="957">
        <f t="shared" si="358"/>
        <v>0</v>
      </c>
      <c r="R108" s="3402"/>
      <c r="S108" s="3443"/>
      <c r="T108" s="3443"/>
      <c r="U108" s="3443"/>
      <c r="V108" s="3403"/>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402"/>
      <c r="S109" s="3443"/>
      <c r="T109" s="3443"/>
      <c r="U109" s="3443"/>
      <c r="V109" s="3403"/>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3"/>
      <c r="K110" s="2643"/>
      <c r="L110" s="2643"/>
      <c r="M110" s="2643"/>
      <c r="N110" s="2643"/>
      <c r="O110" s="595">
        <f t="shared" si="358"/>
        <v>0</v>
      </c>
      <c r="R110" s="3402"/>
      <c r="S110" s="3443"/>
      <c r="T110" s="3443"/>
      <c r="U110" s="3443"/>
      <c r="V110" s="3403"/>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70" t="str">
        <f>IF(AND('Part IV-A-Uses of Funds'!$T$165="Yes",'Part IX Scoring Criteria'!$O$420&gt;0,O111&lt;1),"SHOW HISTORIC UNITS HERE &gt;&gt;&gt;&gt;","")</f>
        <v/>
      </c>
      <c r="B111" s="3470"/>
      <c r="C111" s="3470"/>
      <c r="D111" s="3470"/>
      <c r="E111" s="490" t="s">
        <v>3396</v>
      </c>
      <c r="F111" s="1"/>
      <c r="G111" s="172"/>
      <c r="H111" s="82"/>
      <c r="I111" s="82"/>
      <c r="J111" s="2644"/>
      <c r="K111" s="2644"/>
      <c r="L111" s="2644"/>
      <c r="M111" s="2644"/>
      <c r="N111" s="2644"/>
      <c r="O111" s="596">
        <f t="shared" si="358"/>
        <v>0</v>
      </c>
      <c r="R111" s="3402"/>
      <c r="S111" s="3443"/>
      <c r="T111" s="3443"/>
      <c r="U111" s="3443"/>
      <c r="V111" s="3403"/>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02"/>
      <c r="S112" s="3443"/>
      <c r="T112" s="3443"/>
      <c r="U112" s="3443"/>
      <c r="V112" s="3403"/>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3357</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44"/>
      <c r="S113" s="3445"/>
      <c r="T113" s="3445"/>
      <c r="U113" s="3445"/>
      <c r="V113" s="3446"/>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15" t="s">
        <v>4082</v>
      </c>
      <c r="D115" s="3415"/>
      <c r="E115" s="1151" t="s">
        <v>39</v>
      </c>
      <c r="F115" s="990"/>
      <c r="G115" s="1152"/>
      <c r="H115" s="1153"/>
      <c r="I115" s="1154"/>
      <c r="J115" s="2019">
        <f t="shared" ref="J115:O115" si="359">SUM(J116:J123)</f>
        <v>0</v>
      </c>
      <c r="K115" s="2020">
        <f t="shared" si="359"/>
        <v>8</v>
      </c>
      <c r="L115" s="2020">
        <f t="shared" si="359"/>
        <v>40</v>
      </c>
      <c r="M115" s="2020">
        <f t="shared" si="359"/>
        <v>0</v>
      </c>
      <c r="N115" s="2021">
        <f t="shared" si="359"/>
        <v>0</v>
      </c>
      <c r="O115" s="1965">
        <f t="shared" si="359"/>
        <v>48</v>
      </c>
      <c r="R115" s="3410"/>
      <c r="S115" s="3447"/>
      <c r="T115" s="3447"/>
      <c r="U115" s="3447"/>
      <c r="V115" s="3411"/>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16"/>
      <c r="D116" s="3416"/>
      <c r="E116" s="103"/>
      <c r="F116" s="4"/>
      <c r="G116" s="151"/>
      <c r="H116" s="897" t="s">
        <v>2604</v>
      </c>
      <c r="I116" s="1155"/>
      <c r="J116" s="1992">
        <f>JR48</f>
        <v>0</v>
      </c>
      <c r="K116" s="1993">
        <f>JS48</f>
        <v>8</v>
      </c>
      <c r="L116" s="1993">
        <f>JT48</f>
        <v>40</v>
      </c>
      <c r="M116" s="1993">
        <f>JU48</f>
        <v>0</v>
      </c>
      <c r="N116" s="1994">
        <f>JV48</f>
        <v>0</v>
      </c>
      <c r="O116" s="956">
        <f t="shared" ref="O116:O131" si="360">SUM(J116:N116)</f>
        <v>48</v>
      </c>
      <c r="R116" s="3402"/>
      <c r="S116" s="3443"/>
      <c r="T116" s="3443"/>
      <c r="U116" s="3443"/>
      <c r="V116" s="3403"/>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16"/>
      <c r="D117" s="3416"/>
      <c r="E117" s="103"/>
      <c r="F117" s="4"/>
      <c r="G117" s="151"/>
      <c r="H117" s="95" t="s">
        <v>3357</v>
      </c>
      <c r="I117" s="1155"/>
      <c r="J117" s="2022">
        <f>JW48</f>
        <v>0</v>
      </c>
      <c r="K117" s="2023">
        <f>JX48</f>
        <v>0</v>
      </c>
      <c r="L117" s="2023">
        <f>JY48</f>
        <v>0</v>
      </c>
      <c r="M117" s="2023">
        <f>JZ48</f>
        <v>0</v>
      </c>
      <c r="N117" s="2024">
        <f>KA48</f>
        <v>0</v>
      </c>
      <c r="O117" s="598">
        <f t="shared" si="360"/>
        <v>0</v>
      </c>
      <c r="R117" s="3402"/>
      <c r="S117" s="3443"/>
      <c r="T117" s="3443"/>
      <c r="U117" s="3443"/>
      <c r="V117" s="3403"/>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16"/>
      <c r="D118" s="3416"/>
      <c r="E118" s="103"/>
      <c r="F118" s="4"/>
      <c r="G118" s="151"/>
      <c r="H118" s="897" t="s">
        <v>2605</v>
      </c>
      <c r="I118" s="1155"/>
      <c r="J118" s="1992">
        <f>KB48</f>
        <v>0</v>
      </c>
      <c r="K118" s="1993">
        <f>KC48</f>
        <v>0</v>
      </c>
      <c r="L118" s="1993">
        <f>KD48</f>
        <v>0</v>
      </c>
      <c r="M118" s="1993">
        <f>KE48</f>
        <v>0</v>
      </c>
      <c r="N118" s="1994">
        <f>KF48</f>
        <v>0</v>
      </c>
      <c r="O118" s="599">
        <f t="shared" si="360"/>
        <v>0</v>
      </c>
      <c r="R118" s="3402"/>
      <c r="S118" s="3443"/>
      <c r="T118" s="3443"/>
      <c r="U118" s="3443"/>
      <c r="V118" s="3403"/>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16"/>
      <c r="D119" s="3416"/>
      <c r="E119" s="103"/>
      <c r="F119" s="4"/>
      <c r="G119" s="151"/>
      <c r="H119" s="95" t="s">
        <v>3357</v>
      </c>
      <c r="I119" s="1155"/>
      <c r="J119" s="2022">
        <f>KG48</f>
        <v>0</v>
      </c>
      <c r="K119" s="2023">
        <f>KH48</f>
        <v>0</v>
      </c>
      <c r="L119" s="2023">
        <f>KI48</f>
        <v>0</v>
      </c>
      <c r="M119" s="2023">
        <f>KJ48</f>
        <v>0</v>
      </c>
      <c r="N119" s="2024">
        <f>KK48</f>
        <v>0</v>
      </c>
      <c r="O119" s="598">
        <f t="shared" si="360"/>
        <v>0</v>
      </c>
      <c r="R119" s="3402"/>
      <c r="S119" s="3443"/>
      <c r="T119" s="3443"/>
      <c r="U119" s="3443"/>
      <c r="V119" s="3403"/>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16"/>
      <c r="D120" s="3416"/>
      <c r="E120" s="103"/>
      <c r="F120" s="4"/>
      <c r="G120" s="151"/>
      <c r="H120" s="897" t="s">
        <v>2607</v>
      </c>
      <c r="I120" s="1155"/>
      <c r="J120" s="1992">
        <f>KL48</f>
        <v>0</v>
      </c>
      <c r="K120" s="1993">
        <f>KM48</f>
        <v>0</v>
      </c>
      <c r="L120" s="1993">
        <f>KN48</f>
        <v>0</v>
      </c>
      <c r="M120" s="1993">
        <f>KO48</f>
        <v>0</v>
      </c>
      <c r="N120" s="1994">
        <f>KP48</f>
        <v>0</v>
      </c>
      <c r="O120" s="599">
        <f t="shared" si="360"/>
        <v>0</v>
      </c>
      <c r="R120" s="3402"/>
      <c r="S120" s="3443"/>
      <c r="T120" s="3443"/>
      <c r="U120" s="3443"/>
      <c r="V120" s="3403"/>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16"/>
      <c r="D121" s="3416"/>
      <c r="E121" s="103"/>
      <c r="F121" s="4"/>
      <c r="G121" s="151"/>
      <c r="H121" s="95" t="s">
        <v>3357</v>
      </c>
      <c r="I121" s="1155"/>
      <c r="J121" s="2022">
        <f>KQ48</f>
        <v>0</v>
      </c>
      <c r="K121" s="2023">
        <f>KR48</f>
        <v>0</v>
      </c>
      <c r="L121" s="2023">
        <f>KS48</f>
        <v>0</v>
      </c>
      <c r="M121" s="2023">
        <f>KT48</f>
        <v>0</v>
      </c>
      <c r="N121" s="2024">
        <f>KU48</f>
        <v>0</v>
      </c>
      <c r="O121" s="598">
        <f t="shared" si="360"/>
        <v>0</v>
      </c>
      <c r="R121" s="3402"/>
      <c r="S121" s="3443"/>
      <c r="T121" s="3443"/>
      <c r="U121" s="3443"/>
      <c r="V121" s="3403"/>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16"/>
      <c r="D122" s="3416"/>
      <c r="E122" s="103"/>
      <c r="F122" s="1"/>
      <c r="G122" s="82"/>
      <c r="H122" s="39" t="s">
        <v>2606</v>
      </c>
      <c r="I122" s="82"/>
      <c r="J122" s="1992">
        <f>KV48</f>
        <v>0</v>
      </c>
      <c r="K122" s="1993">
        <f>KW48</f>
        <v>0</v>
      </c>
      <c r="L122" s="1993">
        <f>KX48</f>
        <v>0</v>
      </c>
      <c r="M122" s="1993">
        <f>KY48</f>
        <v>0</v>
      </c>
      <c r="N122" s="1994">
        <f>KZ48</f>
        <v>0</v>
      </c>
      <c r="O122" s="599">
        <f t="shared" si="360"/>
        <v>0</v>
      </c>
      <c r="R122" s="3402"/>
      <c r="S122" s="3443"/>
      <c r="T122" s="3443"/>
      <c r="U122" s="3443"/>
      <c r="V122" s="3403"/>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16"/>
      <c r="D123" s="3416"/>
      <c r="E123" s="103"/>
      <c r="F123" s="1"/>
      <c r="G123" s="82"/>
      <c r="H123" s="893" t="s">
        <v>3357</v>
      </c>
      <c r="I123" s="82"/>
      <c r="J123" s="1992">
        <f>LA48</f>
        <v>0</v>
      </c>
      <c r="K123" s="1993">
        <f>LB48</f>
        <v>0</v>
      </c>
      <c r="L123" s="1993">
        <f>LC48</f>
        <v>0</v>
      </c>
      <c r="M123" s="1993">
        <f>LD48</f>
        <v>0</v>
      </c>
      <c r="N123" s="1994">
        <f>LE48</f>
        <v>0</v>
      </c>
      <c r="O123" s="956">
        <f t="shared" si="360"/>
        <v>0</v>
      </c>
      <c r="R123" s="3402"/>
      <c r="S123" s="3443"/>
      <c r="T123" s="3443"/>
      <c r="U123" s="3443"/>
      <c r="V123" s="3403"/>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402"/>
      <c r="S124" s="3443"/>
      <c r="T124" s="3443"/>
      <c r="U124" s="3443"/>
      <c r="V124" s="3403"/>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3357</v>
      </c>
      <c r="I125" s="82"/>
      <c r="J125" s="2022">
        <f>II48</f>
        <v>0</v>
      </c>
      <c r="K125" s="2023">
        <f>IJ48</f>
        <v>0</v>
      </c>
      <c r="L125" s="2023">
        <f>IK48</f>
        <v>0</v>
      </c>
      <c r="M125" s="2023">
        <f>IL48</f>
        <v>0</v>
      </c>
      <c r="N125" s="2024">
        <f>IM48</f>
        <v>0</v>
      </c>
      <c r="O125" s="598">
        <f t="shared" si="360"/>
        <v>0</v>
      </c>
      <c r="R125" s="3402"/>
      <c r="S125" s="3443"/>
      <c r="T125" s="3443"/>
      <c r="U125" s="3443"/>
      <c r="V125" s="3403"/>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402"/>
      <c r="S126" s="3443"/>
      <c r="T126" s="3443"/>
      <c r="U126" s="3443"/>
      <c r="V126" s="3403"/>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3357</v>
      </c>
      <c r="I127" s="82"/>
      <c r="J127" s="2022">
        <f>JM48</f>
        <v>0</v>
      </c>
      <c r="K127" s="2023">
        <f>JN48</f>
        <v>0</v>
      </c>
      <c r="L127" s="2023">
        <f>JO48</f>
        <v>0</v>
      </c>
      <c r="M127" s="2023">
        <f>JP48</f>
        <v>0</v>
      </c>
      <c r="N127" s="2024">
        <f>JQ48</f>
        <v>0</v>
      </c>
      <c r="O127" s="598">
        <f t="shared" si="360"/>
        <v>0</v>
      </c>
      <c r="R127" s="3402"/>
      <c r="S127" s="3443"/>
      <c r="T127" s="3443"/>
      <c r="U127" s="3443"/>
      <c r="V127" s="3403"/>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402"/>
      <c r="S128" s="3443"/>
      <c r="T128" s="3443"/>
      <c r="U128" s="3443"/>
      <c r="V128" s="3403"/>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3357</v>
      </c>
      <c r="I129" s="82"/>
      <c r="J129" s="1992">
        <f>JC48</f>
        <v>0</v>
      </c>
      <c r="K129" s="1993">
        <f>JD48</f>
        <v>0</v>
      </c>
      <c r="L129" s="1993">
        <f>JE48</f>
        <v>0</v>
      </c>
      <c r="M129" s="1993">
        <f>JF48</f>
        <v>0</v>
      </c>
      <c r="N129" s="1994">
        <f>JG48</f>
        <v>0</v>
      </c>
      <c r="O129" s="598">
        <f t="shared" si="360"/>
        <v>0</v>
      </c>
      <c r="R129" s="3402"/>
      <c r="S129" s="3443"/>
      <c r="T129" s="3443"/>
      <c r="U129" s="3443"/>
      <c r="V129" s="3403"/>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402"/>
      <c r="S130" s="3443"/>
      <c r="T130" s="3443"/>
      <c r="U130" s="3443"/>
      <c r="V130" s="3403"/>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3357</v>
      </c>
      <c r="I131" s="82"/>
      <c r="J131" s="1995">
        <f>IS48</f>
        <v>0</v>
      </c>
      <c r="K131" s="1996">
        <f>IT48</f>
        <v>0</v>
      </c>
      <c r="L131" s="1996">
        <f>IU48</f>
        <v>0</v>
      </c>
      <c r="M131" s="1996">
        <f>IV48</f>
        <v>0</v>
      </c>
      <c r="N131" s="1997">
        <f>IW48</f>
        <v>0</v>
      </c>
      <c r="O131" s="957">
        <f t="shared" si="360"/>
        <v>0</v>
      </c>
      <c r="R131" s="3444"/>
      <c r="S131" s="3445"/>
      <c r="T131" s="3445"/>
      <c r="U131" s="3445"/>
      <c r="V131" s="3446"/>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7" customHeight="1" thickBot="1">
      <c r="A133" s="12" t="s">
        <v>740</v>
      </c>
      <c r="B133" s="12" t="s">
        <v>4996</v>
      </c>
      <c r="K133" s="3382" t="str">
        <f>$K$53</f>
        <v>40% of Units at 60% of AMI</v>
      </c>
      <c r="L133" s="3383"/>
      <c r="M133" s="3383"/>
      <c r="N133" s="3384"/>
      <c r="O133" s="82"/>
      <c r="R133" s="3386" t="str">
        <f>B133</f>
        <v>UNIT SUMMARY (Continued)</v>
      </c>
      <c r="S133" s="3386"/>
      <c r="T133" s="3386"/>
      <c r="U133" s="3386"/>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15" t="s">
        <v>4602</v>
      </c>
      <c r="D135" s="3415"/>
      <c r="E135" s="1151" t="s">
        <v>3352</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10"/>
      <c r="S135" s="3447"/>
      <c r="T135" s="3447"/>
      <c r="U135" s="3447"/>
      <c r="V135" s="3411"/>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16"/>
      <c r="D136" s="3416"/>
      <c r="E136" s="103"/>
      <c r="F136" s="493"/>
      <c r="G136" s="151"/>
      <c r="H136" s="95" t="s">
        <v>3357</v>
      </c>
      <c r="I136" s="1155"/>
      <c r="J136" s="2031">
        <f t="shared" si="361"/>
        <v>0</v>
      </c>
      <c r="K136" s="2032">
        <f t="shared" si="361"/>
        <v>0</v>
      </c>
      <c r="L136" s="2032">
        <f t="shared" si="361"/>
        <v>0</v>
      </c>
      <c r="M136" s="2032">
        <f t="shared" si="361"/>
        <v>0</v>
      </c>
      <c r="N136" s="2033">
        <f t="shared" si="361"/>
        <v>0</v>
      </c>
      <c r="O136" s="601">
        <f t="shared" si="362"/>
        <v>0</v>
      </c>
      <c r="R136" s="3402"/>
      <c r="S136" s="3443"/>
      <c r="T136" s="3443"/>
      <c r="U136" s="3443"/>
      <c r="V136" s="3403"/>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16"/>
      <c r="D137" s="3416"/>
      <c r="E137" s="103" t="s">
        <v>3353</v>
      </c>
      <c r="F137" s="493"/>
      <c r="G137" s="151"/>
      <c r="H137" s="493"/>
      <c r="I137" s="1155"/>
      <c r="J137" s="2034">
        <f t="shared" ref="J137:N138" si="363">J116+J126</f>
        <v>0</v>
      </c>
      <c r="K137" s="2035">
        <f t="shared" si="363"/>
        <v>8</v>
      </c>
      <c r="L137" s="2035">
        <f t="shared" si="363"/>
        <v>40</v>
      </c>
      <c r="M137" s="2035">
        <f t="shared" si="363"/>
        <v>0</v>
      </c>
      <c r="N137" s="2036">
        <f t="shared" si="363"/>
        <v>0</v>
      </c>
      <c r="O137" s="959">
        <f t="shared" si="362"/>
        <v>48</v>
      </c>
      <c r="R137" s="3402"/>
      <c r="S137" s="3443"/>
      <c r="T137" s="3443"/>
      <c r="U137" s="3443"/>
      <c r="V137" s="3403"/>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16"/>
      <c r="D138" s="3416"/>
      <c r="E138" s="103"/>
      <c r="F138" s="493"/>
      <c r="G138" s="151"/>
      <c r="H138" s="95" t="s">
        <v>3357</v>
      </c>
      <c r="I138" s="1155"/>
      <c r="J138" s="2031">
        <f t="shared" si="363"/>
        <v>0</v>
      </c>
      <c r="K138" s="2032">
        <f t="shared" si="363"/>
        <v>0</v>
      </c>
      <c r="L138" s="2032">
        <f t="shared" si="363"/>
        <v>0</v>
      </c>
      <c r="M138" s="2032">
        <f t="shared" si="363"/>
        <v>0</v>
      </c>
      <c r="N138" s="2033">
        <f t="shared" si="363"/>
        <v>0</v>
      </c>
      <c r="O138" s="601">
        <f t="shared" si="362"/>
        <v>0</v>
      </c>
      <c r="R138" s="3402"/>
      <c r="S138" s="3443"/>
      <c r="T138" s="3443"/>
      <c r="U138" s="3443"/>
      <c r="V138" s="3403"/>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16"/>
      <c r="D139" s="3416"/>
      <c r="E139" s="103" t="s">
        <v>3354</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402"/>
      <c r="S139" s="3443"/>
      <c r="T139" s="3443"/>
      <c r="U139" s="3443"/>
      <c r="V139" s="3403"/>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16"/>
      <c r="D140" s="3416"/>
      <c r="E140" s="103"/>
      <c r="F140" s="493"/>
      <c r="G140" s="151"/>
      <c r="H140" s="95" t="s">
        <v>3357</v>
      </c>
      <c r="I140" s="1155"/>
      <c r="J140" s="2031">
        <f t="shared" si="364"/>
        <v>0</v>
      </c>
      <c r="K140" s="2032">
        <f t="shared" si="364"/>
        <v>0</v>
      </c>
      <c r="L140" s="2032">
        <f t="shared" si="364"/>
        <v>0</v>
      </c>
      <c r="M140" s="2032">
        <f t="shared" si="364"/>
        <v>0</v>
      </c>
      <c r="N140" s="2033">
        <f t="shared" si="364"/>
        <v>0</v>
      </c>
      <c r="O140" s="601">
        <f t="shared" si="362"/>
        <v>0</v>
      </c>
      <c r="R140" s="3402"/>
      <c r="S140" s="3443"/>
      <c r="T140" s="3443"/>
      <c r="U140" s="3443"/>
      <c r="V140" s="3403"/>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16"/>
      <c r="D141" s="3416"/>
      <c r="E141" s="103" t="s">
        <v>3355</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402"/>
      <c r="S141" s="3443"/>
      <c r="T141" s="3443"/>
      <c r="U141" s="3443"/>
      <c r="V141" s="3403"/>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3357</v>
      </c>
      <c r="I142" s="82"/>
      <c r="J142" s="2037">
        <f t="shared" si="365"/>
        <v>0</v>
      </c>
      <c r="K142" s="2038">
        <f t="shared" si="365"/>
        <v>0</v>
      </c>
      <c r="L142" s="2038">
        <f t="shared" si="365"/>
        <v>0</v>
      </c>
      <c r="M142" s="2038">
        <f t="shared" si="365"/>
        <v>0</v>
      </c>
      <c r="N142" s="2039">
        <f t="shared" si="365"/>
        <v>0</v>
      </c>
      <c r="O142" s="960">
        <f t="shared" si="362"/>
        <v>0</v>
      </c>
      <c r="P142" s="3462" t="s">
        <v>5029</v>
      </c>
      <c r="R142" s="3444"/>
      <c r="S142" s="3445"/>
      <c r="T142" s="3445"/>
      <c r="U142" s="3445"/>
      <c r="V142" s="3446"/>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62"/>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462"/>
      <c r="R144" s="3458" t="str">
        <f>B144</f>
        <v>Unit Square Footage:</v>
      </c>
      <c r="S144" s="3458"/>
      <c r="T144" s="3458"/>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4613</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410"/>
      <c r="S145" s="3447"/>
      <c r="T145" s="3447"/>
      <c r="U145" s="3447"/>
      <c r="V145" s="3411"/>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4614</v>
      </c>
      <c r="I146" s="82"/>
      <c r="J146" s="2040">
        <f>EM48</f>
        <v>0</v>
      </c>
      <c r="K146" s="2041">
        <f>EN48</f>
        <v>0</v>
      </c>
      <c r="L146" s="2041">
        <f>EO48</f>
        <v>0</v>
      </c>
      <c r="M146" s="2041">
        <f>EP48</f>
        <v>0</v>
      </c>
      <c r="N146" s="2042">
        <f>EQ48</f>
        <v>0</v>
      </c>
      <c r="O146" s="1955">
        <f t="shared" si="366"/>
        <v>0</v>
      </c>
      <c r="P146" s="2178" t="str">
        <f t="shared" si="367"/>
        <v/>
      </c>
      <c r="R146" s="3402"/>
      <c r="S146" s="3443"/>
      <c r="T146" s="3443"/>
      <c r="U146" s="3443"/>
      <c r="V146" s="3403"/>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4440</v>
      </c>
      <c r="L147" s="2041">
        <f>ET48</f>
        <v>24700</v>
      </c>
      <c r="M147" s="2041">
        <f>EU48</f>
        <v>0</v>
      </c>
      <c r="N147" s="2042">
        <f>EV48</f>
        <v>0</v>
      </c>
      <c r="O147" s="1955">
        <f t="shared" si="366"/>
        <v>29140</v>
      </c>
      <c r="P147" s="2178">
        <f t="shared" si="367"/>
        <v>910.625</v>
      </c>
      <c r="R147" s="3402"/>
      <c r="S147" s="3443"/>
      <c r="T147" s="3443"/>
      <c r="U147" s="3443"/>
      <c r="V147" s="3403"/>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1480</v>
      </c>
      <c r="L148" s="2169">
        <f>EY48</f>
        <v>13300</v>
      </c>
      <c r="M148" s="2169">
        <f>EZ48</f>
        <v>0</v>
      </c>
      <c r="N148" s="2170">
        <f>FA48</f>
        <v>0</v>
      </c>
      <c r="O148" s="2171">
        <f t="shared" si="366"/>
        <v>14780</v>
      </c>
      <c r="P148" s="2178">
        <f t="shared" si="367"/>
        <v>923.75</v>
      </c>
      <c r="R148" s="3402"/>
      <c r="S148" s="3443"/>
      <c r="T148" s="3443"/>
      <c r="U148" s="3443"/>
      <c r="V148" s="3403"/>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4615</v>
      </c>
      <c r="I149" s="1155"/>
      <c r="J149" s="2040">
        <f>FB48</f>
        <v>0</v>
      </c>
      <c r="K149" s="2041">
        <f>FC48</f>
        <v>0</v>
      </c>
      <c r="L149" s="2041">
        <f>FD48</f>
        <v>0</v>
      </c>
      <c r="M149" s="2041">
        <f>FE48</f>
        <v>0</v>
      </c>
      <c r="N149" s="2042">
        <f>FF48</f>
        <v>0</v>
      </c>
      <c r="O149" s="1955">
        <f t="shared" si="366"/>
        <v>0</v>
      </c>
      <c r="P149" s="2178" t="str">
        <f t="shared" si="367"/>
        <v/>
      </c>
      <c r="R149" s="3402"/>
      <c r="S149" s="3443"/>
      <c r="T149" s="3443"/>
      <c r="U149" s="3443"/>
      <c r="V149" s="3403"/>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4616</v>
      </c>
      <c r="I150" s="82"/>
      <c r="J150" s="2040">
        <f>FG48</f>
        <v>0</v>
      </c>
      <c r="K150" s="2041">
        <f>FH48</f>
        <v>0</v>
      </c>
      <c r="L150" s="2041">
        <f>FI48</f>
        <v>0</v>
      </c>
      <c r="M150" s="2041">
        <f>FJ48</f>
        <v>0</v>
      </c>
      <c r="N150" s="2042">
        <f>FK48</f>
        <v>0</v>
      </c>
      <c r="O150" s="1955">
        <f t="shared" si="366"/>
        <v>0</v>
      </c>
      <c r="P150" s="2178" t="str">
        <f t="shared" si="367"/>
        <v/>
      </c>
      <c r="R150" s="3402"/>
      <c r="S150" s="3443"/>
      <c r="T150" s="3443"/>
      <c r="U150" s="3443"/>
      <c r="V150" s="3403"/>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4617</v>
      </c>
      <c r="I151" s="82"/>
      <c r="J151" s="2013">
        <f>FL48</f>
        <v>0</v>
      </c>
      <c r="K151" s="2014">
        <f>FM48</f>
        <v>0</v>
      </c>
      <c r="L151" s="2014">
        <f>FN48</f>
        <v>0</v>
      </c>
      <c r="M151" s="2014">
        <f>FO48</f>
        <v>0</v>
      </c>
      <c r="N151" s="2015">
        <f>FP48</f>
        <v>0</v>
      </c>
      <c r="O151" s="1956">
        <f t="shared" si="366"/>
        <v>0</v>
      </c>
      <c r="P151" s="2178" t="str">
        <f t="shared" si="367"/>
        <v/>
      </c>
      <c r="R151" s="3402"/>
      <c r="S151" s="3443"/>
      <c r="T151" s="3443"/>
      <c r="U151" s="3443"/>
      <c r="V151" s="3403"/>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4698</v>
      </c>
      <c r="I152" s="82"/>
      <c r="J152" s="1964">
        <f>SUM(J145:J151)</f>
        <v>0</v>
      </c>
      <c r="K152" s="1964">
        <f>SUM(K145:K151)</f>
        <v>5920</v>
      </c>
      <c r="L152" s="1964">
        <f>SUM(L145:L151)</f>
        <v>38000</v>
      </c>
      <c r="M152" s="1964">
        <f>SUM(M145:M151)</f>
        <v>0</v>
      </c>
      <c r="N152" s="1964">
        <f>SUM(N145:N151)</f>
        <v>0</v>
      </c>
      <c r="O152" s="1964">
        <f>SUM(J152:N152)</f>
        <v>43920</v>
      </c>
      <c r="R152" s="3402"/>
      <c r="S152" s="3443"/>
      <c r="T152" s="3443"/>
      <c r="U152" s="3443"/>
      <c r="V152" s="3403"/>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402"/>
      <c r="S153" s="3443"/>
      <c r="T153" s="3443"/>
      <c r="U153" s="3443"/>
      <c r="V153" s="3403"/>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5920</v>
      </c>
      <c r="L154" s="1963">
        <f>SUM(L152:L153)</f>
        <v>38000</v>
      </c>
      <c r="M154" s="1963">
        <f>SUM(M152:M153)</f>
        <v>0</v>
      </c>
      <c r="N154" s="1963">
        <f>SUM(N152:N153)</f>
        <v>0</v>
      </c>
      <c r="O154" s="1963">
        <f>SUM(J154:N154)</f>
        <v>43920</v>
      </c>
      <c r="R154" s="3402"/>
      <c r="S154" s="3443"/>
      <c r="T154" s="3443"/>
      <c r="U154" s="3443"/>
      <c r="V154" s="3403"/>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402"/>
      <c r="S155" s="3443"/>
      <c r="T155" s="3443"/>
      <c r="U155" s="3443"/>
      <c r="V155" s="3403"/>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5920</v>
      </c>
      <c r="L156" s="1961">
        <f>SUM(L154:L155)</f>
        <v>38000</v>
      </c>
      <c r="M156" s="1961">
        <f>SUM(M154:M155)</f>
        <v>0</v>
      </c>
      <c r="N156" s="1961">
        <f>SUM(N154:N155)</f>
        <v>0</v>
      </c>
      <c r="O156" s="1961">
        <f>SUM(J156:N156)</f>
        <v>43920</v>
      </c>
      <c r="R156" s="3444"/>
      <c r="S156" s="3445"/>
      <c r="T156" s="3445"/>
      <c r="U156" s="3445"/>
      <c r="V156" s="3446"/>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5024</v>
      </c>
      <c r="D159" s="1"/>
      <c r="E159" s="1"/>
      <c r="F159" s="1"/>
      <c r="G159" s="1"/>
      <c r="H159" s="1"/>
      <c r="I159" s="1"/>
      <c r="J159" s="2177" t="str">
        <f>IF(OR(J$67="",J$67=0),"",J$156/J$67)</f>
        <v/>
      </c>
      <c r="K159" s="2177">
        <f>IF(OR(K$67="",K$67=0),"",K$156/K$67)</f>
        <v>740</v>
      </c>
      <c r="L159" s="2177">
        <f>IF(OR(L$67="",L$67=0),"",L$156/L$67)</f>
        <v>950</v>
      </c>
      <c r="M159" s="2177" t="str">
        <f>IF(OR(M$67="",M$67=0),"",M$156/M$67)</f>
        <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17">
        <f>'Part VII-Pro Forma'!B9*L49</f>
        <v>6094.08</v>
      </c>
      <c r="I173" s="3418"/>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5"/>
      <c r="H177" s="2645"/>
      <c r="I177" s="2645"/>
      <c r="J177" s="2645"/>
      <c r="K177" s="2645"/>
      <c r="L177" s="2645"/>
      <c r="M177" s="2645"/>
      <c r="N177" s="2645"/>
      <c r="O177" s="2645"/>
      <c r="P177" s="2645"/>
      <c r="Q177" s="873"/>
      <c r="R177" s="3410"/>
      <c r="S177" s="3447"/>
      <c r="T177" s="3447"/>
      <c r="U177" s="3447"/>
      <c r="V177" s="3411"/>
    </row>
    <row r="178" spans="2:22" ht="13.5" customHeight="1">
      <c r="B178" s="110" t="s">
        <v>741</v>
      </c>
      <c r="C178" s="3412"/>
      <c r="D178" s="3413"/>
      <c r="E178" s="3413"/>
      <c r="F178" s="3414"/>
      <c r="G178" s="2646"/>
      <c r="H178" s="2646"/>
      <c r="I178" s="2646"/>
      <c r="J178" s="2646"/>
      <c r="K178" s="2647"/>
      <c r="L178" s="2646"/>
      <c r="M178" s="2646"/>
      <c r="N178" s="2646"/>
      <c r="O178" s="2646"/>
      <c r="P178" s="2646"/>
      <c r="Q178" s="873"/>
      <c r="R178" s="3402"/>
      <c r="S178" s="3443"/>
      <c r="T178" s="3443"/>
      <c r="U178" s="3443"/>
      <c r="V178" s="3403"/>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444"/>
      <c r="S179" s="3445"/>
      <c r="T179" s="3445"/>
      <c r="U179" s="3445"/>
      <c r="V179" s="3446"/>
    </row>
    <row r="180" spans="2:22" ht="13.5" customHeight="1">
      <c r="B180" s="922" t="s">
        <v>3669</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5"/>
      <c r="H181" s="2645"/>
      <c r="I181" s="2645"/>
      <c r="J181" s="2645"/>
      <c r="K181" s="2645"/>
      <c r="L181" s="2645"/>
      <c r="M181" s="2645"/>
      <c r="N181" s="2645"/>
      <c r="O181" s="2645"/>
      <c r="P181" s="2645"/>
      <c r="Q181" s="873"/>
      <c r="R181" s="3410"/>
      <c r="S181" s="3447"/>
      <c r="T181" s="3447"/>
      <c r="U181" s="3447"/>
      <c r="V181" s="3411"/>
    </row>
    <row r="182" spans="2:22" ht="13.5" customHeight="1">
      <c r="B182" s="110" t="s">
        <v>741</v>
      </c>
      <c r="C182" s="3412"/>
      <c r="D182" s="3413"/>
      <c r="E182" s="3413"/>
      <c r="F182" s="3414"/>
      <c r="G182" s="2646"/>
      <c r="H182" s="2646"/>
      <c r="I182" s="2646"/>
      <c r="J182" s="2646"/>
      <c r="K182" s="2647"/>
      <c r="L182" s="2646"/>
      <c r="M182" s="2646"/>
      <c r="N182" s="2646"/>
      <c r="O182" s="2646"/>
      <c r="P182" s="2646"/>
      <c r="Q182" s="873"/>
      <c r="R182" s="3402"/>
      <c r="S182" s="3443"/>
      <c r="T182" s="3443"/>
      <c r="U182" s="3443"/>
      <c r="V182" s="3403"/>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44"/>
      <c r="S183" s="3445"/>
      <c r="T183" s="3445"/>
      <c r="U183" s="3445"/>
      <c r="V183" s="3446"/>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45"/>
      <c r="H186" s="2645"/>
      <c r="I186" s="2645"/>
      <c r="J186" s="2645"/>
      <c r="K186" s="2648"/>
      <c r="L186" s="2645"/>
      <c r="M186" s="2645"/>
      <c r="N186" s="2645"/>
      <c r="O186" s="2645"/>
      <c r="P186" s="2645"/>
      <c r="Q186" s="873"/>
      <c r="R186" s="3410"/>
      <c r="S186" s="3447"/>
      <c r="T186" s="3447"/>
      <c r="U186" s="3447"/>
      <c r="V186" s="3411"/>
    </row>
    <row r="187" spans="2:22" ht="13.5" customHeight="1">
      <c r="B187" s="110" t="s">
        <v>741</v>
      </c>
      <c r="C187" s="3412"/>
      <c r="D187" s="3413"/>
      <c r="E187" s="3413"/>
      <c r="F187" s="3414"/>
      <c r="G187" s="2646"/>
      <c r="H187" s="2646"/>
      <c r="I187" s="2646"/>
      <c r="J187" s="2646"/>
      <c r="K187" s="2647"/>
      <c r="L187" s="2646"/>
      <c r="M187" s="2646"/>
      <c r="N187" s="2646"/>
      <c r="O187" s="2646"/>
      <c r="P187" s="2646"/>
      <c r="Q187" s="873"/>
      <c r="R187" s="3402"/>
      <c r="S187" s="3443"/>
      <c r="T187" s="3443"/>
      <c r="U187" s="3443"/>
      <c r="V187" s="3403"/>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444"/>
      <c r="S188" s="3445"/>
      <c r="T188" s="3445"/>
      <c r="U188" s="3445"/>
      <c r="V188" s="3446"/>
    </row>
    <row r="189" spans="2:22" ht="13.5" customHeight="1">
      <c r="B189" s="922" t="s">
        <v>3669</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5"/>
      <c r="H190" s="2645"/>
      <c r="I190" s="2645"/>
      <c r="J190" s="2645"/>
      <c r="K190" s="2648"/>
      <c r="L190" s="2645"/>
      <c r="M190" s="2645"/>
      <c r="N190" s="2645"/>
      <c r="O190" s="2645"/>
      <c r="P190" s="2645"/>
      <c r="Q190" s="873"/>
      <c r="R190" s="3410"/>
      <c r="S190" s="3447"/>
      <c r="T190" s="3447"/>
      <c r="U190" s="3447"/>
      <c r="V190" s="3411"/>
    </row>
    <row r="191" spans="2:22" ht="13.5" customHeight="1">
      <c r="B191" s="110" t="s">
        <v>741</v>
      </c>
      <c r="C191" s="3412"/>
      <c r="D191" s="3413"/>
      <c r="E191" s="3413"/>
      <c r="F191" s="3414"/>
      <c r="G191" s="2646"/>
      <c r="H191" s="2646"/>
      <c r="I191" s="2646"/>
      <c r="J191" s="2646"/>
      <c r="K191" s="2647"/>
      <c r="L191" s="2646"/>
      <c r="M191" s="2646"/>
      <c r="N191" s="2646"/>
      <c r="O191" s="2646"/>
      <c r="P191" s="2646"/>
      <c r="Q191" s="873"/>
      <c r="R191" s="3402"/>
      <c r="S191" s="3443"/>
      <c r="T191" s="3443"/>
      <c r="U191" s="3443"/>
      <c r="V191" s="3403"/>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44"/>
      <c r="S192" s="3445"/>
      <c r="T192" s="3445"/>
      <c r="U192" s="3445"/>
      <c r="V192" s="3446"/>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45"/>
      <c r="H195" s="2645"/>
      <c r="I195" s="2645"/>
      <c r="J195" s="2645"/>
      <c r="K195" s="2648"/>
      <c r="L195" s="2645"/>
      <c r="M195" s="2645"/>
      <c r="N195" s="2645"/>
      <c r="O195" s="2645"/>
      <c r="P195" s="2645"/>
      <c r="Q195" s="873"/>
      <c r="R195" s="3410"/>
      <c r="S195" s="3447"/>
      <c r="T195" s="3447"/>
      <c r="U195" s="3447"/>
      <c r="V195" s="3411"/>
    </row>
    <row r="196" spans="2:22" ht="13.5" customHeight="1">
      <c r="B196" s="110" t="s">
        <v>741</v>
      </c>
      <c r="C196" s="3412"/>
      <c r="D196" s="3413"/>
      <c r="E196" s="3413"/>
      <c r="F196" s="3414"/>
      <c r="G196" s="2646"/>
      <c r="H196" s="2646"/>
      <c r="I196" s="2646"/>
      <c r="J196" s="2646"/>
      <c r="K196" s="2647"/>
      <c r="L196" s="2646"/>
      <c r="M196" s="2646"/>
      <c r="N196" s="2646"/>
      <c r="O196" s="2646"/>
      <c r="P196" s="2646"/>
      <c r="Q196" s="873"/>
      <c r="R196" s="3402"/>
      <c r="S196" s="3443"/>
      <c r="T196" s="3443"/>
      <c r="U196" s="3443"/>
      <c r="V196" s="3403"/>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444"/>
      <c r="S197" s="3445"/>
      <c r="T197" s="3445"/>
      <c r="U197" s="3445"/>
      <c r="V197" s="3446"/>
    </row>
    <row r="198" spans="2:22" ht="13.5" customHeight="1">
      <c r="B198" s="922" t="s">
        <v>3669</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5"/>
      <c r="H199" s="2645"/>
      <c r="I199" s="2645"/>
      <c r="J199" s="2645"/>
      <c r="K199" s="2648"/>
      <c r="L199" s="2645"/>
      <c r="M199" s="2645"/>
      <c r="N199" s="2645"/>
      <c r="O199" s="2645"/>
      <c r="P199" s="2645"/>
      <c r="Q199" s="873"/>
      <c r="R199" s="3410"/>
      <c r="S199" s="3447"/>
      <c r="T199" s="3447"/>
      <c r="U199" s="3447"/>
      <c r="V199" s="3411"/>
    </row>
    <row r="200" spans="2:22" ht="13.5" customHeight="1">
      <c r="B200" s="110" t="s">
        <v>741</v>
      </c>
      <c r="C200" s="3412"/>
      <c r="D200" s="3413"/>
      <c r="E200" s="3413"/>
      <c r="F200" s="3414"/>
      <c r="G200" s="2646"/>
      <c r="H200" s="2646"/>
      <c r="I200" s="2646"/>
      <c r="J200" s="2646"/>
      <c r="K200" s="2647"/>
      <c r="L200" s="2646"/>
      <c r="M200" s="2646"/>
      <c r="N200" s="2646"/>
      <c r="O200" s="2646"/>
      <c r="P200" s="2646"/>
      <c r="Q200" s="873"/>
      <c r="R200" s="3402"/>
      <c r="S200" s="3443"/>
      <c r="T200" s="3443"/>
      <c r="U200" s="3443"/>
      <c r="V200" s="3403"/>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44"/>
      <c r="S201" s="3445"/>
      <c r="T201" s="3445"/>
      <c r="U201" s="3445"/>
      <c r="V201" s="3446"/>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45"/>
      <c r="H204" s="2645"/>
      <c r="I204" s="2645"/>
      <c r="J204" s="2645"/>
      <c r="K204" s="2648"/>
      <c r="L204" s="89"/>
      <c r="M204" s="89"/>
      <c r="N204" s="89"/>
      <c r="O204" s="89"/>
      <c r="P204" s="89"/>
      <c r="Q204" s="7"/>
      <c r="R204" s="3410"/>
      <c r="S204" s="3447"/>
      <c r="T204" s="3447"/>
      <c r="U204" s="3447"/>
      <c r="V204" s="3411"/>
    </row>
    <row r="205" spans="2:22" ht="13.5" customHeight="1">
      <c r="B205" s="110" t="s">
        <v>741</v>
      </c>
      <c r="C205" s="3412"/>
      <c r="D205" s="3413"/>
      <c r="E205" s="3413"/>
      <c r="F205" s="3414"/>
      <c r="G205" s="2646"/>
      <c r="H205" s="2646"/>
      <c r="I205" s="2646"/>
      <c r="J205" s="2646"/>
      <c r="K205" s="2647"/>
      <c r="L205" s="89"/>
      <c r="M205" s="89"/>
      <c r="N205" s="89"/>
      <c r="O205" s="89"/>
      <c r="P205" s="89"/>
      <c r="Q205" s="7"/>
      <c r="R205" s="3402"/>
      <c r="S205" s="3443"/>
      <c r="T205" s="3443"/>
      <c r="U205" s="3443"/>
      <c r="V205" s="3403"/>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44"/>
      <c r="S206" s="3445"/>
      <c r="T206" s="3445"/>
      <c r="U206" s="3445"/>
      <c r="V206" s="3446"/>
    </row>
    <row r="207" spans="2:22" ht="13.5" customHeight="1">
      <c r="B207" s="922" t="s">
        <v>3669</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5"/>
      <c r="H208" s="2645"/>
      <c r="I208" s="2645"/>
      <c r="J208" s="2645"/>
      <c r="K208" s="2648"/>
      <c r="L208" s="89"/>
      <c r="M208" s="89"/>
      <c r="N208" s="89"/>
      <c r="O208" s="89"/>
      <c r="P208" s="89"/>
      <c r="Q208" s="7"/>
      <c r="R208" s="3410"/>
      <c r="S208" s="3447"/>
      <c r="T208" s="3447"/>
      <c r="U208" s="3447"/>
      <c r="V208" s="3411"/>
    </row>
    <row r="209" spans="1:492" ht="13.5" customHeight="1">
      <c r="B209" s="110" t="s">
        <v>741</v>
      </c>
      <c r="C209" s="3412"/>
      <c r="D209" s="3413"/>
      <c r="E209" s="3413"/>
      <c r="F209" s="3414"/>
      <c r="G209" s="2646"/>
      <c r="H209" s="2646"/>
      <c r="I209" s="2646"/>
      <c r="J209" s="2646"/>
      <c r="K209" s="2647"/>
      <c r="L209" s="89"/>
      <c r="M209" s="89"/>
      <c r="N209" s="89"/>
      <c r="O209" s="89"/>
      <c r="P209" s="89"/>
      <c r="Q209" s="7"/>
      <c r="R209" s="3402"/>
      <c r="S209" s="3443"/>
      <c r="T209" s="3443"/>
      <c r="U209" s="3443"/>
      <c r="V209" s="3403"/>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44"/>
      <c r="S210" s="3445"/>
      <c r="T210" s="3445"/>
      <c r="U210" s="3445"/>
      <c r="V210" s="3446"/>
    </row>
    <row r="211" spans="1:492" ht="2.25" customHeight="1">
      <c r="B211" s="12"/>
      <c r="F211" s="33"/>
      <c r="G211" s="33"/>
      <c r="J211" s="15"/>
      <c r="P211" s="7"/>
      <c r="Q211" s="7"/>
    </row>
    <row r="212" spans="1:492" s="90" customFormat="1" ht="11.25" customHeight="1">
      <c r="A212" s="3" t="s">
        <v>1792</v>
      </c>
      <c r="B212" s="2289" t="s">
        <v>1019</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410"/>
      <c r="S214" s="3447"/>
      <c r="T214" s="3447"/>
      <c r="U214" s="3447"/>
      <c r="V214" s="3411"/>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21">
        <v>25688</v>
      </c>
      <c r="G215" s="3422"/>
      <c r="H215" s="1"/>
      <c r="I215" s="1" t="s">
        <v>1378</v>
      </c>
      <c r="J215" s="1"/>
      <c r="K215" s="3421"/>
      <c r="L215" s="3422"/>
      <c r="M215" s="1"/>
      <c r="N215" s="1" t="s">
        <v>929</v>
      </c>
      <c r="O215" s="1"/>
      <c r="P215" s="2649">
        <v>37695</v>
      </c>
      <c r="Q215" s="873"/>
      <c r="R215" s="3402"/>
      <c r="S215" s="3443"/>
      <c r="T215" s="3443"/>
      <c r="U215" s="3443"/>
      <c r="V215" s="3403"/>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23">
        <v>23442</v>
      </c>
      <c r="G216" s="3424"/>
      <c r="H216" s="1"/>
      <c r="I216" s="1" t="s">
        <v>1379</v>
      </c>
      <c r="J216" s="1"/>
      <c r="K216" s="3425">
        <v>600</v>
      </c>
      <c r="L216" s="3426"/>
      <c r="M216" s="1"/>
      <c r="N216" s="1" t="s">
        <v>147</v>
      </c>
      <c r="O216" s="1"/>
      <c r="P216" s="2650">
        <v>13708</v>
      </c>
      <c r="Q216" s="873"/>
      <c r="R216" s="3402"/>
      <c r="S216" s="3443"/>
      <c r="T216" s="3443"/>
      <c r="U216" s="3443"/>
      <c r="V216" s="3403"/>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23"/>
      <c r="G217" s="3424"/>
      <c r="H217" s="1"/>
      <c r="I217" s="1"/>
      <c r="J217" s="122" t="s">
        <v>191</v>
      </c>
      <c r="K217" s="3435">
        <f>SUM(K215:L216)</f>
        <v>600</v>
      </c>
      <c r="L217" s="3436"/>
      <c r="M217" s="1"/>
      <c r="N217" s="3427" t="s">
        <v>5168</v>
      </c>
      <c r="O217" s="3428"/>
      <c r="P217" s="2651">
        <v>500</v>
      </c>
      <c r="Q217" s="873"/>
      <c r="R217" s="3402"/>
      <c r="S217" s="3443"/>
      <c r="T217" s="3443"/>
      <c r="U217" s="3443"/>
      <c r="V217" s="3403"/>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37" t="s">
        <v>5165</v>
      </c>
      <c r="C218" s="3438"/>
      <c r="D218" s="3438"/>
      <c r="E218" s="3439"/>
      <c r="F218" s="3425">
        <v>10000</v>
      </c>
      <c r="G218" s="3426"/>
      <c r="H218" s="1"/>
      <c r="I218" s="1"/>
      <c r="J218" s="1"/>
      <c r="K218" s="1"/>
      <c r="L218" s="1"/>
      <c r="M218" s="1"/>
      <c r="N218" s="10" t="s">
        <v>191</v>
      </c>
      <c r="O218" s="1"/>
      <c r="P218" s="405">
        <f>SUM(P215:P217)</f>
        <v>51903</v>
      </c>
      <c r="Q218" s="873"/>
      <c r="R218" s="3402"/>
      <c r="S218" s="3443"/>
      <c r="T218" s="3443"/>
      <c r="U218" s="3443"/>
      <c r="V218" s="3403"/>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35">
        <f>SUM(F215:G218)</f>
        <v>59130</v>
      </c>
      <c r="G219" s="3436"/>
      <c r="H219" s="1"/>
      <c r="I219" s="1"/>
      <c r="J219" s="11"/>
      <c r="K219" s="1"/>
      <c r="L219" s="1"/>
      <c r="M219" s="1"/>
      <c r="N219" s="1"/>
      <c r="O219" s="1"/>
      <c r="P219" s="1"/>
      <c r="Q219" s="1"/>
      <c r="R219" s="3402"/>
      <c r="S219" s="3443"/>
      <c r="T219" s="3443"/>
      <c r="U219" s="3443"/>
      <c r="V219" s="3403"/>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02"/>
      <c r="S220" s="3443"/>
      <c r="T220" s="3443"/>
      <c r="U220" s="3443"/>
      <c r="V220" s="3403"/>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23040</v>
      </c>
      <c r="Q221" s="874"/>
      <c r="R221" s="3402"/>
      <c r="S221" s="3443"/>
      <c r="T221" s="3443"/>
      <c r="U221" s="3443"/>
      <c r="V221" s="3403"/>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21">
        <v>1875</v>
      </c>
      <c r="G222" s="3422"/>
      <c r="H222" s="1"/>
      <c r="I222" s="1" t="s">
        <v>1602</v>
      </c>
      <c r="J222" s="1"/>
      <c r="K222" s="3431">
        <v>1200</v>
      </c>
      <c r="L222" s="3432"/>
      <c r="M222" s="1"/>
      <c r="N222" s="393">
        <f>+P221/(O67*0.93)</f>
        <v>516.12903225806451</v>
      </c>
      <c r="O222" s="66" t="s">
        <v>2756</v>
      </c>
      <c r="P222" s="1"/>
      <c r="Q222" s="1"/>
      <c r="R222" s="3402"/>
      <c r="S222" s="3443"/>
      <c r="T222" s="3443"/>
      <c r="U222" s="3443"/>
      <c r="V222" s="3403"/>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23">
        <v>4000</v>
      </c>
      <c r="G223" s="3424"/>
      <c r="H223" s="1"/>
      <c r="I223" s="1" t="s">
        <v>2049</v>
      </c>
      <c r="J223" s="1"/>
      <c r="K223" s="3433">
        <v>7000</v>
      </c>
      <c r="L223" s="3434"/>
      <c r="M223" s="1"/>
      <c r="N223" s="393">
        <f>+P221/(O67*0.93)/12</f>
        <v>43.01075268817204</v>
      </c>
      <c r="O223" s="66" t="s">
        <v>2757</v>
      </c>
      <c r="P223" s="1"/>
      <c r="Q223" s="1"/>
      <c r="R223" s="3402"/>
      <c r="S223" s="3443"/>
      <c r="T223" s="3443"/>
      <c r="U223" s="3443"/>
      <c r="V223" s="3403"/>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23"/>
      <c r="G224" s="3424"/>
      <c r="H224" s="1"/>
      <c r="I224" s="1" t="s">
        <v>1603</v>
      </c>
      <c r="J224" s="1"/>
      <c r="K224" s="3433">
        <v>1500</v>
      </c>
      <c r="L224" s="3434"/>
      <c r="M224" s="1"/>
      <c r="N224" s="35" t="s">
        <v>3726</v>
      </c>
      <c r="O224" s="972"/>
      <c r="P224" s="972"/>
      <c r="Q224" s="2305"/>
      <c r="R224" s="3402"/>
      <c r="S224" s="3443"/>
      <c r="T224" s="3443"/>
      <c r="U224" s="3443"/>
      <c r="V224" s="3403"/>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23"/>
      <c r="G225" s="3424"/>
      <c r="H225" s="1"/>
      <c r="I225" s="3427" t="s">
        <v>51</v>
      </c>
      <c r="J225" s="3428"/>
      <c r="K225" s="3429"/>
      <c r="L225" s="3430"/>
      <c r="M225" s="1"/>
      <c r="N225" s="972"/>
      <c r="O225" s="972"/>
      <c r="P225" s="972"/>
      <c r="Q225" s="2305"/>
      <c r="R225" s="3402"/>
      <c r="S225" s="3443"/>
      <c r="T225" s="3443"/>
      <c r="U225" s="3443"/>
      <c r="V225" s="3403"/>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23"/>
      <c r="G226" s="3424"/>
      <c r="H226" s="1"/>
      <c r="I226" s="9"/>
      <c r="J226" s="10" t="s">
        <v>191</v>
      </c>
      <c r="K226" s="3440">
        <f>SUM(K222:K225)</f>
        <v>9700</v>
      </c>
      <c r="L226" s="3441"/>
      <c r="M226" s="3442" t="str">
        <f>IF(P228="","",IF(P226&lt;P228, "WARNING! OE below required minimum.",""))</f>
        <v/>
      </c>
      <c r="N226" s="9" t="s">
        <v>2186</v>
      </c>
      <c r="O226" s="4"/>
      <c r="P226" s="403">
        <f>F219+F228+F239+K217+K226+K236+P218+P221</f>
        <v>216658</v>
      </c>
      <c r="R226" s="3402"/>
      <c r="S226" s="3443"/>
      <c r="T226" s="3443"/>
      <c r="U226" s="3443"/>
      <c r="V226" s="3403"/>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37" t="s">
        <v>5166</v>
      </c>
      <c r="C227" s="3438"/>
      <c r="D227" s="3438"/>
      <c r="E227" s="3439"/>
      <c r="F227" s="3425">
        <v>8310</v>
      </c>
      <c r="G227" s="3426"/>
      <c r="H227" s="1"/>
      <c r="I227" s="1"/>
      <c r="J227" s="11"/>
      <c r="K227" s="1"/>
      <c r="L227" s="1"/>
      <c r="M227" s="3442"/>
      <c r="N227" s="66" t="s">
        <v>2758</v>
      </c>
      <c r="O227" s="393">
        <f>+P226/O67</f>
        <v>4513.708333333333</v>
      </c>
      <c r="Q227" s="873"/>
      <c r="R227" s="3402"/>
      <c r="S227" s="3443"/>
      <c r="T227" s="3443"/>
      <c r="U227" s="3443"/>
      <c r="V227" s="3403"/>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35">
        <f>SUM(F222:G227)</f>
        <v>14185</v>
      </c>
      <c r="G228" s="3436"/>
      <c r="H228" s="1"/>
      <c r="I228" s="1"/>
      <c r="J228" s="11"/>
      <c r="K228" s="1"/>
      <c r="L228" s="1"/>
      <c r="M228" s="3442"/>
      <c r="O228" s="973" t="s">
        <v>3727</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180000</v>
      </c>
      <c r="R228" s="3402"/>
      <c r="S228" s="3443"/>
      <c r="T228" s="3443"/>
      <c r="U228" s="3443"/>
      <c r="V228" s="3403"/>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2"/>
      <c r="N229" s="1"/>
      <c r="O229" s="1"/>
      <c r="P229" s="4"/>
      <c r="Q229" s="4"/>
      <c r="R229" s="3402"/>
      <c r="S229" s="3443"/>
      <c r="T229" s="3443"/>
      <c r="U229" s="3443"/>
      <c r="V229" s="3403"/>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9" t="s">
        <v>5008</v>
      </c>
      <c r="K230" s="1"/>
      <c r="L230" s="1"/>
      <c r="M230" s="1"/>
      <c r="N230" s="9" t="s">
        <v>3481</v>
      </c>
      <c r="O230" s="9"/>
      <c r="P230" s="2652">
        <f>P239</f>
        <v>12000</v>
      </c>
      <c r="Q230" s="874"/>
      <c r="R230" s="3402"/>
      <c r="S230" s="3443"/>
      <c r="T230" s="3443"/>
      <c r="U230" s="3443"/>
      <c r="V230" s="3403"/>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54"/>
      <c r="G231" s="3455"/>
      <c r="H231" s="1"/>
      <c r="I231" s="1" t="s">
        <v>1368</v>
      </c>
      <c r="J231" s="460">
        <f>K231/12/O67</f>
        <v>26.041666666666668</v>
      </c>
      <c r="K231" s="3431">
        <v>15000</v>
      </c>
      <c r="L231" s="3432"/>
      <c r="M231" s="3450" t="str">
        <f>IF(P230&lt;P239, "WARNING! RR proposed is below the DCA required minimum.","")</f>
        <v/>
      </c>
      <c r="N231" s="995" t="s">
        <v>5007</v>
      </c>
      <c r="O231" s="990"/>
      <c r="P231" s="996">
        <f>P230/O239</f>
        <v>250</v>
      </c>
      <c r="Q231" s="2653"/>
      <c r="R231" s="3402"/>
      <c r="S231" s="3443"/>
      <c r="T231" s="3443"/>
      <c r="U231" s="3443"/>
      <c r="V231" s="3403"/>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56">
        <v>5000</v>
      </c>
      <c r="G232" s="3457"/>
      <c r="H232" s="1"/>
      <c r="I232" s="1" t="s">
        <v>1369</v>
      </c>
      <c r="J232" s="460">
        <f>K232/12/O67</f>
        <v>0</v>
      </c>
      <c r="K232" s="3433"/>
      <c r="L232" s="3434"/>
      <c r="M232" s="3450"/>
      <c r="N232" s="3451" t="s">
        <v>3734</v>
      </c>
      <c r="O232" s="3452"/>
      <c r="P232" s="3453"/>
      <c r="R232" s="3402"/>
      <c r="S232" s="3443"/>
      <c r="T232" s="3443"/>
      <c r="U232" s="3443"/>
      <c r="V232" s="3403"/>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56">
        <v>21000</v>
      </c>
      <c r="G233" s="3457"/>
      <c r="H233" s="1"/>
      <c r="I233" s="1" t="s">
        <v>2352</v>
      </c>
      <c r="J233" s="460">
        <f>K233/12/O67</f>
        <v>8.6805555555555554</v>
      </c>
      <c r="K233" s="3433">
        <v>5000</v>
      </c>
      <c r="L233" s="3434"/>
      <c r="M233" s="3450"/>
      <c r="N233" s="989" t="s">
        <v>2714</v>
      </c>
      <c r="O233" s="870" t="s">
        <v>3844</v>
      </c>
      <c r="P233" s="991" t="s">
        <v>3438</v>
      </c>
      <c r="Q233" s="870"/>
      <c r="R233" s="3402"/>
      <c r="S233" s="3443"/>
      <c r="T233" s="3443"/>
      <c r="U233" s="3443"/>
      <c r="V233" s="3403"/>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23">
        <v>4000</v>
      </c>
      <c r="G234" s="3424"/>
      <c r="H234" s="1"/>
      <c r="I234" s="1" t="s">
        <v>1371</v>
      </c>
      <c r="J234" s="1"/>
      <c r="K234" s="3433">
        <v>3900</v>
      </c>
      <c r="L234" s="3434"/>
      <c r="M234" s="3450"/>
      <c r="N234" s="627" t="s">
        <v>39</v>
      </c>
      <c r="O234" s="628"/>
      <c r="P234" s="629"/>
      <c r="Q234" s="628"/>
      <c r="R234" s="3402"/>
      <c r="S234" s="3443"/>
      <c r="T234" s="3443"/>
      <c r="U234" s="3443"/>
      <c r="V234" s="3403"/>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23">
        <v>2000</v>
      </c>
      <c r="G235" s="3424"/>
      <c r="H235" s="1"/>
      <c r="I235" s="3427" t="s">
        <v>5167</v>
      </c>
      <c r="J235" s="3428"/>
      <c r="K235" s="3429">
        <v>1200</v>
      </c>
      <c r="L235" s="3430"/>
      <c r="M235" s="3450"/>
      <c r="N235" s="492" t="s">
        <v>3430</v>
      </c>
      <c r="O235" s="876" t="str">
        <f>CONCATENATE(SUM(ME48:MI48)," units x $",'DCA Underwriting Assumptions'!$Q$64," =")</f>
        <v>0 units x $350 =</v>
      </c>
      <c r="P235" s="630">
        <f>SUM(ME48:MI48)*'DCA Underwriting Assumptions'!$Q$64</f>
        <v>0</v>
      </c>
      <c r="Q235" s="876"/>
      <c r="R235" s="3402"/>
      <c r="S235" s="3443"/>
      <c r="T235" s="3443"/>
      <c r="U235" s="3443"/>
      <c r="V235" s="3403"/>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23"/>
      <c r="G236" s="3424"/>
      <c r="H236" s="1"/>
      <c r="I236" s="1"/>
      <c r="J236" s="10" t="s">
        <v>191</v>
      </c>
      <c r="K236" s="3440">
        <f>SUM(K231:K235)</f>
        <v>25100</v>
      </c>
      <c r="L236" s="3441"/>
      <c r="M236" s="3450"/>
      <c r="N236" s="492" t="s">
        <v>3429</v>
      </c>
      <c r="O236" s="876" t="str">
        <f>CONCATENATE(SUM(MJ48:MN48)," units x $",'DCA Underwriting Assumptions'!$Q$65," =")</f>
        <v>48 units x $250 =</v>
      </c>
      <c r="P236" s="630">
        <f>SUM(MJ48:MN48)*'DCA Underwriting Assumptions'!$Q$65</f>
        <v>12000</v>
      </c>
      <c r="Q236" s="876"/>
      <c r="R236" s="3402"/>
      <c r="S236" s="3443"/>
      <c r="T236" s="3443"/>
      <c r="U236" s="3443"/>
      <c r="V236" s="3403"/>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23">
        <v>1000</v>
      </c>
      <c r="G237" s="3424"/>
      <c r="H237" s="1"/>
      <c r="I237" s="1"/>
      <c r="J237" s="11"/>
      <c r="K237" s="1"/>
      <c r="L237" s="1"/>
      <c r="M237" s="3450"/>
      <c r="N237" s="631" t="s">
        <v>3433</v>
      </c>
      <c r="O237" s="876" t="str">
        <f>CONCATENATE(SUM(MO48:MS48)," units x $",'DCA Underwriting Assumptions'!$Q$66," =")</f>
        <v>0 units x $420 =</v>
      </c>
      <c r="P237" s="630">
        <f>SUM(MO48:MS48)*'DCA Underwriting Assumptions'!$Q$66</f>
        <v>0</v>
      </c>
      <c r="Q237" s="876"/>
      <c r="R237" s="3402"/>
      <c r="S237" s="3443"/>
      <c r="T237" s="3443"/>
      <c r="U237" s="3443"/>
      <c r="V237" s="3403"/>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37" t="s">
        <v>51</v>
      </c>
      <c r="C238" s="3438"/>
      <c r="D238" s="3438"/>
      <c r="E238" s="3439"/>
      <c r="F238" s="3425"/>
      <c r="G238" s="3426"/>
      <c r="H238" s="1"/>
      <c r="I238" s="1"/>
      <c r="J238" s="11"/>
      <c r="K238" s="1"/>
      <c r="L238" s="1"/>
      <c r="M238" s="1"/>
      <c r="N238" s="631" t="s">
        <v>3428</v>
      </c>
      <c r="O238" s="876" t="str">
        <f>CONCATENATE(O113," units x $",'DCA Underwriting Assumptions'!$Q$66," =")</f>
        <v>0 units x $420 =</v>
      </c>
      <c r="P238" s="630">
        <f>O113*'DCA Underwriting Assumptions'!$Q$66</f>
        <v>0</v>
      </c>
      <c r="Q238" s="876"/>
      <c r="R238" s="3402"/>
      <c r="S238" s="3443"/>
      <c r="T238" s="3443"/>
      <c r="U238" s="3443"/>
      <c r="V238" s="3403"/>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48">
        <f>SUM(F231:G238)</f>
        <v>33000</v>
      </c>
      <c r="G239" s="3449"/>
      <c r="H239" s="1"/>
      <c r="I239" s="1"/>
      <c r="J239" s="11"/>
      <c r="K239" s="1"/>
      <c r="L239" s="1"/>
      <c r="M239" s="1"/>
      <c r="N239" s="992" t="s">
        <v>2717</v>
      </c>
      <c r="O239" s="993">
        <f>SUM(ME48:MI48)+SUM(MJ48:MN48)+SUM(MO48:MS48)+O113</f>
        <v>48</v>
      </c>
      <c r="P239" s="994">
        <f>SUM(P235:P238)</f>
        <v>12000</v>
      </c>
      <c r="Q239" s="876"/>
      <c r="R239" s="3444"/>
      <c r="S239" s="3445"/>
      <c r="T239" s="3445"/>
      <c r="U239" s="3445"/>
      <c r="V239" s="3446"/>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228658</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4993</v>
      </c>
      <c r="C243" s="10"/>
      <c r="D243" s="1"/>
      <c r="E243" s="1"/>
      <c r="F243" s="2163" t="s">
        <v>4994</v>
      </c>
      <c r="G243" s="11"/>
      <c r="H243" s="3380"/>
      <c r="I243" s="3381"/>
      <c r="J243" s="2248" t="s">
        <v>5068</v>
      </c>
      <c r="K243" s="2654"/>
      <c r="N243" s="9" t="s">
        <v>4997</v>
      </c>
      <c r="O243" s="1"/>
      <c r="P243" s="2655">
        <f>H243*K243</f>
        <v>0</v>
      </c>
      <c r="Q243" s="873"/>
      <c r="R243" s="3465"/>
      <c r="S243" s="3466"/>
      <c r="T243" s="3466"/>
      <c r="U243" s="3466"/>
      <c r="V243" s="3467"/>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5069</v>
      </c>
      <c r="C245" s="10"/>
      <c r="D245" s="1"/>
      <c r="E245" s="1"/>
      <c r="F245" s="11"/>
      <c r="G245" s="11"/>
      <c r="H245" s="1"/>
      <c r="I245" s="2581" t="s">
        <v>1771</v>
      </c>
      <c r="J245" s="2163" t="s">
        <v>5071</v>
      </c>
      <c r="K245" s="2581" t="s">
        <v>1771</v>
      </c>
      <c r="L245" s="72" t="s">
        <v>5072</v>
      </c>
      <c r="M245" s="2654"/>
      <c r="N245" s="469" t="s">
        <v>5070</v>
      </c>
      <c r="O245" s="1"/>
      <c r="P245" s="2656"/>
      <c r="Q245" s="873"/>
      <c r="R245" s="3465"/>
      <c r="S245" s="3466"/>
      <c r="T245" s="3466"/>
      <c r="U245" s="3466"/>
      <c r="V245" s="3467"/>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4101</v>
      </c>
      <c r="B247" s="12" t="s">
        <v>572</v>
      </c>
      <c r="M247" s="12" t="s">
        <v>4992</v>
      </c>
      <c r="N247" s="12"/>
    </row>
    <row r="248" spans="1:492" ht="408.75" customHeight="1">
      <c r="A248" s="3171" t="s">
        <v>5281</v>
      </c>
      <c r="B248" s="3171"/>
      <c r="C248" s="3171"/>
      <c r="D248" s="3171"/>
      <c r="E248" s="3171"/>
      <c r="F248" s="3171"/>
      <c r="G248" s="3171"/>
      <c r="H248" s="3171"/>
      <c r="I248" s="3171"/>
      <c r="J248" s="3171"/>
      <c r="K248" s="3171"/>
      <c r="L248" s="3171"/>
      <c r="M248" s="3170"/>
      <c r="N248" s="3170"/>
      <c r="O248" s="3170"/>
      <c r="P248" s="3170"/>
      <c r="Q248" s="3459" t="s">
        <v>4100</v>
      </c>
      <c r="R248" s="2765"/>
      <c r="S248" s="2765"/>
      <c r="T248" s="2765"/>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Xhgy7mX7TL0ln2V2AYby5gRn1JOLW1cgptOyQNhyQ6q4VH654j89lzf84nMbYhUiw+67cEWFnJTH4N5dAoVy3w==" saltValue="gSXfvhwEb6U6spD0nWm1mg=="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5" priority="26" stopIfTrue="1" operator="greaterThan">
      <formula>0</formula>
    </cfRule>
  </conditionalFormatting>
  <conditionalFormatting sqref="O173">
    <cfRule type="cellIs" dxfId="114" priority="23" operator="greaterThan">
      <formula>0.02</formula>
    </cfRule>
  </conditionalFormatting>
  <conditionalFormatting sqref="P10:P47">
    <cfRule type="expression" dxfId="113" priority="21">
      <formula>AND($O$10="New Construction",$P$10="Yes")</formula>
    </cfRule>
  </conditionalFormatting>
  <conditionalFormatting sqref="J71:O77">
    <cfRule type="cellIs" dxfId="112" priority="20" stopIfTrue="1" operator="equal">
      <formula>0</formula>
    </cfRule>
  </conditionalFormatting>
  <conditionalFormatting sqref="J56:O67 J81:O142 J144:O156">
    <cfRule type="cellIs" dxfId="111" priority="17" operator="equal">
      <formula>0</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xWindow="1169" yWindow="475"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475" t="str">
        <f>CONCATENATE("PART SEVEN - OPERATING PRO FORMA","  -  ",'Part I-Project Information'!$O$6," ",'Part I-Project Information'!$F$34,", ",'Part I-Project Information'!F38,", ",'Part I-Project Information'!J39," County")</f>
        <v>PART SEVEN - OPERATING PRO FORMA  -  2019-060 Dulles Park II, Gray, Jones County</v>
      </c>
      <c r="B1" s="3476"/>
      <c r="C1" s="3476"/>
      <c r="D1" s="3476"/>
      <c r="E1" s="3476"/>
      <c r="F1" s="3476"/>
      <c r="G1" s="3476"/>
      <c r="H1" s="3476"/>
      <c r="I1" s="3476"/>
      <c r="J1" s="3476"/>
      <c r="K1" s="3477"/>
      <c r="L1" s="9"/>
      <c r="M1" s="9"/>
      <c r="N1" s="3478" t="str">
        <f>A1</f>
        <v>PART SEVEN - OPERATING PRO FORMA  -  2019-060 Dulles Park II, Gray, Jones County</v>
      </c>
      <c r="O1" s="3478"/>
      <c r="P1" s="9"/>
    </row>
    <row r="2" spans="1:19" ht="13.5" customHeight="1">
      <c r="A2" s="489"/>
      <c r="B2" s="489"/>
      <c r="C2" s="489"/>
      <c r="D2" s="489"/>
      <c r="E2" s="489"/>
      <c r="F2" s="489"/>
      <c r="G2" s="489"/>
      <c r="H2" s="489"/>
      <c r="I2" s="489"/>
      <c r="J2" s="489"/>
      <c r="K2" s="489"/>
      <c r="N2" s="3479" t="s">
        <v>1845</v>
      </c>
      <c r="O2" s="3479"/>
    </row>
    <row r="3" spans="1:19" ht="13.5" customHeight="1">
      <c r="A3" s="12" t="s">
        <v>90</v>
      </c>
      <c r="C3" s="3480" t="str">
        <f>'Part I-Project Information'!$B$6</f>
        <v>May 2019</v>
      </c>
      <c r="D3" s="1220" t="s">
        <v>80</v>
      </c>
      <c r="E3" s="217"/>
      <c r="F3" s="1221" t="s">
        <v>4176</v>
      </c>
      <c r="N3" s="12" t="str">
        <f>A3</f>
        <v>I.  OPERATING ASSUMPTIONS</v>
      </c>
      <c r="O3" s="30"/>
    </row>
    <row r="4" spans="1:19" ht="2.7" customHeight="1">
      <c r="A4" s="15"/>
      <c r="B4" s="15"/>
      <c r="C4" s="3480"/>
      <c r="H4" s="15"/>
      <c r="I4" s="15"/>
    </row>
    <row r="5" spans="1:19" ht="13.5" customHeight="1">
      <c r="A5" s="15" t="s">
        <v>2188</v>
      </c>
      <c r="B5" s="77">
        <v>0.02</v>
      </c>
      <c r="C5" s="3480"/>
      <c r="D5" s="3416" t="s">
        <v>4177</v>
      </c>
      <c r="E5" s="3416"/>
      <c r="F5" s="3416"/>
      <c r="G5" s="2657">
        <v>5000</v>
      </c>
      <c r="H5" s="96" t="s">
        <v>1907</v>
      </c>
      <c r="K5" s="101">
        <f>IF(($B$14+$B$15+$B$16+$B$17)=0,"",B30/($B$14+$B$15+$B$16+$B$17))</f>
        <v>-1.7298511258568603E-2</v>
      </c>
      <c r="N5" s="3410"/>
      <c r="O5" s="3411"/>
    </row>
    <row r="6" spans="1:19">
      <c r="A6" s="15" t="s">
        <v>2189</v>
      </c>
      <c r="B6" s="77">
        <v>0.03</v>
      </c>
      <c r="C6" s="3480"/>
      <c r="D6" s="3416"/>
      <c r="E6" s="3416"/>
      <c r="F6" s="3416"/>
      <c r="G6" s="1222">
        <f>IF(OR('Part III-Sources of Funds'!E5="Yes",'Part III-Sources of Funds'!H5&gt;0),'DCA Underwriting Assumptions'!$Q$96,0)</f>
        <v>0</v>
      </c>
      <c r="H6" s="15"/>
      <c r="I6" s="15"/>
      <c r="J6" s="15"/>
      <c r="K6" s="15"/>
      <c r="N6" s="3402"/>
      <c r="O6" s="3403"/>
    </row>
    <row r="7" spans="1:19">
      <c r="A7" s="15" t="s">
        <v>2191</v>
      </c>
      <c r="B7" s="77">
        <v>0.03</v>
      </c>
      <c r="C7" s="3480"/>
      <c r="D7" s="79" t="s">
        <v>270</v>
      </c>
      <c r="G7" s="81"/>
      <c r="H7" s="96" t="s">
        <v>2374</v>
      </c>
      <c r="K7" s="101">
        <f>IF(($B$14+$B$15+$B$16+$B$17)=0,"",-B21/($B$14+$B$15+$B$16+$B$17))</f>
        <v>7.9711539879484122E-2</v>
      </c>
      <c r="N7" s="3402"/>
      <c r="O7" s="3403"/>
    </row>
    <row r="8" spans="1:19" ht="13.2" customHeight="1">
      <c r="A8" s="15" t="s">
        <v>2190</v>
      </c>
      <c r="B8" s="2658">
        <v>7.0000000000000007E-2</v>
      </c>
      <c r="C8" s="2154" t="str">
        <f>IF(B8&lt;0.07, "Must be &gt;= 7%!","")</f>
        <v/>
      </c>
      <c r="D8" s="78" t="s">
        <v>2508</v>
      </c>
      <c r="G8" s="2659" t="s">
        <v>2990</v>
      </c>
      <c r="H8" s="163" t="s">
        <v>1444</v>
      </c>
      <c r="K8" s="2660">
        <v>23040</v>
      </c>
      <c r="N8" s="3402"/>
      <c r="O8" s="3403"/>
    </row>
    <row r="9" spans="1:19">
      <c r="A9" s="15" t="s">
        <v>1418</v>
      </c>
      <c r="B9" s="77">
        <v>0.02</v>
      </c>
      <c r="D9" s="78" t="s">
        <v>1718</v>
      </c>
      <c r="G9" s="2661"/>
      <c r="H9" s="163" t="s">
        <v>2356</v>
      </c>
      <c r="K9" s="2662"/>
      <c r="N9" s="3444"/>
      <c r="O9" s="3446"/>
    </row>
    <row r="10" spans="1:19" ht="9" customHeight="1"/>
    <row r="11" spans="1:19">
      <c r="A11" s="12" t="s">
        <v>91</v>
      </c>
      <c r="D11" s="1084"/>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52" t="s">
        <v>2624</v>
      </c>
      <c r="O13" s="3052"/>
    </row>
    <row r="14" spans="1:19" ht="13.2" customHeight="1">
      <c r="A14" s="17" t="s">
        <v>2404</v>
      </c>
      <c r="B14" s="18">
        <f>'Part VI-Revenues &amp; Expenses'!$L$49</f>
        <v>304704</v>
      </c>
      <c r="C14" s="18">
        <f t="shared" ref="C14:K14" si="1">$B$14*(1+$B$5)^(C13-1)</f>
        <v>310798.08000000002</v>
      </c>
      <c r="D14" s="18">
        <f t="shared" si="1"/>
        <v>317014.0416</v>
      </c>
      <c r="E14" s="18">
        <f t="shared" si="1"/>
        <v>323354.32243199996</v>
      </c>
      <c r="F14" s="18">
        <f t="shared" si="1"/>
        <v>329821.40888064</v>
      </c>
      <c r="G14" s="18">
        <f t="shared" si="1"/>
        <v>336417.83705825283</v>
      </c>
      <c r="H14" s="18">
        <f t="shared" si="1"/>
        <v>343146.19379941787</v>
      </c>
      <c r="I14" s="18">
        <f t="shared" si="1"/>
        <v>350009.11767540616</v>
      </c>
      <c r="J14" s="18">
        <f t="shared" si="1"/>
        <v>357009.30002891429</v>
      </c>
      <c r="K14" s="19">
        <f t="shared" si="1"/>
        <v>364149.48602949257</v>
      </c>
      <c r="N14" s="3410"/>
      <c r="O14" s="3411"/>
      <c r="S14" s="3471" t="s">
        <v>4182</v>
      </c>
    </row>
    <row r="15" spans="1:19" ht="13.2" customHeight="1">
      <c r="A15" s="20" t="s">
        <v>1016</v>
      </c>
      <c r="B15" s="21">
        <f>MIN(B14*B9,'Part VI-Revenues &amp; Expenses'!$H$173)</f>
        <v>6094.08</v>
      </c>
      <c r="C15" s="21">
        <f t="shared" ref="C15:K15" si="2">$B$15*(1+$B$5)^(C13-1)</f>
        <v>6215.9615999999996</v>
      </c>
      <c r="D15" s="21">
        <f t="shared" si="2"/>
        <v>6340.2808319999995</v>
      </c>
      <c r="E15" s="21">
        <f t="shared" si="2"/>
        <v>6467.0864486399996</v>
      </c>
      <c r="F15" s="21">
        <f t="shared" si="2"/>
        <v>6596.4281776128</v>
      </c>
      <c r="G15" s="21">
        <f t="shared" si="2"/>
        <v>6728.3567411650556</v>
      </c>
      <c r="H15" s="21">
        <f t="shared" si="2"/>
        <v>6862.9238759883574</v>
      </c>
      <c r="I15" s="21">
        <f t="shared" si="2"/>
        <v>7000.182353508123</v>
      </c>
      <c r="J15" s="21">
        <f t="shared" si="2"/>
        <v>7140.1860005782864</v>
      </c>
      <c r="K15" s="22">
        <f t="shared" si="2"/>
        <v>7282.9897205898524</v>
      </c>
      <c r="N15" s="3402"/>
      <c r="O15" s="3403"/>
      <c r="S15" s="3472"/>
    </row>
    <row r="16" spans="1:19" ht="13.2" customHeight="1">
      <c r="A16" s="20" t="s">
        <v>2405</v>
      </c>
      <c r="B16" s="21">
        <f t="shared" ref="B16:K16" si="3">-(B14+B15)*$B$8</f>
        <v>-21755.865600000005</v>
      </c>
      <c r="C16" s="21">
        <f t="shared" si="3"/>
        <v>-22190.982912000003</v>
      </c>
      <c r="D16" s="21">
        <f t="shared" si="3"/>
        <v>-22634.802570240005</v>
      </c>
      <c r="E16" s="21">
        <f t="shared" si="3"/>
        <v>-23087.498621644798</v>
      </c>
      <c r="F16" s="21">
        <f t="shared" si="3"/>
        <v>-23549.248594077697</v>
      </c>
      <c r="G16" s="21">
        <f t="shared" si="3"/>
        <v>-24020.233565959254</v>
      </c>
      <c r="H16" s="21">
        <f t="shared" si="3"/>
        <v>-24500.638237278439</v>
      </c>
      <c r="I16" s="21">
        <f t="shared" si="3"/>
        <v>-24990.651002024002</v>
      </c>
      <c r="J16" s="21">
        <f t="shared" si="3"/>
        <v>-25490.464022064483</v>
      </c>
      <c r="K16" s="22">
        <f t="shared" si="3"/>
        <v>-26000.273302505771</v>
      </c>
      <c r="N16" s="3402"/>
      <c r="O16" s="3403"/>
      <c r="Q16" s="3474" t="s">
        <v>3878</v>
      </c>
      <c r="R16" s="3474" t="s">
        <v>4181</v>
      </c>
      <c r="S16" s="3472"/>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02"/>
      <c r="O17" s="3403"/>
      <c r="Q17" s="3474"/>
      <c r="R17" s="3474"/>
      <c r="S17" s="3473"/>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02"/>
      <c r="O18" s="3403"/>
    </row>
    <row r="19" spans="1:19" ht="13.2" customHeight="1">
      <c r="A19" s="420" t="s">
        <v>4934</v>
      </c>
      <c r="B19" s="21">
        <f>SUM(B14:B18)</f>
        <v>289042.2144</v>
      </c>
      <c r="C19" s="21">
        <f t="shared" ref="C19:K19" si="4">SUM(C14:C18)</f>
        <v>294823.05868800002</v>
      </c>
      <c r="D19" s="21">
        <f t="shared" si="4"/>
        <v>300719.51986176003</v>
      </c>
      <c r="E19" s="21">
        <f t="shared" si="4"/>
        <v>306733.91025899514</v>
      </c>
      <c r="F19" s="21">
        <f t="shared" si="4"/>
        <v>312868.58846417506</v>
      </c>
      <c r="G19" s="21">
        <f t="shared" si="4"/>
        <v>319125.96023345861</v>
      </c>
      <c r="H19" s="21">
        <f t="shared" si="4"/>
        <v>325508.47943812778</v>
      </c>
      <c r="I19" s="21">
        <f t="shared" si="4"/>
        <v>332018.64902689029</v>
      </c>
      <c r="J19" s="21">
        <f t="shared" si="4"/>
        <v>338659.02200742811</v>
      </c>
      <c r="K19" s="22">
        <f t="shared" si="4"/>
        <v>345432.20244757662</v>
      </c>
      <c r="N19" s="3402"/>
      <c r="O19" s="3403"/>
    </row>
    <row r="20" spans="1:19" ht="13.2" customHeight="1">
      <c r="A20" s="20" t="s">
        <v>614</v>
      </c>
      <c r="B20" s="21">
        <f>-('Part VI-Revenues &amp; Expenses'!$P$226-'Part VI-Revenues &amp; Expenses'!$P$221)</f>
        <v>-193618</v>
      </c>
      <c r="C20" s="21">
        <f t="shared" ref="C20:K20" si="5">$B$20*(1+$B$6)^(C13-1)</f>
        <v>-199426.54</v>
      </c>
      <c r="D20" s="21">
        <f t="shared" si="5"/>
        <v>-205409.33619999999</v>
      </c>
      <c r="E20" s="21">
        <f t="shared" si="5"/>
        <v>-211571.616286</v>
      </c>
      <c r="F20" s="21">
        <f t="shared" si="5"/>
        <v>-217918.76477457999</v>
      </c>
      <c r="G20" s="21">
        <f t="shared" si="5"/>
        <v>-224456.32771781736</v>
      </c>
      <c r="H20" s="21">
        <f t="shared" si="5"/>
        <v>-231190.01754935191</v>
      </c>
      <c r="I20" s="21">
        <f t="shared" si="5"/>
        <v>-238125.71807583247</v>
      </c>
      <c r="J20" s="21">
        <f t="shared" si="5"/>
        <v>-245269.48961810741</v>
      </c>
      <c r="K20" s="22">
        <f t="shared" si="5"/>
        <v>-252627.57430665064</v>
      </c>
      <c r="N20" s="3402"/>
      <c r="O20" s="3403"/>
      <c r="Q20" s="61">
        <v>1</v>
      </c>
      <c r="R20" s="1092">
        <f>-B31</f>
        <v>11295</v>
      </c>
      <c r="S20" s="1092">
        <f>B32+R20</f>
        <v>55384.214399999997</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-23040</v>
      </c>
      <c r="C21" s="21">
        <f>IF(AND('Part VII-Pro Forma'!$G$8="Yes",'Part VII-Pro Forma'!$G$9="Yes"),"Choose One!",IF('Part VII-Pro Forma'!$G$8="Yes",ROUND((-$K$8*(1+'Part VII-Pro Forma'!$B$6)^('Part VII-Pro Forma'!C13-1)),),IF('Part VII-Pro Forma'!$G$9="Yes",ROUND((-(SUM(C14:C17)*'Part VII-Pro Forma'!$K$9)),),"Choose mgt fee")))</f>
        <v>-23731</v>
      </c>
      <c r="D21" s="21">
        <f>IF(AND('Part VII-Pro Forma'!$G$8="Yes",'Part VII-Pro Forma'!$G$9="Yes"),"Choose One!",IF('Part VII-Pro Forma'!$G$8="Yes",ROUND((-$K$8*(1+'Part VII-Pro Forma'!$B$6)^('Part VII-Pro Forma'!D13-1)),),IF('Part VII-Pro Forma'!$G$9="Yes",ROUND((-(SUM(D14:D17)*'Part VII-Pro Forma'!$K$9)),),"Choose mgt fee")))</f>
        <v>-24443</v>
      </c>
      <c r="E21" s="21">
        <f>IF(AND('Part VII-Pro Forma'!$G$8="Yes",'Part VII-Pro Forma'!$G$9="Yes"),"Choose One!",IF('Part VII-Pro Forma'!$G$8="Yes",ROUND((-$K$8*(1+'Part VII-Pro Forma'!$B$6)^('Part VII-Pro Forma'!E13-1)),),IF('Part VII-Pro Forma'!$G$9="Yes",ROUND((-(SUM(E14:E17)*'Part VII-Pro Forma'!$K$9)),),"Choose mgt fee")))</f>
        <v>-25176</v>
      </c>
      <c r="F21" s="21">
        <f>IF(AND('Part VII-Pro Forma'!$G$8="Yes",'Part VII-Pro Forma'!$G$9="Yes"),"Choose One!",IF('Part VII-Pro Forma'!$G$8="Yes",ROUND((-$K$8*(1+'Part VII-Pro Forma'!$B$6)^('Part VII-Pro Forma'!F13-1)),),IF('Part VII-Pro Forma'!$G$9="Yes",ROUND((-(SUM(F14:F17)*'Part VII-Pro Forma'!$K$9)),),"Choose mgt fee")))</f>
        <v>-25932</v>
      </c>
      <c r="G21" s="21">
        <f>IF(AND('Part VII-Pro Forma'!$G$8="Yes",'Part VII-Pro Forma'!$G$9="Yes"),"Choose One!",IF('Part VII-Pro Forma'!$G$8="Yes",ROUND((-$K$8*(1+'Part VII-Pro Forma'!$B$6)^('Part VII-Pro Forma'!G13-1)),),IF('Part VII-Pro Forma'!$G$9="Yes",ROUND((-(SUM(G14:G17)*'Part VII-Pro Forma'!$K$9)),),"Choose mgt fee")))</f>
        <v>-26710</v>
      </c>
      <c r="H21" s="21">
        <f>IF(AND('Part VII-Pro Forma'!$G$8="Yes",'Part VII-Pro Forma'!$G$9="Yes"),"Choose One!",IF('Part VII-Pro Forma'!$G$8="Yes",ROUND((-$K$8*(1+'Part VII-Pro Forma'!$B$6)^('Part VII-Pro Forma'!H13-1)),),IF('Part VII-Pro Forma'!$G$9="Yes",ROUND((-(SUM(H14:H17)*'Part VII-Pro Forma'!$K$9)),),"Choose mgt fee")))</f>
        <v>-27511</v>
      </c>
      <c r="I21" s="21">
        <f>IF(AND('Part VII-Pro Forma'!$G$8="Yes",'Part VII-Pro Forma'!$G$9="Yes"),"Choose One!",IF('Part VII-Pro Forma'!$G$8="Yes",ROUND((-$K$8*(1+'Part VII-Pro Forma'!$B$6)^('Part VII-Pro Forma'!I13-1)),),IF('Part VII-Pro Forma'!$G$9="Yes",ROUND((-(SUM(I14:I17)*'Part VII-Pro Forma'!$K$9)),),"Choose mgt fee")))</f>
        <v>-28336</v>
      </c>
      <c r="J21" s="21">
        <f>IF(AND('Part VII-Pro Forma'!$G$8="Yes",'Part VII-Pro Forma'!$G$9="Yes"),"Choose One!",IF('Part VII-Pro Forma'!$G$8="Yes",ROUND((-$K$8*(1+'Part VII-Pro Forma'!$B$6)^('Part VII-Pro Forma'!J13-1)),),IF('Part VII-Pro Forma'!$G$9="Yes",ROUND((-(SUM(J14:J17)*'Part VII-Pro Forma'!$K$9)),),"Choose mgt fee")))</f>
        <v>-29186</v>
      </c>
      <c r="K21" s="22">
        <f>IF(AND('Part VII-Pro Forma'!$G$8="Yes",'Part VII-Pro Forma'!$G$9="Yes"),"Choose One!",IF('Part VII-Pro Forma'!$G$8="Yes",ROUND((-$K$8*(1+'Part VII-Pro Forma'!$B$6)^('Part VII-Pro Forma'!K13-1)),),IF('Part VII-Pro Forma'!$G$9="Yes",ROUND((-(SUM(K14:K17)*'Part VII-Pro Forma'!$K$9)),),"Choose mgt fee")))</f>
        <v>-30062</v>
      </c>
      <c r="N21" s="3402"/>
      <c r="O21" s="3403"/>
      <c r="Q21" s="61">
        <v>2</v>
      </c>
      <c r="R21" s="1092">
        <f>-SUM(B31:C31)</f>
        <v>11295</v>
      </c>
      <c r="S21" s="1092">
        <f>SUM(B32:C32)+R21</f>
        <v>109689.73308800001</v>
      </c>
    </row>
    <row r="22" spans="1:19" ht="13.2" customHeight="1">
      <c r="A22" s="20" t="s">
        <v>1202</v>
      </c>
      <c r="B22" s="21">
        <f>-('Part VI-Revenues &amp; Expenses'!$P$230)</f>
        <v>-12000</v>
      </c>
      <c r="C22" s="21">
        <f t="shared" ref="C22:K22" si="6">$B$22*(1+$B$7)^(C13-1)</f>
        <v>-12360</v>
      </c>
      <c r="D22" s="21">
        <f t="shared" si="6"/>
        <v>-12730.8</v>
      </c>
      <c r="E22" s="21">
        <f t="shared" si="6"/>
        <v>-13112.724</v>
      </c>
      <c r="F22" s="21">
        <f t="shared" si="6"/>
        <v>-13506.10572</v>
      </c>
      <c r="G22" s="21">
        <f t="shared" si="6"/>
        <v>-13911.288891599997</v>
      </c>
      <c r="H22" s="21">
        <f t="shared" si="6"/>
        <v>-14328.627558347998</v>
      </c>
      <c r="I22" s="21">
        <f t="shared" si="6"/>
        <v>-14758.48638509844</v>
      </c>
      <c r="J22" s="21">
        <f t="shared" si="6"/>
        <v>-15201.240976651392</v>
      </c>
      <c r="K22" s="22">
        <f t="shared" si="6"/>
        <v>-15657.278205950934</v>
      </c>
      <c r="N22" s="3402"/>
      <c r="O22" s="3403"/>
      <c r="Q22" s="61">
        <v>3</v>
      </c>
      <c r="R22" s="1092">
        <f>-SUM(B31:D31)</f>
        <v>11295</v>
      </c>
      <c r="S22" s="1092">
        <f>SUM(B32:D32)+R22</f>
        <v>162826.11674976005</v>
      </c>
    </row>
    <row r="23" spans="1:19" ht="13.2" customHeight="1">
      <c r="A23" s="420" t="s">
        <v>4933</v>
      </c>
      <c r="B23" s="2663">
        <f>IF(B13&lt;=+'Part VI-Revenues &amp; Expenses'!$K$243,-'Part VI-Revenues &amp; Expenses'!$H$243,0)</f>
        <v>0</v>
      </c>
      <c r="C23" s="2663">
        <f>IF(C13&lt;=+'Part VI-Revenues &amp; Expenses'!$K$243,-'Part VI-Revenues &amp; Expenses'!$H$243,0)</f>
        <v>0</v>
      </c>
      <c r="D23" s="2663">
        <f>IF(D13&lt;=+'Part VI-Revenues &amp; Expenses'!$K$243,-'Part VI-Revenues &amp; Expenses'!$H$243,0)</f>
        <v>0</v>
      </c>
      <c r="E23" s="2663">
        <f>IF(E13&lt;=+'Part VI-Revenues &amp; Expenses'!$K$243,-'Part VI-Revenues &amp; Expenses'!$H$243,0)</f>
        <v>0</v>
      </c>
      <c r="F23" s="2663">
        <f>IF(F13&lt;=+'Part VI-Revenues &amp; Expenses'!$K$243,-'Part VI-Revenues &amp; Expenses'!$H$243,0)</f>
        <v>0</v>
      </c>
      <c r="G23" s="2663">
        <f>IF(G13&lt;=+'Part VI-Revenues &amp; Expenses'!$K$243,-'Part VI-Revenues &amp; Expenses'!$H$243,0)</f>
        <v>0</v>
      </c>
      <c r="H23" s="2663">
        <f>IF(H13&lt;=+'Part VI-Revenues &amp; Expenses'!$K$243,-'Part VI-Revenues &amp; Expenses'!$H$243,0)</f>
        <v>0</v>
      </c>
      <c r="I23" s="2663">
        <f>IF(I13&lt;=+'Part VI-Revenues &amp; Expenses'!$K$243,-'Part VI-Revenues &amp; Expenses'!$H$243,0)</f>
        <v>0</v>
      </c>
      <c r="J23" s="2663">
        <f>IF(J13&lt;=+'Part VI-Revenues &amp; Expenses'!$K$243,-'Part VI-Revenues &amp; Expenses'!$H$243,0)</f>
        <v>0</v>
      </c>
      <c r="K23" s="2663">
        <f>IF(K13&lt;=+'Part VI-Revenues &amp; Expenses'!$K$243,-'Part VI-Revenues &amp; Expenses'!$H$243,0)</f>
        <v>0</v>
      </c>
      <c r="N23" s="3402"/>
      <c r="O23" s="3403"/>
      <c r="Q23" s="971">
        <v>10</v>
      </c>
      <c r="R23" s="1092">
        <f>-SUM(B28:K28)</f>
        <v>0</v>
      </c>
      <c r="S23" s="1092">
        <f>SUM(B29:K29)+R23</f>
        <v>0</v>
      </c>
    </row>
    <row r="24" spans="1:19" ht="13.2" customHeight="1">
      <c r="A24" s="20" t="s">
        <v>1203</v>
      </c>
      <c r="B24" s="21">
        <f>SUM(B19:B23)</f>
        <v>60384.214399999997</v>
      </c>
      <c r="C24" s="21">
        <f t="shared" ref="C24:J24" si="7">SUM(C19:C23)</f>
        <v>59305.518688000011</v>
      </c>
      <c r="D24" s="21">
        <f t="shared" si="7"/>
        <v>58136.383661760032</v>
      </c>
      <c r="E24" s="21">
        <f t="shared" si="7"/>
        <v>56873.56997299513</v>
      </c>
      <c r="F24" s="21">
        <f t="shared" si="7"/>
        <v>55511.717969595069</v>
      </c>
      <c r="G24" s="21">
        <f t="shared" si="7"/>
        <v>54048.343624041256</v>
      </c>
      <c r="H24" s="21">
        <f t="shared" si="7"/>
        <v>52478.834330427868</v>
      </c>
      <c r="I24" s="21">
        <f t="shared" si="7"/>
        <v>50798.444565959377</v>
      </c>
      <c r="J24" s="21">
        <f t="shared" si="7"/>
        <v>49002.291412669307</v>
      </c>
      <c r="K24" s="2156">
        <f>SUM(K19:K23)</f>
        <v>47085.349934975049</v>
      </c>
      <c r="N24" s="3402"/>
      <c r="O24" s="3403"/>
      <c r="Q24" s="971">
        <v>4</v>
      </c>
      <c r="R24" s="1092">
        <f>-SUM(B31:E31)</f>
        <v>11295</v>
      </c>
      <c r="S24" s="1092">
        <f>SUM(B32:E32)+R24</f>
        <v>214699.6867227552</v>
      </c>
    </row>
    <row r="25" spans="1:19" ht="13.2" customHeight="1">
      <c r="A25" s="420" t="s">
        <v>1591</v>
      </c>
      <c r="B25" s="2664">
        <f>IF('Part III-Sources of Funds'!$P$38="", 0,-'Part III-Sources of Funds'!$P$38)</f>
        <v>0</v>
      </c>
      <c r="C25" s="2664">
        <f>IF('Part III-Sources of Funds'!$P$38="", 0,-'Part III-Sources of Funds'!$P$38)</f>
        <v>0</v>
      </c>
      <c r="D25" s="2664">
        <f>IF('Part III-Sources of Funds'!$P$38="", 0,-'Part III-Sources of Funds'!$P$38)</f>
        <v>0</v>
      </c>
      <c r="E25" s="2664">
        <f>IF('Part III-Sources of Funds'!$P$38="", 0,-'Part III-Sources of Funds'!$P$38)</f>
        <v>0</v>
      </c>
      <c r="F25" s="2664">
        <f>IF('Part III-Sources of Funds'!$P$38="", 0,-'Part III-Sources of Funds'!$P$38)</f>
        <v>0</v>
      </c>
      <c r="G25" s="2664">
        <f>IF('Part III-Sources of Funds'!$P$38="", 0,-'Part III-Sources of Funds'!$P$38)</f>
        <v>0</v>
      </c>
      <c r="H25" s="2664">
        <f>IF('Part III-Sources of Funds'!$P$38="", 0,-'Part III-Sources of Funds'!$P$38)</f>
        <v>0</v>
      </c>
      <c r="I25" s="2664">
        <f>IF('Part III-Sources of Funds'!$P$38="", 0,-'Part III-Sources of Funds'!$P$38)</f>
        <v>0</v>
      </c>
      <c r="J25" s="2664">
        <f>IF('Part III-Sources of Funds'!$P$38="", 0,-'Part III-Sources of Funds'!$P$38)</f>
        <v>0</v>
      </c>
      <c r="K25" s="2664">
        <f>IF('Part III-Sources of Funds'!$P$38="", 0,-'Part III-Sources of Funds'!$P$38)</f>
        <v>0</v>
      </c>
      <c r="N25" s="3402"/>
      <c r="O25" s="3403"/>
      <c r="Q25" s="971">
        <v>5</v>
      </c>
      <c r="R25" s="1092">
        <f>-SUM(B31:F31)</f>
        <v>11295</v>
      </c>
      <c r="S25" s="1092">
        <f>SUM(B32:F32)+R25</f>
        <v>265211.4046923503</v>
      </c>
    </row>
    <row r="26" spans="1:19" ht="13.2" customHeight="1">
      <c r="A26" s="420" t="s">
        <v>1592</v>
      </c>
      <c r="B26" s="2665">
        <f>IF('Part III-Sources of Funds'!$P$39="", 0,-'Part III-Sources of Funds'!$P$39)</f>
        <v>0</v>
      </c>
      <c r="C26" s="2665">
        <f>IF('Part III-Sources of Funds'!$P$39="", 0,-'Part III-Sources of Funds'!$P$39)</f>
        <v>0</v>
      </c>
      <c r="D26" s="2665">
        <f>IF('Part III-Sources of Funds'!$P$39="", 0,-'Part III-Sources of Funds'!$P$39)</f>
        <v>0</v>
      </c>
      <c r="E26" s="2665">
        <f>IF('Part III-Sources of Funds'!$P$39="", 0,-'Part III-Sources of Funds'!$P$39)</f>
        <v>0</v>
      </c>
      <c r="F26" s="2665">
        <f>IF('Part III-Sources of Funds'!$P$39="", 0,-'Part III-Sources of Funds'!$P$39)</f>
        <v>0</v>
      </c>
      <c r="G26" s="2665">
        <f>IF('Part III-Sources of Funds'!$P$39="", 0,-'Part III-Sources of Funds'!$P$39)</f>
        <v>0</v>
      </c>
      <c r="H26" s="2665">
        <f>IF('Part III-Sources of Funds'!$P$39="", 0,-'Part III-Sources of Funds'!$P$39)</f>
        <v>0</v>
      </c>
      <c r="I26" s="2665">
        <f>IF('Part III-Sources of Funds'!$P$39="", 0,-'Part III-Sources of Funds'!$P$39)</f>
        <v>0</v>
      </c>
      <c r="J26" s="2665">
        <f>IF('Part III-Sources of Funds'!$P$39="", 0,-'Part III-Sources of Funds'!$P$39)</f>
        <v>0</v>
      </c>
      <c r="K26" s="2665">
        <f>IF('Part III-Sources of Funds'!$P$39="", 0,-'Part III-Sources of Funds'!$P$39)</f>
        <v>0</v>
      </c>
      <c r="N26" s="3402"/>
      <c r="O26" s="3403"/>
      <c r="Q26" s="971">
        <v>6</v>
      </c>
      <c r="R26" s="1092">
        <f>-SUM(B31:G31)</f>
        <v>11295</v>
      </c>
      <c r="S26" s="1092">
        <f>SUM(B32:G32)+R26</f>
        <v>314259.74831639155</v>
      </c>
    </row>
    <row r="27" spans="1:19" ht="13.2" customHeight="1">
      <c r="A27" s="420" t="s">
        <v>1593</v>
      </c>
      <c r="B27" s="2665">
        <f>IF('Part III-Sources of Funds'!$P$40="", 0,-'Part III-Sources of Funds'!$P$40)</f>
        <v>0</v>
      </c>
      <c r="C27" s="2665">
        <f>IF('Part III-Sources of Funds'!$P$40="", 0,-'Part III-Sources of Funds'!$P$40)</f>
        <v>0</v>
      </c>
      <c r="D27" s="2665">
        <f>IF('Part III-Sources of Funds'!$P$40="", 0,-'Part III-Sources of Funds'!$P$40)</f>
        <v>0</v>
      </c>
      <c r="E27" s="2665">
        <f>IF('Part III-Sources of Funds'!$P$40="", 0,-'Part III-Sources of Funds'!$P$40)</f>
        <v>0</v>
      </c>
      <c r="F27" s="2665">
        <f>IF('Part III-Sources of Funds'!$P$40="", 0,-'Part III-Sources of Funds'!$P$40)</f>
        <v>0</v>
      </c>
      <c r="G27" s="2665">
        <f>IF('Part III-Sources of Funds'!$P$40="", 0,-'Part III-Sources of Funds'!$P$40)</f>
        <v>0</v>
      </c>
      <c r="H27" s="2665">
        <f>IF('Part III-Sources of Funds'!$P$40="", 0,-'Part III-Sources of Funds'!$P$40)</f>
        <v>0</v>
      </c>
      <c r="I27" s="2665">
        <f>IF('Part III-Sources of Funds'!$P$40="", 0,-'Part III-Sources of Funds'!$P$40)</f>
        <v>0</v>
      </c>
      <c r="J27" s="2665">
        <f>IF('Part III-Sources of Funds'!$P$40="", 0,-'Part III-Sources of Funds'!$P$40)</f>
        <v>0</v>
      </c>
      <c r="K27" s="2665">
        <f>IF('Part III-Sources of Funds'!$P$40="", 0,-'Part III-Sources of Funds'!$P$40)</f>
        <v>0</v>
      </c>
      <c r="N27" s="3402"/>
      <c r="O27" s="3403"/>
      <c r="Q27" s="971">
        <v>7</v>
      </c>
      <c r="R27" s="1092">
        <f>-SUM(B31:H31)</f>
        <v>11295</v>
      </c>
      <c r="S27" s="1092">
        <f>SUM(B32:H32)+R27</f>
        <v>361738.58264681941</v>
      </c>
    </row>
    <row r="28" spans="1:19" ht="13.2" customHeight="1">
      <c r="A28" s="420" t="s">
        <v>3847</v>
      </c>
      <c r="B28" s="2665">
        <f>IF('Part III-Sources of Funds'!$P$41="", 0,-'Part III-Sources of Funds'!$P$41)</f>
        <v>0</v>
      </c>
      <c r="C28" s="2665">
        <f>IF('Part III-Sources of Funds'!$P$41="", 0,-'Part III-Sources of Funds'!$P$41)</f>
        <v>0</v>
      </c>
      <c r="D28" s="2665">
        <f>IF('Part III-Sources of Funds'!$P$41="", 0,-'Part III-Sources of Funds'!$P$41)</f>
        <v>0</v>
      </c>
      <c r="E28" s="2665">
        <f>IF('Part III-Sources of Funds'!$P$41="", 0,-'Part III-Sources of Funds'!$P$41)</f>
        <v>0</v>
      </c>
      <c r="F28" s="2665">
        <f>IF('Part III-Sources of Funds'!$P$41="", 0,-'Part III-Sources of Funds'!$P$41)</f>
        <v>0</v>
      </c>
      <c r="G28" s="2665">
        <f>IF('Part III-Sources of Funds'!$P$41="", 0,-'Part III-Sources of Funds'!$P$41)</f>
        <v>0</v>
      </c>
      <c r="H28" s="2665">
        <f>IF('Part III-Sources of Funds'!$P$41="", 0,-'Part III-Sources of Funds'!$P$41)</f>
        <v>0</v>
      </c>
      <c r="I28" s="2665">
        <f>IF('Part III-Sources of Funds'!$P$41="", 0,-'Part III-Sources of Funds'!$P$41)</f>
        <v>0</v>
      </c>
      <c r="J28" s="2665">
        <f>IF('Part III-Sources of Funds'!$P$41="", 0,-'Part III-Sources of Funds'!$P$41)</f>
        <v>0</v>
      </c>
      <c r="K28" s="2665">
        <f>IF('Part III-Sources of Funds'!$P$41="", 0,-'Part III-Sources of Funds'!$P$41)</f>
        <v>0</v>
      </c>
      <c r="N28" s="3402"/>
      <c r="O28" s="3403"/>
      <c r="Q28" s="971">
        <v>8</v>
      </c>
      <c r="R28" s="1092">
        <f>-SUM(B31:I31)</f>
        <v>11295</v>
      </c>
      <c r="S28" s="1092">
        <f>SUM(B32:I32)+R28</f>
        <v>407537.0272127788</v>
      </c>
    </row>
    <row r="29" spans="1:19" ht="13.2" customHeight="1">
      <c r="A29" s="20" t="s">
        <v>763</v>
      </c>
      <c r="B29" s="2666"/>
      <c r="C29" s="2666"/>
      <c r="D29" s="2666"/>
      <c r="E29" s="2666"/>
      <c r="F29" s="2666"/>
      <c r="G29" s="2666"/>
      <c r="H29" s="2666"/>
      <c r="I29" s="2666"/>
      <c r="J29" s="2666"/>
      <c r="K29" s="2666"/>
      <c r="N29" s="3402"/>
      <c r="O29" s="3403"/>
      <c r="Q29" s="971">
        <v>9</v>
      </c>
      <c r="R29" s="1092">
        <f>-SUM(B31:J31)</f>
        <v>11295</v>
      </c>
      <c r="S29" s="1092">
        <f>SUM(B32:J32)+R29</f>
        <v>451539.3186254481</v>
      </c>
    </row>
    <row r="30" spans="1:19" ht="13.2" customHeight="1">
      <c r="A30" s="420" t="s">
        <v>1163</v>
      </c>
      <c r="B30" s="2667">
        <f>-$G$5</f>
        <v>-5000</v>
      </c>
      <c r="C30" s="2667">
        <f t="shared" ref="C30:K30" si="8">+B30</f>
        <v>-5000</v>
      </c>
      <c r="D30" s="2667">
        <f t="shared" si="8"/>
        <v>-5000</v>
      </c>
      <c r="E30" s="2667">
        <f t="shared" si="8"/>
        <v>-5000</v>
      </c>
      <c r="F30" s="2667">
        <f t="shared" si="8"/>
        <v>-5000</v>
      </c>
      <c r="G30" s="2667">
        <f t="shared" si="8"/>
        <v>-5000</v>
      </c>
      <c r="H30" s="2667">
        <f t="shared" si="8"/>
        <v>-5000</v>
      </c>
      <c r="I30" s="2667">
        <f t="shared" si="8"/>
        <v>-5000</v>
      </c>
      <c r="J30" s="2667">
        <f t="shared" si="8"/>
        <v>-5000</v>
      </c>
      <c r="K30" s="2667">
        <f t="shared" si="8"/>
        <v>-5000</v>
      </c>
      <c r="N30" s="3402"/>
      <c r="O30" s="3403"/>
      <c r="Q30" s="971">
        <v>10</v>
      </c>
      <c r="R30" s="1092">
        <f>-SUM(B31:K31)</f>
        <v>11295</v>
      </c>
      <c r="S30" s="1092">
        <f>SUM(B32:K32)+R30</f>
        <v>493624.66856042313</v>
      </c>
    </row>
    <row r="31" spans="1:19" ht="13.2" customHeight="1">
      <c r="A31" s="420" t="s">
        <v>4079</v>
      </c>
      <c r="B31" s="2668">
        <v>-11295</v>
      </c>
      <c r="C31" s="2668">
        <f>IF('Part III-Sources of Funds'!$P$43="", 0,-'Part III-Sources of Funds'!$P$43)</f>
        <v>0</v>
      </c>
      <c r="D31" s="2668">
        <f>IF('Part III-Sources of Funds'!$P$43="", 0,-'Part III-Sources of Funds'!$P$43)</f>
        <v>0</v>
      </c>
      <c r="E31" s="2668">
        <f>IF('Part III-Sources of Funds'!$P$43="", 0,-'Part III-Sources of Funds'!$P$43)</f>
        <v>0</v>
      </c>
      <c r="F31" s="2668">
        <f>IF('Part III-Sources of Funds'!$P$43="", 0,-'Part III-Sources of Funds'!$P$43)</f>
        <v>0</v>
      </c>
      <c r="G31" s="2668">
        <f>IF('Part III-Sources of Funds'!$P$43="", 0,-'Part III-Sources of Funds'!$P$43)</f>
        <v>0</v>
      </c>
      <c r="H31" s="2668">
        <f>IF('Part III-Sources of Funds'!$P$43="", 0,-'Part III-Sources of Funds'!$P$43)</f>
        <v>0</v>
      </c>
      <c r="I31" s="2668">
        <f>IF('Part III-Sources of Funds'!$P$43="", 0,-'Part III-Sources of Funds'!$P$43)</f>
        <v>0</v>
      </c>
      <c r="J31" s="2668">
        <f>IF('Part III-Sources of Funds'!$P$43="", 0,-'Part III-Sources of Funds'!$P$43)</f>
        <v>0</v>
      </c>
      <c r="K31" s="2668">
        <f>IF('Part III-Sources of Funds'!$P$43="", 0,-'Part III-Sources of Funds'!$P$43)</f>
        <v>0</v>
      </c>
      <c r="N31" s="3402"/>
      <c r="O31" s="3403"/>
      <c r="Q31" s="971">
        <v>11</v>
      </c>
      <c r="R31" s="1092">
        <f>-SUM(B31:K31)-B63</f>
        <v>11295</v>
      </c>
      <c r="S31" s="1092">
        <f>SUM(B32:K32)+B64+R31</f>
        <v>533668.11696897168</v>
      </c>
    </row>
    <row r="32" spans="1:19" ht="13.2" customHeight="1">
      <c r="A32" s="20" t="s">
        <v>1164</v>
      </c>
      <c r="B32" s="21">
        <f t="shared" ref="B32:K32" si="9">SUM(B24:B31)</f>
        <v>44089.214399999997</v>
      </c>
      <c r="C32" s="21">
        <f t="shared" si="9"/>
        <v>54305.518688000011</v>
      </c>
      <c r="D32" s="21">
        <f t="shared" si="9"/>
        <v>53136.383661760032</v>
      </c>
      <c r="E32" s="21">
        <f t="shared" si="9"/>
        <v>51873.56997299513</v>
      </c>
      <c r="F32" s="21">
        <f t="shared" si="9"/>
        <v>50511.717969595069</v>
      </c>
      <c r="G32" s="21">
        <f t="shared" si="9"/>
        <v>49048.343624041256</v>
      </c>
      <c r="H32" s="21">
        <f t="shared" si="9"/>
        <v>47478.834330427868</v>
      </c>
      <c r="I32" s="21">
        <f t="shared" si="9"/>
        <v>45798.444565959377</v>
      </c>
      <c r="J32" s="21">
        <f t="shared" si="9"/>
        <v>44002.291412669307</v>
      </c>
      <c r="K32" s="22">
        <f t="shared" si="9"/>
        <v>42085.349934975049</v>
      </c>
      <c r="N32" s="3402"/>
      <c r="O32" s="3403"/>
      <c r="Q32" s="971">
        <v>12</v>
      </c>
      <c r="R32" s="1092">
        <f>-SUM(B31:K31) - SUM(B63:C63)</f>
        <v>11295</v>
      </c>
      <c r="S32" s="1092">
        <f>SUM(B32:K32) + SUM(B64:C64)+R32</f>
        <v>571539.3803648114</v>
      </c>
    </row>
    <row r="33" spans="1:19" ht="13.2"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402"/>
      <c r="O33" s="3403"/>
      <c r="Q33" s="971">
        <v>13</v>
      </c>
      <c r="R33" s="1092">
        <f>-SUM(B31:K31) - SUM(B63:D63)</f>
        <v>11295</v>
      </c>
      <c r="S33" s="1092">
        <f>SUM(B32:K32) + SUM(B64:D64)+R33</f>
        <v>607102.69502826175</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02"/>
      <c r="O34" s="3403"/>
      <c r="Q34" s="971">
        <v>14</v>
      </c>
      <c r="R34" s="1092">
        <f>-SUM(B31:K31) - SUM(B63:E63)</f>
        <v>11295</v>
      </c>
      <c r="S34" s="1092">
        <f>SUM(B32:K32) + SUM(B64:E64)+R34</f>
        <v>640217.65496466588</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02"/>
      <c r="O35" s="3403"/>
      <c r="Q35" s="971">
        <v>15</v>
      </c>
      <c r="R35" s="1092">
        <f>-SUM(B31:K31) - SUM(B63:F63)</f>
        <v>11295</v>
      </c>
      <c r="S35" s="1092">
        <f>SUM(B32:K32) + SUM(B64:F64)+R35</f>
        <v>670737.04444887314</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02"/>
      <c r="O36" s="3403"/>
      <c r="Q36" s="61">
        <v>16</v>
      </c>
      <c r="R36" s="1092">
        <f>-SUM(B31:K31) - SUM(B63:G63)</f>
        <v>11295</v>
      </c>
      <c r="S36" s="1092">
        <f>SUM(B32:K32) + SUM(B64:G64)+R36</f>
        <v>698507.66498231189</v>
      </c>
    </row>
    <row r="37" spans="1:19" ht="13.2" customHeight="1">
      <c r="A37" s="420" t="s">
        <v>3710</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402"/>
      <c r="O37" s="3403"/>
      <c r="Q37" s="61">
        <v>17</v>
      </c>
      <c r="R37" s="1092">
        <f>-SUM(B31:K31) - SUM(B63:H63)</f>
        <v>11295</v>
      </c>
      <c r="S37" s="1092">
        <f>SUM(B32:K32) + SUM(B64:H64)+R37</f>
        <v>723372.15648375324</v>
      </c>
    </row>
    <row r="38" spans="1:19" ht="13.2" customHeight="1">
      <c r="A38" s="20" t="s">
        <v>770</v>
      </c>
      <c r="B38" s="266">
        <f t="shared" ref="B38:K38" si="15">IF(OR(B21="Choose mgt fee",B21="Choose One!"),"",(B14+B15+B16+B17+B18) / -(B20+B21+B22))</f>
        <v>1.2640809173525527</v>
      </c>
      <c r="C38" s="266">
        <f t="shared" si="15"/>
        <v>1.2518093501146454</v>
      </c>
      <c r="D38" s="266">
        <f t="shared" si="15"/>
        <v>1.2396555035624115</v>
      </c>
      <c r="E38" s="266">
        <f t="shared" si="15"/>
        <v>1.2276214380717461</v>
      </c>
      <c r="F38" s="266">
        <f t="shared" si="15"/>
        <v>1.2156993821960707</v>
      </c>
      <c r="G38" s="266">
        <f t="shared" si="15"/>
        <v>1.2038962939057944</v>
      </c>
      <c r="H38" s="266">
        <f t="shared" si="15"/>
        <v>1.1922092903491375</v>
      </c>
      <c r="I38" s="266">
        <f t="shared" si="15"/>
        <v>1.1806358282945373</v>
      </c>
      <c r="J38" s="266">
        <f t="shared" si="15"/>
        <v>1.1691736674374933</v>
      </c>
      <c r="K38" s="267">
        <f t="shared" si="15"/>
        <v>1.1578208368495735</v>
      </c>
      <c r="N38" s="3402"/>
      <c r="O38" s="3403"/>
      <c r="Q38" s="61">
        <v>18</v>
      </c>
      <c r="R38" s="1092">
        <f>-SUM(B31:K31) - SUM(B63:I63)</f>
        <v>11295</v>
      </c>
      <c r="S38" s="1092">
        <f>SUM(B32:K32) + SUM(B64:I64)+R38</f>
        <v>745163.81252927752</v>
      </c>
    </row>
    <row r="39" spans="1:19" ht="13.2" customHeight="1">
      <c r="A39" s="420" t="s">
        <v>2617</v>
      </c>
      <c r="B39" s="2669" t="str">
        <f>IF('Part III-Sources of Funds'!$I$38="","",-FV('Part III-Sources of Funds'!$K$38/12,12,B25/12,'Part III-Sources of Funds'!$I$38))</f>
        <v/>
      </c>
      <c r="C39" s="2669" t="str">
        <f>IF('Part III-Sources of Funds'!$I$38="","",-FV('Part III-Sources of Funds'!$K$38/12,12,C25/12,B39))</f>
        <v/>
      </c>
      <c r="D39" s="2669" t="str">
        <f>IF('Part III-Sources of Funds'!$I$38="","",-FV('Part III-Sources of Funds'!$K$38/12,12,D25/12,C39))</f>
        <v/>
      </c>
      <c r="E39" s="2669" t="str">
        <f>IF('Part III-Sources of Funds'!$I$38="","",-FV('Part III-Sources of Funds'!$K$38/12,12,E25/12,D39))</f>
        <v/>
      </c>
      <c r="F39" s="2669" t="str">
        <f>IF('Part III-Sources of Funds'!$I$38="","",-FV('Part III-Sources of Funds'!$K$38/12,12,F25/12,E39))</f>
        <v/>
      </c>
      <c r="G39" s="2669" t="str">
        <f>IF('Part III-Sources of Funds'!$I$38="","",-FV('Part III-Sources of Funds'!$K$38/12,12,G25/12,F39))</f>
        <v/>
      </c>
      <c r="H39" s="2669" t="str">
        <f>IF('Part III-Sources of Funds'!$I$38="","",-FV('Part III-Sources of Funds'!$K$38/12,12,H25/12,G39))</f>
        <v/>
      </c>
      <c r="I39" s="2669" t="str">
        <f>IF('Part III-Sources of Funds'!$I$38="","",-FV('Part III-Sources of Funds'!$K$38/12,12,I25/12,H39))</f>
        <v/>
      </c>
      <c r="J39" s="2669" t="str">
        <f>IF('Part III-Sources of Funds'!$I$38="","",-FV('Part III-Sources of Funds'!$K$38/12,12,J25/12,I39))</f>
        <v/>
      </c>
      <c r="K39" s="2669" t="str">
        <f>IF('Part III-Sources of Funds'!$I$38="","",-FV('Part III-Sources of Funds'!$K$38/12,12,K25/12,J39))</f>
        <v/>
      </c>
      <c r="N39" s="3402"/>
      <c r="O39" s="3403"/>
      <c r="Q39" s="971">
        <v>19</v>
      </c>
      <c r="R39" s="1092">
        <f>-SUM(B31:K31) - SUM(B63:J63)</f>
        <v>11295</v>
      </c>
      <c r="S39" s="1092">
        <f>SUM(B32:K32) + SUM(B64:J64)+R39</f>
        <v>763712.38945118757</v>
      </c>
    </row>
    <row r="40" spans="1:19" ht="13.2" customHeight="1">
      <c r="A40" s="420" t="s">
        <v>2618</v>
      </c>
      <c r="B40" s="2665" t="str">
        <f>IF('Part III-Sources of Funds'!$I$39="","",-FV('Part III-Sources of Funds'!$K$39/12,12,B26/12,'Part III-Sources of Funds'!$I$39))</f>
        <v/>
      </c>
      <c r="C40" s="2665" t="str">
        <f>IF('Part III-Sources of Funds'!$I$39="","",-FV('Part III-Sources of Funds'!$K$39/12,12,C26/12,B40))</f>
        <v/>
      </c>
      <c r="D40" s="2665" t="str">
        <f>IF('Part III-Sources of Funds'!$I$39="","",-FV('Part III-Sources of Funds'!$K$39/12,12,D26/12,C40))</f>
        <v/>
      </c>
      <c r="E40" s="2665" t="str">
        <f>IF('Part III-Sources of Funds'!$I$39="","",-FV('Part III-Sources of Funds'!$K$39/12,12,E26/12,D40))</f>
        <v/>
      </c>
      <c r="F40" s="2665" t="str">
        <f>IF('Part III-Sources of Funds'!$I$39="","",-FV('Part III-Sources of Funds'!$K$39/12,12,F26/12,E40))</f>
        <v/>
      </c>
      <c r="G40" s="2665" t="str">
        <f>IF('Part III-Sources of Funds'!$I$39="","",-FV('Part III-Sources of Funds'!$K$39/12,12,G26/12,F40))</f>
        <v/>
      </c>
      <c r="H40" s="2665" t="str">
        <f>IF('Part III-Sources of Funds'!$I$39="","",-FV('Part III-Sources of Funds'!$K$39/12,12,H26/12,G40))</f>
        <v/>
      </c>
      <c r="I40" s="2665" t="str">
        <f>IF('Part III-Sources of Funds'!$I$39="","",-FV('Part III-Sources of Funds'!$K$39/12,12,I26/12,H40))</f>
        <v/>
      </c>
      <c r="J40" s="2665" t="str">
        <f>IF('Part III-Sources of Funds'!$I$39="","",-FV('Part III-Sources of Funds'!$K$39/12,12,J26/12,I40))</f>
        <v/>
      </c>
      <c r="K40" s="2665" t="str">
        <f>IF('Part III-Sources of Funds'!$I$39="","",-FV('Part III-Sources of Funds'!$K$39/12,12,K26/12,J40))</f>
        <v/>
      </c>
      <c r="N40" s="3402"/>
      <c r="O40" s="3403"/>
      <c r="Q40" s="971">
        <v>20</v>
      </c>
      <c r="R40" s="1092">
        <f>-SUM(B31:K31) - SUM(B63:K63)</f>
        <v>11295</v>
      </c>
      <c r="S40" s="1092">
        <f>SUM(B32:K32) + SUM(B64:K64)+R40</f>
        <v>778838.90909967571</v>
      </c>
    </row>
    <row r="41" spans="1:19" ht="13.2" customHeight="1">
      <c r="A41" s="420" t="s">
        <v>2619</v>
      </c>
      <c r="B41" s="2665" t="str">
        <f>IF('Part III-Sources of Funds'!$I$40="","",-FV('Part III-Sources of Funds'!$K$40/12,12,B27/12,'Part III-Sources of Funds'!$I$40))</f>
        <v/>
      </c>
      <c r="C41" s="2665" t="str">
        <f>IF('Part III-Sources of Funds'!$I$40="","",-FV('Part III-Sources of Funds'!$K$40/12,12,C27/12,B41))</f>
        <v/>
      </c>
      <c r="D41" s="2665" t="str">
        <f>IF('Part III-Sources of Funds'!$I$40="","",-FV('Part III-Sources of Funds'!$K$40/12,12,D27/12,C41))</f>
        <v/>
      </c>
      <c r="E41" s="2665" t="str">
        <f>IF('Part III-Sources of Funds'!$I$40="","",-FV('Part III-Sources of Funds'!$K$40/12,12,E27/12,D41))</f>
        <v/>
      </c>
      <c r="F41" s="2665" t="str">
        <f>IF('Part III-Sources of Funds'!$I$40="","",-FV('Part III-Sources of Funds'!$K$40/12,12,F27/12,E41))</f>
        <v/>
      </c>
      <c r="G41" s="2665" t="str">
        <f>IF('Part III-Sources of Funds'!$I$40="","",-FV('Part III-Sources of Funds'!$K$40/12,12,G27/12,F41))</f>
        <v/>
      </c>
      <c r="H41" s="2665" t="str">
        <f>IF('Part III-Sources of Funds'!$I$40="","",-FV('Part III-Sources of Funds'!$K$40/12,12,H27/12,G41))</f>
        <v/>
      </c>
      <c r="I41" s="2665" t="str">
        <f>IF('Part III-Sources of Funds'!$I$40="","",-FV('Part III-Sources of Funds'!$K$40/12,12,I27/12,H41))</f>
        <v/>
      </c>
      <c r="J41" s="2665" t="str">
        <f>IF('Part III-Sources of Funds'!$I$40="","",-FV('Part III-Sources of Funds'!$K$40/12,12,J27/12,I41))</f>
        <v/>
      </c>
      <c r="K41" s="2665" t="str">
        <f>IF('Part III-Sources of Funds'!$I$40="","",-FV('Part III-Sources of Funds'!$K$40/12,12,K27/12,J41))</f>
        <v/>
      </c>
      <c r="N41" s="3402"/>
      <c r="O41" s="3403"/>
    </row>
    <row r="42" spans="1:19" ht="13.2" customHeight="1">
      <c r="A42" s="20" t="s">
        <v>784</v>
      </c>
      <c r="B42" s="2665" t="str">
        <f>IF('Part III-Sources of Funds'!$I$41="","",-FV('Part III-Sources of Funds'!$K$41/12,12,B28/12,'Part III-Sources of Funds'!$I$41))</f>
        <v/>
      </c>
      <c r="C42" s="2665" t="str">
        <f>IF('Part III-Sources of Funds'!$I$41="","",-FV('Part III-Sources of Funds'!$K$41/12,12,C28/12,B42))</f>
        <v/>
      </c>
      <c r="D42" s="2665" t="str">
        <f>IF('Part III-Sources of Funds'!$I$41="","",-FV('Part III-Sources of Funds'!$K$41/12,12,D28/12,C42))</f>
        <v/>
      </c>
      <c r="E42" s="2665" t="str">
        <f>IF('Part III-Sources of Funds'!$I$41="","",-FV('Part III-Sources of Funds'!$K$41/12,12,E28/12,D42))</f>
        <v/>
      </c>
      <c r="F42" s="2665" t="str">
        <f>IF('Part III-Sources of Funds'!$I$41="","",-FV('Part III-Sources of Funds'!$K$41/12,12,F28/12,E42))</f>
        <v/>
      </c>
      <c r="G42" s="2665" t="str">
        <f>IF('Part III-Sources of Funds'!$I$41="","",-FV('Part III-Sources of Funds'!$K$41/12,12,G28/12,F42))</f>
        <v/>
      </c>
      <c r="H42" s="2665" t="str">
        <f>IF('Part III-Sources of Funds'!$I$41="","",-FV('Part III-Sources of Funds'!$K$41/12,12,H28/12,G42))</f>
        <v/>
      </c>
      <c r="I42" s="2665" t="str">
        <f>IF('Part III-Sources of Funds'!$I$41="","",-FV('Part III-Sources of Funds'!$K$41/12,12,I28/12,H42))</f>
        <v/>
      </c>
      <c r="J42" s="2665" t="str">
        <f>IF('Part III-Sources of Funds'!$I$41="","",-FV('Part III-Sources of Funds'!$K$41/12,12,J28/12,I42))</f>
        <v/>
      </c>
      <c r="K42" s="2665" t="str">
        <f>IF('Part III-Sources of Funds'!$I$41="","",-FV('Part III-Sources of Funds'!$K$41/12,12,K28/12,J42))</f>
        <v/>
      </c>
      <c r="N42" s="3402"/>
      <c r="O42" s="3403"/>
    </row>
    <row r="43" spans="1:19" ht="13.2" customHeight="1">
      <c r="A43" s="420" t="s">
        <v>4080</v>
      </c>
      <c r="B43" s="2668">
        <f>IF('Part III-Sources of Funds'!$I$43="","",-FV('Part III-Sources of Funds'!$K$43/12,12,B31/12,'Part III-Sources of Funds'!$I$43))</f>
        <v>0</v>
      </c>
      <c r="C43" s="2668">
        <f>IF('Part III-Sources of Funds'!$I$43="","",IF(-FV('Part III-Sources of Funds'!$K$43/12,12,C31/12,B43)&gt;0,-FV('Part III-Sources of Funds'!$K$43/12,12,C31/12,B43),0))</f>
        <v>0</v>
      </c>
      <c r="D43" s="2668">
        <f>IF('Part III-Sources of Funds'!$I$43="","",IF(-FV('Part III-Sources of Funds'!$K$43/12,12,D31/12,C43)&gt;0,-FV('Part III-Sources of Funds'!$K$43/12,12,D31/12,C43),0))</f>
        <v>0</v>
      </c>
      <c r="E43" s="2668">
        <f>IF('Part III-Sources of Funds'!$I$43="","",IF(-FV('Part III-Sources of Funds'!$K$43/12,12,E31/12,D43)&gt;0,-FV('Part III-Sources of Funds'!$K$43/12,12,E31/12,D43),0))</f>
        <v>0</v>
      </c>
      <c r="F43" s="2668">
        <f>IF('Part III-Sources of Funds'!$I$43="","",IF(-FV('Part III-Sources of Funds'!$K$43/12,12,F31/12,E43)&gt;0,-FV('Part III-Sources of Funds'!$K$43/12,12,F31/12,E43),0))</f>
        <v>0</v>
      </c>
      <c r="G43" s="2668">
        <f>IF('Part III-Sources of Funds'!$I$43="","",IF(-FV('Part III-Sources of Funds'!$K$43/12,12,G31/12,F43)&gt;0,-FV('Part III-Sources of Funds'!$K$43/12,12,G31/12,F43),0))</f>
        <v>0</v>
      </c>
      <c r="H43" s="2668">
        <f>IF('Part III-Sources of Funds'!$I$43="","",IF(-FV('Part III-Sources of Funds'!$K$43/12,12,H31/12,G43)&gt;0,-FV('Part III-Sources of Funds'!$K$43/12,12,H31/12,G43),0))</f>
        <v>0</v>
      </c>
      <c r="I43" s="2668">
        <f>IF('Part III-Sources of Funds'!$I$43="","",IF(-FV('Part III-Sources of Funds'!$K$43/12,12,I31/12,H43)&gt;0,-FV('Part III-Sources of Funds'!$K$43/12,12,I31/12,H43),0))</f>
        <v>0</v>
      </c>
      <c r="J43" s="2668">
        <f>IF('Part III-Sources of Funds'!$I$43="","",IF(-FV('Part III-Sources of Funds'!$K$43/12,12,J31/12,I43)&gt;0,-FV('Part III-Sources of Funds'!$K$43/12,12,J31/12,I43),0))</f>
        <v>0</v>
      </c>
      <c r="K43" s="2668">
        <f>IF('Part III-Sources of Funds'!$I$43="","",IF(-FV('Part III-Sources of Funds'!$K$43/12,12,K31/12,J43)&gt;0,-FV('Part III-Sources of Funds'!$K$43/12,12,K31/12,J43),0))</f>
        <v>0</v>
      </c>
      <c r="N43" s="3444"/>
      <c r="O43" s="3446"/>
    </row>
    <row r="44" spans="1:19" ht="4.2" customHeight="1">
      <c r="B44" s="16"/>
      <c r="C44" s="16"/>
      <c r="D44" s="16"/>
      <c r="E44" s="16"/>
      <c r="F44" s="16"/>
      <c r="G44" s="16"/>
      <c r="H44" s="16"/>
      <c r="I44" s="16"/>
      <c r="J44" s="16"/>
      <c r="K44" s="16"/>
    </row>
    <row r="45" spans="1:19" ht="14.7"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52" t="s">
        <v>2622</v>
      </c>
      <c r="O45" s="3052"/>
    </row>
    <row r="46" spans="1:19" ht="13.2" customHeight="1">
      <c r="A46" s="17" t="s">
        <v>2404</v>
      </c>
      <c r="B46" s="18">
        <f t="shared" ref="B46:K46" si="17">$B$14*(1+$B$5)^(B45-1)</f>
        <v>371432.47575008246</v>
      </c>
      <c r="C46" s="18">
        <f t="shared" si="17"/>
        <v>378861.12526508403</v>
      </c>
      <c r="D46" s="18">
        <f t="shared" si="17"/>
        <v>386438.34777038579</v>
      </c>
      <c r="E46" s="18">
        <f t="shared" si="17"/>
        <v>394167.11472579348</v>
      </c>
      <c r="F46" s="18">
        <f t="shared" si="17"/>
        <v>402050.4570203094</v>
      </c>
      <c r="G46" s="18">
        <f t="shared" si="17"/>
        <v>410091.46616071544</v>
      </c>
      <c r="H46" s="18">
        <f t="shared" si="17"/>
        <v>418293.29548392986</v>
      </c>
      <c r="I46" s="18">
        <f t="shared" si="17"/>
        <v>426659.16139360849</v>
      </c>
      <c r="J46" s="18">
        <f t="shared" si="17"/>
        <v>435192.34462148062</v>
      </c>
      <c r="K46" s="19">
        <f t="shared" si="17"/>
        <v>443896.19151391019</v>
      </c>
      <c r="N46" s="3410"/>
      <c r="O46" s="3411"/>
    </row>
    <row r="47" spans="1:19" ht="13.2" customHeight="1">
      <c r="A47" s="20" t="s">
        <v>1016</v>
      </c>
      <c r="B47" s="21">
        <f t="shared" ref="B47:K47" si="18">$B$15*(1+$B$5)^(B45-1)</f>
        <v>7428.649515001649</v>
      </c>
      <c r="C47" s="21">
        <f t="shared" si="18"/>
        <v>7577.2225053016809</v>
      </c>
      <c r="D47" s="21">
        <f t="shared" si="18"/>
        <v>7728.7669554077156</v>
      </c>
      <c r="E47" s="21">
        <f t="shared" si="18"/>
        <v>7883.34229451587</v>
      </c>
      <c r="F47" s="21">
        <f t="shared" si="18"/>
        <v>8041.0091404061877</v>
      </c>
      <c r="G47" s="21">
        <f t="shared" si="18"/>
        <v>8201.8293232143096</v>
      </c>
      <c r="H47" s="21">
        <f t="shared" si="18"/>
        <v>8365.8659096785977</v>
      </c>
      <c r="I47" s="21">
        <f t="shared" si="18"/>
        <v>8533.1832278721704</v>
      </c>
      <c r="J47" s="21">
        <f t="shared" si="18"/>
        <v>8703.8468924296121</v>
      </c>
      <c r="K47" s="22">
        <f t="shared" si="18"/>
        <v>8877.9238302782032</v>
      </c>
      <c r="N47" s="3402"/>
      <c r="O47" s="3403"/>
    </row>
    <row r="48" spans="1:19" ht="13.2" customHeight="1">
      <c r="A48" s="20" t="s">
        <v>2405</v>
      </c>
      <c r="B48" s="21">
        <f t="shared" ref="B48:K48" si="19">-(B46+B47)*$B$8</f>
        <v>-26520.278768555891</v>
      </c>
      <c r="C48" s="21">
        <f t="shared" si="19"/>
        <v>-27050.684343927005</v>
      </c>
      <c r="D48" s="21">
        <f t="shared" si="19"/>
        <v>-27591.69803080555</v>
      </c>
      <c r="E48" s="21">
        <f t="shared" si="19"/>
        <v>-28143.531991421656</v>
      </c>
      <c r="F48" s="21">
        <f t="shared" si="19"/>
        <v>-28706.402631250097</v>
      </c>
      <c r="G48" s="21">
        <f t="shared" si="19"/>
        <v>-29280.530683875084</v>
      </c>
      <c r="H48" s="21">
        <f t="shared" si="19"/>
        <v>-29866.141297552593</v>
      </c>
      <c r="I48" s="21">
        <f t="shared" si="19"/>
        <v>-30463.464123503651</v>
      </c>
      <c r="J48" s="21">
        <f t="shared" si="19"/>
        <v>-31072.733405973719</v>
      </c>
      <c r="K48" s="22">
        <f t="shared" si="19"/>
        <v>-31694.188074093192</v>
      </c>
      <c r="N48" s="3402"/>
      <c r="O48" s="3403"/>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02"/>
      <c r="O49" s="3403"/>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02"/>
      <c r="O50" s="3403"/>
    </row>
    <row r="51" spans="1:19" ht="13.2" customHeight="1">
      <c r="A51" s="420" t="s">
        <v>4934</v>
      </c>
      <c r="B51" s="21">
        <f t="shared" ref="B51:K51" si="20">SUM(B46:B50)</f>
        <v>352340.84649652819</v>
      </c>
      <c r="C51" s="21">
        <f t="shared" si="20"/>
        <v>359387.66342645872</v>
      </c>
      <c r="D51" s="21">
        <f t="shared" si="20"/>
        <v>366575.41669498797</v>
      </c>
      <c r="E51" s="21">
        <f t="shared" si="20"/>
        <v>373906.92502888769</v>
      </c>
      <c r="F51" s="21">
        <f t="shared" si="20"/>
        <v>381385.06352946552</v>
      </c>
      <c r="G51" s="21">
        <f t="shared" si="20"/>
        <v>389012.76480005466</v>
      </c>
      <c r="H51" s="21">
        <f t="shared" si="20"/>
        <v>396793.02009605581</v>
      </c>
      <c r="I51" s="21">
        <f t="shared" si="20"/>
        <v>404728.88049797702</v>
      </c>
      <c r="J51" s="21">
        <f t="shared" si="20"/>
        <v>412823.45810793655</v>
      </c>
      <c r="K51" s="22">
        <f t="shared" si="20"/>
        <v>421079.92727009521</v>
      </c>
      <c r="N51" s="3402"/>
      <c r="O51" s="3403"/>
    </row>
    <row r="52" spans="1:19" ht="13.2" customHeight="1">
      <c r="A52" s="20" t="s">
        <v>614</v>
      </c>
      <c r="B52" s="21">
        <f t="shared" ref="B52:K52" si="21">$B$20*(1+$B$6)^(B45-1)</f>
        <v>-260206.40153585016</v>
      </c>
      <c r="C52" s="21">
        <f t="shared" si="21"/>
        <v>-268012.59358192567</v>
      </c>
      <c r="D52" s="21">
        <f t="shared" si="21"/>
        <v>-276052.97138938343</v>
      </c>
      <c r="E52" s="21">
        <f t="shared" si="21"/>
        <v>-284334.56053106493</v>
      </c>
      <c r="F52" s="21">
        <f t="shared" si="21"/>
        <v>-292864.59734699689</v>
      </c>
      <c r="G52" s="21">
        <f t="shared" si="21"/>
        <v>-301650.53526740678</v>
      </c>
      <c r="H52" s="21">
        <f t="shared" si="21"/>
        <v>-310700.05132542894</v>
      </c>
      <c r="I52" s="21">
        <f t="shared" si="21"/>
        <v>-320021.05286519183</v>
      </c>
      <c r="J52" s="21">
        <f t="shared" si="21"/>
        <v>-329621.68445114756</v>
      </c>
      <c r="K52" s="22">
        <f t="shared" si="21"/>
        <v>-339510.33498468198</v>
      </c>
      <c r="N52" s="3402"/>
      <c r="O52" s="3403"/>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-30964</v>
      </c>
      <c r="C53" s="21">
        <f>IF(AND('Part VII-Pro Forma'!$G$8="Yes",'Part VII-Pro Forma'!$G$9="Yes"),"Choose One!",IF('Part VII-Pro Forma'!$G$8="Yes",ROUND((-$K$8*(1+'Part VII-Pro Forma'!$B$6)^('Part VII-Pro Forma'!C45-1)),),IF('Part VII-Pro Forma'!$G$9="Yes",ROUND((-(SUM(C46:C49)*'Part VII-Pro Forma'!$K$9)),),"Choose mgt fee")))</f>
        <v>-31893</v>
      </c>
      <c r="D53" s="21">
        <f>IF(AND('Part VII-Pro Forma'!$G$8="Yes",'Part VII-Pro Forma'!$G$9="Yes"),"Choose One!",IF('Part VII-Pro Forma'!$G$8="Yes",ROUND((-$K$8*(1+'Part VII-Pro Forma'!$B$6)^('Part VII-Pro Forma'!D45-1)),),IF('Part VII-Pro Forma'!$G$9="Yes",ROUND((-(SUM(D46:D49)*'Part VII-Pro Forma'!$K$9)),),"Choose mgt fee")))</f>
        <v>-32850</v>
      </c>
      <c r="E53" s="21">
        <f>IF(AND('Part VII-Pro Forma'!$G$8="Yes",'Part VII-Pro Forma'!$G$9="Yes"),"Choose One!",IF('Part VII-Pro Forma'!$G$8="Yes",ROUND((-$K$8*(1+'Part VII-Pro Forma'!$B$6)^('Part VII-Pro Forma'!E45-1)),),IF('Part VII-Pro Forma'!$G$9="Yes",ROUND((-(SUM(E46:E49)*'Part VII-Pro Forma'!$K$9)),),"Choose mgt fee")))</f>
        <v>-33835</v>
      </c>
      <c r="F53" s="21">
        <f>IF(AND('Part VII-Pro Forma'!$G$8="Yes",'Part VII-Pro Forma'!$G$9="Yes"),"Choose One!",IF('Part VII-Pro Forma'!$G$8="Yes",ROUND((-$K$8*(1+'Part VII-Pro Forma'!$B$6)^('Part VII-Pro Forma'!F45-1)),),IF('Part VII-Pro Forma'!$G$9="Yes",ROUND((-(SUM(F46:F49)*'Part VII-Pro Forma'!$K$9)),),"Choose mgt fee")))</f>
        <v>-34850</v>
      </c>
      <c r="G53" s="21">
        <f>IF(AND('Part VII-Pro Forma'!$G$8="Yes",'Part VII-Pro Forma'!$G$9="Yes"),"Choose One!",IF('Part VII-Pro Forma'!$G$8="Yes",ROUND((-$K$8*(1+'Part VII-Pro Forma'!$B$6)^('Part VII-Pro Forma'!G45-1)),),IF('Part VII-Pro Forma'!$G$9="Yes",ROUND((-(SUM(G46:G49)*'Part VII-Pro Forma'!$K$9)),),"Choose mgt fee")))</f>
        <v>-35896</v>
      </c>
      <c r="H53" s="21">
        <f>IF(AND('Part VII-Pro Forma'!$G$8="Yes",'Part VII-Pro Forma'!$G$9="Yes"),"Choose One!",IF('Part VII-Pro Forma'!$G$8="Yes",ROUND((-$K$8*(1+'Part VII-Pro Forma'!$B$6)^('Part VII-Pro Forma'!H45-1)),),IF('Part VII-Pro Forma'!$G$9="Yes",ROUND((-(SUM(H46:H49)*'Part VII-Pro Forma'!$K$9)),),"Choose mgt fee")))</f>
        <v>-36972</v>
      </c>
      <c r="I53" s="21">
        <f>IF(AND('Part VII-Pro Forma'!$G$8="Yes",'Part VII-Pro Forma'!$G$9="Yes"),"Choose One!",IF('Part VII-Pro Forma'!$G$8="Yes",ROUND((-$K$8*(1+'Part VII-Pro Forma'!$B$6)^('Part VII-Pro Forma'!I45-1)),),IF('Part VII-Pro Forma'!$G$9="Yes",ROUND((-(SUM(I46:I49)*'Part VII-Pro Forma'!$K$9)),),"Choose mgt fee")))</f>
        <v>-38082</v>
      </c>
      <c r="J53" s="21">
        <f>IF(AND('Part VII-Pro Forma'!$G$8="Yes",'Part VII-Pro Forma'!$G$9="Yes"),"Choose One!",IF('Part VII-Pro Forma'!$G$8="Yes",ROUND((-$K$8*(1+'Part VII-Pro Forma'!$B$6)^('Part VII-Pro Forma'!J45-1)),),IF('Part VII-Pro Forma'!$G$9="Yes",ROUND((-(SUM(J46:J49)*'Part VII-Pro Forma'!$K$9)),),"Choose mgt fee")))</f>
        <v>-39224</v>
      </c>
      <c r="K53" s="22">
        <f>IF(AND('Part VII-Pro Forma'!$G$8="Yes",'Part VII-Pro Forma'!$G$9="Yes"),"Choose One!",IF('Part VII-Pro Forma'!$G$8="Yes",ROUND((-$K$8*(1+'Part VII-Pro Forma'!$B$6)^('Part VII-Pro Forma'!K45-1)),),IF('Part VII-Pro Forma'!$G$9="Yes",ROUND((-(SUM(K46:K49)*'Part VII-Pro Forma'!$K$9)),),"Choose mgt fee")))</f>
        <v>-40401</v>
      </c>
      <c r="N53" s="3402"/>
      <c r="O53" s="3403"/>
    </row>
    <row r="54" spans="1:19" ht="13.2" customHeight="1">
      <c r="A54" s="20" t="s">
        <v>1202</v>
      </c>
      <c r="B54" s="21">
        <f t="shared" ref="B54:K54" si="22">$B$22*(1+$B$7)^(B45-1)</f>
        <v>-16126.996552129462</v>
      </c>
      <c r="C54" s="21">
        <f t="shared" si="22"/>
        <v>-16610.806448693347</v>
      </c>
      <c r="D54" s="21">
        <f t="shared" si="22"/>
        <v>-17109.130642154145</v>
      </c>
      <c r="E54" s="21">
        <f t="shared" si="22"/>
        <v>-17622.404561418767</v>
      </c>
      <c r="F54" s="21">
        <f t="shared" si="22"/>
        <v>-18151.076698261331</v>
      </c>
      <c r="G54" s="21">
        <f t="shared" si="22"/>
        <v>-18695.608999209173</v>
      </c>
      <c r="H54" s="21">
        <f t="shared" si="22"/>
        <v>-19256.477269185445</v>
      </c>
      <c r="I54" s="21">
        <f t="shared" si="22"/>
        <v>-19834.171587261008</v>
      </c>
      <c r="J54" s="21">
        <f t="shared" si="22"/>
        <v>-20429.196734878838</v>
      </c>
      <c r="K54" s="22">
        <f t="shared" si="22"/>
        <v>-21042.072636925204</v>
      </c>
      <c r="N54" s="3402"/>
      <c r="O54" s="3403"/>
    </row>
    <row r="55" spans="1:19" ht="13.2" customHeight="1">
      <c r="A55" s="420" t="s">
        <v>4933</v>
      </c>
      <c r="B55" s="2663">
        <f>IF(B45&lt;=+'Part VI-Revenues &amp; Expenses'!$K$243,-'Part VI-Revenues &amp; Expenses'!$H$243,0)</f>
        <v>0</v>
      </c>
      <c r="C55" s="2663">
        <f>IF(C45&lt;=+'Part VI-Revenues &amp; Expenses'!$K$243,-'Part VI-Revenues &amp; Expenses'!$H$243,0)</f>
        <v>0</v>
      </c>
      <c r="D55" s="2663">
        <f>IF(D45&lt;=+'Part VI-Revenues &amp; Expenses'!$K$243,-'Part VI-Revenues &amp; Expenses'!$H$243,0)</f>
        <v>0</v>
      </c>
      <c r="E55" s="2663">
        <f>IF(E45&lt;=+'Part VI-Revenues &amp; Expenses'!$K$243,-'Part VI-Revenues &amp; Expenses'!$H$243,0)</f>
        <v>0</v>
      </c>
      <c r="F55" s="2663">
        <f>IF(F45&lt;=+'Part VI-Revenues &amp; Expenses'!$K$243,-'Part VI-Revenues &amp; Expenses'!$H$243,0)</f>
        <v>0</v>
      </c>
      <c r="G55" s="2663">
        <f>IF(G45&lt;=+'Part VI-Revenues &amp; Expenses'!$K$243,-'Part VI-Revenues &amp; Expenses'!$H$243,0)</f>
        <v>0</v>
      </c>
      <c r="H55" s="2663">
        <f>IF(H45&lt;=+'Part VI-Revenues &amp; Expenses'!$K$243,-'Part VI-Revenues &amp; Expenses'!$H$243,0)</f>
        <v>0</v>
      </c>
      <c r="I55" s="2663">
        <f>IF(I45&lt;=+'Part VI-Revenues &amp; Expenses'!$K$243,-'Part VI-Revenues &amp; Expenses'!$H$243,0)</f>
        <v>0</v>
      </c>
      <c r="J55" s="2663">
        <f>IF(J45&lt;=+'Part VI-Revenues &amp; Expenses'!$K$243,-'Part VI-Revenues &amp; Expenses'!$H$243,0)</f>
        <v>0</v>
      </c>
      <c r="K55" s="2663">
        <f>IF(K45&lt;=+'Part VI-Revenues &amp; Expenses'!$K$243,-'Part VI-Revenues &amp; Expenses'!$H$243,0)</f>
        <v>0</v>
      </c>
      <c r="N55" s="3402"/>
      <c r="O55" s="3403"/>
      <c r="Q55" s="971">
        <v>10</v>
      </c>
      <c r="R55" s="1092">
        <f>-SUM(B60:K60)</f>
        <v>0</v>
      </c>
      <c r="S55" s="1092">
        <f>SUM(B61:K61)+R55</f>
        <v>0</v>
      </c>
    </row>
    <row r="56" spans="1:19" ht="13.2" customHeight="1">
      <c r="A56" s="20" t="s">
        <v>1203</v>
      </c>
      <c r="B56" s="21">
        <f t="shared" ref="B56:K56" si="23">SUM(B51:B55)</f>
        <v>45043.44840854856</v>
      </c>
      <c r="C56" s="21">
        <f t="shared" si="23"/>
        <v>42871.263395839705</v>
      </c>
      <c r="D56" s="21">
        <f t="shared" si="23"/>
        <v>40563.314663450401</v>
      </c>
      <c r="E56" s="21">
        <f t="shared" si="23"/>
        <v>38114.959936404004</v>
      </c>
      <c r="F56" s="21">
        <f t="shared" si="23"/>
        <v>35519.389484207306</v>
      </c>
      <c r="G56" s="21">
        <f t="shared" si="23"/>
        <v>32770.620533438705</v>
      </c>
      <c r="H56" s="21">
        <f t="shared" si="23"/>
        <v>29864.491501441429</v>
      </c>
      <c r="I56" s="21">
        <f t="shared" si="23"/>
        <v>26791.656045524185</v>
      </c>
      <c r="J56" s="21">
        <f t="shared" si="23"/>
        <v>23548.576921910142</v>
      </c>
      <c r="K56" s="2156">
        <f t="shared" si="23"/>
        <v>20126.519648488033</v>
      </c>
      <c r="N56" s="3402"/>
      <c r="O56" s="3403"/>
    </row>
    <row r="57" spans="1:19" ht="13.2" customHeight="1">
      <c r="A57" s="20" t="str">
        <f>$A25</f>
        <v>Mortgage A</v>
      </c>
      <c r="B57" s="2664">
        <f>IF('Part III-Sources of Funds'!$P$38="", 0,-'Part III-Sources of Funds'!$P$38)</f>
        <v>0</v>
      </c>
      <c r="C57" s="2664">
        <f>IF('Part III-Sources of Funds'!$P$38="", 0,-'Part III-Sources of Funds'!$P$38)</f>
        <v>0</v>
      </c>
      <c r="D57" s="2664">
        <f>IF('Part III-Sources of Funds'!$P$38="", 0,-'Part III-Sources of Funds'!$P$38)</f>
        <v>0</v>
      </c>
      <c r="E57" s="2664">
        <f>IF('Part III-Sources of Funds'!$P$38="", 0,-'Part III-Sources of Funds'!$P$38)</f>
        <v>0</v>
      </c>
      <c r="F57" s="2664">
        <f>IF('Part III-Sources of Funds'!$P$38="", 0,-'Part III-Sources of Funds'!$P$38)</f>
        <v>0</v>
      </c>
      <c r="G57" s="2664">
        <f>IF('Part III-Sources of Funds'!$P$38="", 0,-'Part III-Sources of Funds'!$P$38)</f>
        <v>0</v>
      </c>
      <c r="H57" s="2664">
        <f>IF('Part III-Sources of Funds'!$P$38="", 0,-'Part III-Sources of Funds'!$P$38)</f>
        <v>0</v>
      </c>
      <c r="I57" s="2664">
        <f>IF('Part III-Sources of Funds'!$P$38="", 0,-'Part III-Sources of Funds'!$P$38)</f>
        <v>0</v>
      </c>
      <c r="J57" s="2664">
        <f>IF('Part III-Sources of Funds'!$P$38="", 0,-'Part III-Sources of Funds'!$P$38)</f>
        <v>0</v>
      </c>
      <c r="K57" s="2664">
        <f>IF('Part III-Sources of Funds'!$P$38="", 0,-'Part III-Sources of Funds'!$P$38)</f>
        <v>0</v>
      </c>
      <c r="N57" s="3402"/>
      <c r="O57" s="3403"/>
    </row>
    <row r="58" spans="1:19" ht="13.2" customHeight="1">
      <c r="A58" s="20" t="str">
        <f>$A26</f>
        <v>Mortgage B</v>
      </c>
      <c r="B58" s="2665">
        <f>IF('Part III-Sources of Funds'!$P$39="", 0,-'Part III-Sources of Funds'!$P$39)</f>
        <v>0</v>
      </c>
      <c r="C58" s="2665">
        <f>IF('Part III-Sources of Funds'!$P$39="", 0,-'Part III-Sources of Funds'!$P$39)</f>
        <v>0</v>
      </c>
      <c r="D58" s="2665">
        <f>IF('Part III-Sources of Funds'!$P$39="", 0,-'Part III-Sources of Funds'!$P$39)</f>
        <v>0</v>
      </c>
      <c r="E58" s="2665">
        <f>IF('Part III-Sources of Funds'!$P$39="", 0,-'Part III-Sources of Funds'!$P$39)</f>
        <v>0</v>
      </c>
      <c r="F58" s="2665">
        <f>IF('Part III-Sources of Funds'!$P$39="", 0,-'Part III-Sources of Funds'!$P$39)</f>
        <v>0</v>
      </c>
      <c r="G58" s="2665">
        <f>IF('Part III-Sources of Funds'!$P$39="", 0,-'Part III-Sources of Funds'!$P$39)</f>
        <v>0</v>
      </c>
      <c r="H58" s="2665">
        <f>IF('Part III-Sources of Funds'!$P$39="", 0,-'Part III-Sources of Funds'!$P$39)</f>
        <v>0</v>
      </c>
      <c r="I58" s="2665">
        <f>IF('Part III-Sources of Funds'!$P$39="", 0,-'Part III-Sources of Funds'!$P$39)</f>
        <v>0</v>
      </c>
      <c r="J58" s="2665">
        <f>IF('Part III-Sources of Funds'!$P$39="", 0,-'Part III-Sources of Funds'!$P$39)</f>
        <v>0</v>
      </c>
      <c r="K58" s="2665">
        <f>IF('Part III-Sources of Funds'!$P$39="", 0,-'Part III-Sources of Funds'!$P$39)</f>
        <v>0</v>
      </c>
      <c r="N58" s="3402"/>
      <c r="O58" s="3403"/>
    </row>
    <row r="59" spans="1:19" ht="13.2" customHeight="1">
      <c r="A59" s="20" t="str">
        <f>$A27</f>
        <v>Mortgage C</v>
      </c>
      <c r="B59" s="2665">
        <f>IF('Part III-Sources of Funds'!$P$40="", 0,-'Part III-Sources of Funds'!$P$40)</f>
        <v>0</v>
      </c>
      <c r="C59" s="2665">
        <f>IF('Part III-Sources of Funds'!$P$40="", 0,-'Part III-Sources of Funds'!$P$40)</f>
        <v>0</v>
      </c>
      <c r="D59" s="2665">
        <f>IF('Part III-Sources of Funds'!$P$40="", 0,-'Part III-Sources of Funds'!$P$40)</f>
        <v>0</v>
      </c>
      <c r="E59" s="2665">
        <f>IF('Part III-Sources of Funds'!$P$40="", 0,-'Part III-Sources of Funds'!$P$40)</f>
        <v>0</v>
      </c>
      <c r="F59" s="2665">
        <f>IF('Part III-Sources of Funds'!$P$40="", 0,-'Part III-Sources of Funds'!$P$40)</f>
        <v>0</v>
      </c>
      <c r="G59" s="2665">
        <f>IF('Part III-Sources of Funds'!$P$40="", 0,-'Part III-Sources of Funds'!$P$40)</f>
        <v>0</v>
      </c>
      <c r="H59" s="2665">
        <f>IF('Part III-Sources of Funds'!$P$40="", 0,-'Part III-Sources of Funds'!$P$40)</f>
        <v>0</v>
      </c>
      <c r="I59" s="2665">
        <f>IF('Part III-Sources of Funds'!$P$40="", 0,-'Part III-Sources of Funds'!$P$40)</f>
        <v>0</v>
      </c>
      <c r="J59" s="2665">
        <f>IF('Part III-Sources of Funds'!$P$40="", 0,-'Part III-Sources of Funds'!$P$40)</f>
        <v>0</v>
      </c>
      <c r="K59" s="2665">
        <f>IF('Part III-Sources of Funds'!$P$40="", 0,-'Part III-Sources of Funds'!$P$40)</f>
        <v>0</v>
      </c>
      <c r="N59" s="3402"/>
      <c r="O59" s="3403"/>
    </row>
    <row r="60" spans="1:19" ht="13.2" customHeight="1">
      <c r="A60" s="20" t="str">
        <f>$A28</f>
        <v>D/S Other Source,not DDF</v>
      </c>
      <c r="B60" s="2665">
        <f>IF('Part III-Sources of Funds'!$P$41="", 0,-'Part III-Sources of Funds'!$P$41)</f>
        <v>0</v>
      </c>
      <c r="C60" s="2665">
        <f>IF('Part III-Sources of Funds'!$P$41="", 0,-'Part III-Sources of Funds'!$P$41)</f>
        <v>0</v>
      </c>
      <c r="D60" s="2665">
        <f>IF('Part III-Sources of Funds'!$P$41="", 0,-'Part III-Sources of Funds'!$P$41)</f>
        <v>0</v>
      </c>
      <c r="E60" s="2665">
        <f>IF('Part III-Sources of Funds'!$P$41="", 0,-'Part III-Sources of Funds'!$P$41)</f>
        <v>0</v>
      </c>
      <c r="F60" s="2665">
        <f>IF('Part III-Sources of Funds'!$P$41="", 0,-'Part III-Sources of Funds'!$P$41)</f>
        <v>0</v>
      </c>
      <c r="G60" s="2665">
        <f>IF('Part III-Sources of Funds'!$P$41="", 0,-'Part III-Sources of Funds'!$P$41)</f>
        <v>0</v>
      </c>
      <c r="H60" s="2665">
        <f>IF('Part III-Sources of Funds'!$P$41="", 0,-'Part III-Sources of Funds'!$P$41)</f>
        <v>0</v>
      </c>
      <c r="I60" s="2665">
        <f>IF('Part III-Sources of Funds'!$P$41="", 0,-'Part III-Sources of Funds'!$P$41)</f>
        <v>0</v>
      </c>
      <c r="J60" s="2665">
        <f>IF('Part III-Sources of Funds'!$P$41="", 0,-'Part III-Sources of Funds'!$P$41)</f>
        <v>0</v>
      </c>
      <c r="K60" s="2665">
        <f>IF('Part III-Sources of Funds'!$P$41="", 0,-'Part III-Sources of Funds'!$P$41)</f>
        <v>0</v>
      </c>
      <c r="N60" s="3402"/>
      <c r="O60" s="3403"/>
    </row>
    <row r="61" spans="1:19" ht="13.2" customHeight="1">
      <c r="A61" s="20" t="s">
        <v>763</v>
      </c>
      <c r="B61" s="2666"/>
      <c r="C61" s="2666"/>
      <c r="D61" s="2666"/>
      <c r="E61" s="2666"/>
      <c r="F61" s="2666"/>
      <c r="G61" s="2666"/>
      <c r="H61" s="2666"/>
      <c r="I61" s="2666"/>
      <c r="J61" s="2666"/>
      <c r="K61" s="2666"/>
      <c r="N61" s="3402"/>
      <c r="O61" s="3403"/>
    </row>
    <row r="62" spans="1:19" ht="13.2" customHeight="1">
      <c r="A62" s="420" t="s">
        <v>1163</v>
      </c>
      <c r="B62" s="2665">
        <f>+K30</f>
        <v>-5000</v>
      </c>
      <c r="C62" s="2665">
        <f t="shared" ref="C62:K62" si="24">+B62</f>
        <v>-5000</v>
      </c>
      <c r="D62" s="2665">
        <f t="shared" si="24"/>
        <v>-5000</v>
      </c>
      <c r="E62" s="2665">
        <f t="shared" si="24"/>
        <v>-5000</v>
      </c>
      <c r="F62" s="2665">
        <f t="shared" si="24"/>
        <v>-5000</v>
      </c>
      <c r="G62" s="2665">
        <f t="shared" si="24"/>
        <v>-5000</v>
      </c>
      <c r="H62" s="2665">
        <f t="shared" si="24"/>
        <v>-5000</v>
      </c>
      <c r="I62" s="2665">
        <f t="shared" si="24"/>
        <v>-5000</v>
      </c>
      <c r="J62" s="2665">
        <f t="shared" si="24"/>
        <v>-5000</v>
      </c>
      <c r="K62" s="2665">
        <f t="shared" si="24"/>
        <v>-5000</v>
      </c>
      <c r="N62" s="3402"/>
      <c r="O62" s="3403"/>
      <c r="Q62" s="971"/>
      <c r="R62" s="1092"/>
    </row>
    <row r="63" spans="1:19" ht="13.2" customHeight="1">
      <c r="A63" s="420" t="s">
        <v>4079</v>
      </c>
      <c r="B63" s="2668">
        <f>IF('Part III-Sources of Funds'!$P$43="", 0,-'Part III-Sources of Funds'!$P$43)</f>
        <v>0</v>
      </c>
      <c r="C63" s="2668">
        <f>IF('Part III-Sources of Funds'!$P$43="", 0,-'Part III-Sources of Funds'!$P$43)</f>
        <v>0</v>
      </c>
      <c r="D63" s="2668">
        <f>IF('Part III-Sources of Funds'!$P$43="", 0,-'Part III-Sources of Funds'!$P$43)</f>
        <v>0</v>
      </c>
      <c r="E63" s="2668">
        <f>IF('Part III-Sources of Funds'!$P$43="", 0,-'Part III-Sources of Funds'!$P$43)</f>
        <v>0</v>
      </c>
      <c r="F63" s="2668">
        <f>IF('Part III-Sources of Funds'!$P$43="", 0,-'Part III-Sources of Funds'!$P$43)</f>
        <v>0</v>
      </c>
      <c r="G63" s="2668"/>
      <c r="H63" s="2668"/>
      <c r="I63" s="2668"/>
      <c r="J63" s="2668"/>
      <c r="K63" s="2668"/>
      <c r="N63" s="3402"/>
      <c r="O63" s="3403"/>
    </row>
    <row r="64" spans="1:19" ht="13.2" customHeight="1">
      <c r="A64" s="20" t="s">
        <v>1164</v>
      </c>
      <c r="B64" s="21">
        <f t="shared" ref="B64:K64" si="25">SUM(B56:B63)</f>
        <v>40043.44840854856</v>
      </c>
      <c r="C64" s="21">
        <f t="shared" si="25"/>
        <v>37871.263395839705</v>
      </c>
      <c r="D64" s="21">
        <f t="shared" si="25"/>
        <v>35563.314663450401</v>
      </c>
      <c r="E64" s="21">
        <f t="shared" si="25"/>
        <v>33114.959936404004</v>
      </c>
      <c r="F64" s="21">
        <f t="shared" si="25"/>
        <v>30519.389484207306</v>
      </c>
      <c r="G64" s="21">
        <f t="shared" si="25"/>
        <v>27770.620533438705</v>
      </c>
      <c r="H64" s="21">
        <f t="shared" si="25"/>
        <v>24864.491501441429</v>
      </c>
      <c r="I64" s="21">
        <f t="shared" si="25"/>
        <v>21791.656045524185</v>
      </c>
      <c r="J64" s="21">
        <f t="shared" si="25"/>
        <v>18548.576921910142</v>
      </c>
      <c r="K64" s="625">
        <f t="shared" si="25"/>
        <v>15126.519648488033</v>
      </c>
      <c r="N64" s="3402"/>
      <c r="O64" s="3403"/>
    </row>
    <row r="65" spans="1:15" ht="13.2" customHeight="1">
      <c r="A65" s="20" t="str">
        <f>$A33</f>
        <v>DCR Mortgage A</v>
      </c>
      <c r="B65" s="23" t="str">
        <f t="shared" ref="B65:K65" si="26">IF(B57=0,"",-B56/B57)</f>
        <v/>
      </c>
      <c r="C65" s="23" t="str">
        <f t="shared" si="26"/>
        <v/>
      </c>
      <c r="D65" s="23" t="str">
        <f t="shared" si="26"/>
        <v/>
      </c>
      <c r="E65" s="23" t="str">
        <f t="shared" si="26"/>
        <v/>
      </c>
      <c r="F65" s="23" t="str">
        <f t="shared" si="26"/>
        <v/>
      </c>
      <c r="G65" s="23" t="str">
        <f t="shared" si="26"/>
        <v/>
      </c>
      <c r="H65" s="23" t="str">
        <f t="shared" si="26"/>
        <v/>
      </c>
      <c r="I65" s="23" t="str">
        <f t="shared" si="26"/>
        <v/>
      </c>
      <c r="J65" s="23" t="str">
        <f t="shared" si="26"/>
        <v/>
      </c>
      <c r="K65" s="24" t="str">
        <f t="shared" si="26"/>
        <v/>
      </c>
      <c r="N65" s="3402"/>
      <c r="O65" s="3403"/>
    </row>
    <row r="66" spans="1:15" ht="13.2" customHeight="1">
      <c r="A66" s="20" t="str">
        <f>$A34</f>
        <v>DCR Mortgage B</v>
      </c>
      <c r="B66" s="23" t="str">
        <f t="shared" ref="B66:K66" si="27">IF(B58=0,"",-(B56+B57)/B58)</f>
        <v/>
      </c>
      <c r="C66" s="23" t="str">
        <f t="shared" si="27"/>
        <v/>
      </c>
      <c r="D66" s="23" t="str">
        <f t="shared" si="27"/>
        <v/>
      </c>
      <c r="E66" s="23" t="str">
        <f t="shared" si="27"/>
        <v/>
      </c>
      <c r="F66" s="23" t="str">
        <f t="shared" si="27"/>
        <v/>
      </c>
      <c r="G66" s="23" t="str">
        <f t="shared" si="27"/>
        <v/>
      </c>
      <c r="H66" s="23" t="str">
        <f t="shared" si="27"/>
        <v/>
      </c>
      <c r="I66" s="23" t="str">
        <f t="shared" si="27"/>
        <v/>
      </c>
      <c r="J66" s="23" t="str">
        <f t="shared" si="27"/>
        <v/>
      </c>
      <c r="K66" s="24" t="str">
        <f t="shared" si="27"/>
        <v/>
      </c>
      <c r="N66" s="3402"/>
      <c r="O66" s="3403"/>
    </row>
    <row r="67" spans="1:15" ht="13.2" customHeight="1">
      <c r="A67" s="20" t="str">
        <f>$A35</f>
        <v>DCR Mortgage C</v>
      </c>
      <c r="B67" s="23" t="str">
        <f t="shared" ref="B67:K67" si="28">IF(B59=0,"",-(B56+B57+B58)/B59)</f>
        <v/>
      </c>
      <c r="C67" s="23" t="str">
        <f t="shared" si="28"/>
        <v/>
      </c>
      <c r="D67" s="23" t="str">
        <f t="shared" si="28"/>
        <v/>
      </c>
      <c r="E67" s="23" t="str">
        <f t="shared" si="28"/>
        <v/>
      </c>
      <c r="F67" s="23" t="str">
        <f t="shared" si="28"/>
        <v/>
      </c>
      <c r="G67" s="23" t="str">
        <f t="shared" si="28"/>
        <v/>
      </c>
      <c r="H67" s="23" t="str">
        <f t="shared" si="28"/>
        <v/>
      </c>
      <c r="I67" s="23" t="str">
        <f t="shared" si="28"/>
        <v/>
      </c>
      <c r="J67" s="23" t="str">
        <f t="shared" si="28"/>
        <v/>
      </c>
      <c r="K67" s="24" t="str">
        <f t="shared" si="28"/>
        <v/>
      </c>
      <c r="N67" s="3402"/>
      <c r="O67" s="3403"/>
    </row>
    <row r="68" spans="1:15" ht="13.2" customHeight="1">
      <c r="A68" s="20" t="str">
        <f>$A36</f>
        <v>DCR Other Source</v>
      </c>
      <c r="B68" s="23" t="str">
        <f t="shared" ref="B68:K68" si="29">IF(B60=0,"",-(B56+B57+B58+B59)/B60)</f>
        <v/>
      </c>
      <c r="C68" s="23" t="str">
        <f t="shared" si="29"/>
        <v/>
      </c>
      <c r="D68" s="23" t="str">
        <f t="shared" si="29"/>
        <v/>
      </c>
      <c r="E68" s="23" t="str">
        <f t="shared" si="29"/>
        <v/>
      </c>
      <c r="F68" s="23" t="str">
        <f t="shared" si="29"/>
        <v/>
      </c>
      <c r="G68" s="23" t="str">
        <f t="shared" si="29"/>
        <v/>
      </c>
      <c r="H68" s="23" t="str">
        <f t="shared" si="29"/>
        <v/>
      </c>
      <c r="I68" s="23" t="str">
        <f t="shared" si="29"/>
        <v/>
      </c>
      <c r="J68" s="23" t="str">
        <f t="shared" si="29"/>
        <v/>
      </c>
      <c r="K68" s="24" t="str">
        <f t="shared" si="29"/>
        <v/>
      </c>
      <c r="N68" s="3402"/>
      <c r="O68" s="3403"/>
    </row>
    <row r="69" spans="1:15" ht="13.2" customHeight="1">
      <c r="A69" s="420" t="s">
        <v>3710</v>
      </c>
      <c r="B69" s="23" t="str">
        <f t="shared" ref="B69:K69" si="30">IF(AND(B57=0,B58=0,B59=0,B60=0),"",-B56/(B57+B58+B59+B60))</f>
        <v/>
      </c>
      <c r="C69" s="23" t="str">
        <f t="shared" si="30"/>
        <v/>
      </c>
      <c r="D69" s="23" t="str">
        <f t="shared" si="30"/>
        <v/>
      </c>
      <c r="E69" s="23" t="str">
        <f t="shared" si="30"/>
        <v/>
      </c>
      <c r="F69" s="23" t="str">
        <f t="shared" si="30"/>
        <v/>
      </c>
      <c r="G69" s="23" t="str">
        <f t="shared" si="30"/>
        <v/>
      </c>
      <c r="H69" s="23" t="str">
        <f t="shared" si="30"/>
        <v/>
      </c>
      <c r="I69" s="23" t="str">
        <f t="shared" si="30"/>
        <v/>
      </c>
      <c r="J69" s="23" t="str">
        <f t="shared" si="30"/>
        <v/>
      </c>
      <c r="K69" s="24" t="str">
        <f t="shared" si="30"/>
        <v/>
      </c>
      <c r="N69" s="3402"/>
      <c r="O69" s="3403"/>
    </row>
    <row r="70" spans="1:15" ht="13.2" customHeight="1">
      <c r="A70" s="20" t="s">
        <v>770</v>
      </c>
      <c r="B70" s="266">
        <f t="shared" ref="B70:K70" si="31">IF(OR(B53="Choose mgt fee",B53="Choose One!"),"",(B46+B47+B48+B49+B50) / -(B52+B53+B54))</f>
        <v>1.1465793354867673</v>
      </c>
      <c r="C70" s="266">
        <f t="shared" si="31"/>
        <v>1.1354472102920812</v>
      </c>
      <c r="D70" s="266">
        <f t="shared" si="31"/>
        <v>1.1244227266738902</v>
      </c>
      <c r="E70" s="266">
        <f t="shared" si="31"/>
        <v>1.1135076592017514</v>
      </c>
      <c r="F70" s="266">
        <f t="shared" si="31"/>
        <v>1.1026970646400702</v>
      </c>
      <c r="G70" s="266">
        <f t="shared" si="31"/>
        <v>1.0919897352428711</v>
      </c>
      <c r="H70" s="266">
        <f t="shared" si="31"/>
        <v>1.0813904866318966</v>
      </c>
      <c r="I70" s="266">
        <f t="shared" si="31"/>
        <v>1.0708891697142013</v>
      </c>
      <c r="J70" s="266">
        <f t="shared" si="31"/>
        <v>1.0604934406508926</v>
      </c>
      <c r="K70" s="267">
        <f t="shared" si="31"/>
        <v>1.050196654438917</v>
      </c>
      <c r="N70" s="3402"/>
      <c r="O70" s="3403"/>
    </row>
    <row r="71" spans="1:15" ht="13.2" customHeight="1">
      <c r="A71" s="420" t="s">
        <v>2617</v>
      </c>
      <c r="B71" s="2669" t="str">
        <f>IF('Part III-Sources of Funds'!$I$38="","",-FV('Part III-Sources of Funds'!$K$38/12,12,B57/12,K39))</f>
        <v/>
      </c>
      <c r="C71" s="2669" t="str">
        <f>IF('Part III-Sources of Funds'!$I$38="","",-FV('Part III-Sources of Funds'!$K$38/12,12,C57/12,B71))</f>
        <v/>
      </c>
      <c r="D71" s="2669" t="str">
        <f>IF('Part III-Sources of Funds'!$I$38="","",-FV('Part III-Sources of Funds'!$K$38/12,12,D57/12,C71))</f>
        <v/>
      </c>
      <c r="E71" s="2669" t="str">
        <f>IF('Part III-Sources of Funds'!$I$38="","",-FV('Part III-Sources of Funds'!$K$38/12,12,E57/12,D71))</f>
        <v/>
      </c>
      <c r="F71" s="2669" t="str">
        <f>IF('Part III-Sources of Funds'!$I$38="","",-FV('Part III-Sources of Funds'!$K$38/12,12,F57/12,E71))</f>
        <v/>
      </c>
      <c r="G71" s="2669" t="str">
        <f>IF('Part III-Sources of Funds'!$I$38="","",-FV('Part III-Sources of Funds'!$K$38/12,12,G57/12,F71))</f>
        <v/>
      </c>
      <c r="H71" s="2669" t="str">
        <f>IF('Part III-Sources of Funds'!$I$38="","",-FV('Part III-Sources of Funds'!$K$38/12,12,H57/12,G71))</f>
        <v/>
      </c>
      <c r="I71" s="2669" t="str">
        <f>IF('Part III-Sources of Funds'!$I$38="","",-FV('Part III-Sources of Funds'!$K$38/12,12,I57/12,H71))</f>
        <v/>
      </c>
      <c r="J71" s="2669" t="str">
        <f>IF('Part III-Sources of Funds'!$I$38="","",-FV('Part III-Sources of Funds'!$K$38/12,12,J57/12,I71))</f>
        <v/>
      </c>
      <c r="K71" s="2669" t="str">
        <f>IF('Part III-Sources of Funds'!$I$38="","",-FV('Part III-Sources of Funds'!$K$38/12,12,K57/12,J71))</f>
        <v/>
      </c>
      <c r="N71" s="3402"/>
      <c r="O71" s="3403"/>
    </row>
    <row r="72" spans="1:15" ht="13.2" customHeight="1">
      <c r="A72" s="420" t="s">
        <v>2618</v>
      </c>
      <c r="B72" s="2665" t="str">
        <f>IF('Part III-Sources of Funds'!$I$39="","",-FV('Part III-Sources of Funds'!$K$39/12,12,B58/12,K40))</f>
        <v/>
      </c>
      <c r="C72" s="2665" t="str">
        <f>IF('Part III-Sources of Funds'!$I$39="","",-FV('Part III-Sources of Funds'!$K$39/12,12,C58/12,B72))</f>
        <v/>
      </c>
      <c r="D72" s="2665" t="str">
        <f>IF('Part III-Sources of Funds'!$I$39="","",-FV('Part III-Sources of Funds'!$K$39/12,12,D58/12,C72))</f>
        <v/>
      </c>
      <c r="E72" s="2665" t="str">
        <f>IF('Part III-Sources of Funds'!$I$39="","",-FV('Part III-Sources of Funds'!$K$39/12,12,E58/12,D72))</f>
        <v/>
      </c>
      <c r="F72" s="2665" t="str">
        <f>IF('Part III-Sources of Funds'!$I$39="","",-FV('Part III-Sources of Funds'!$K$39/12,12,F58/12,E72))</f>
        <v/>
      </c>
      <c r="G72" s="2665" t="str">
        <f>IF('Part III-Sources of Funds'!$I$39="","",-FV('Part III-Sources of Funds'!$K$39/12,12,G58/12,F72))</f>
        <v/>
      </c>
      <c r="H72" s="2665" t="str">
        <f>IF('Part III-Sources of Funds'!$I$39="","",-FV('Part III-Sources of Funds'!$K$39/12,12,H58/12,G72))</f>
        <v/>
      </c>
      <c r="I72" s="2665" t="str">
        <f>IF('Part III-Sources of Funds'!$I$39="","",-FV('Part III-Sources of Funds'!$K$39/12,12,I58/12,H72))</f>
        <v/>
      </c>
      <c r="J72" s="2665" t="str">
        <f>IF('Part III-Sources of Funds'!$I$39="","",-FV('Part III-Sources of Funds'!$K$39/12,12,J58/12,I72))</f>
        <v/>
      </c>
      <c r="K72" s="2665" t="str">
        <f>IF('Part III-Sources of Funds'!$I$39="","",-FV('Part III-Sources of Funds'!$K$39/12,12,K58/12,J72))</f>
        <v/>
      </c>
      <c r="N72" s="3402"/>
      <c r="O72" s="3403"/>
    </row>
    <row r="73" spans="1:15" ht="13.2" customHeight="1">
      <c r="A73" s="420" t="s">
        <v>2619</v>
      </c>
      <c r="B73" s="2665" t="str">
        <f>IF('Part III-Sources of Funds'!$I$40="","",-FV('Part III-Sources of Funds'!$K$40/12,12,B59/12,K41))</f>
        <v/>
      </c>
      <c r="C73" s="2665" t="str">
        <f>IF('Part III-Sources of Funds'!$I$40="","",-FV('Part III-Sources of Funds'!$K$40/12,12,C59/12,B73))</f>
        <v/>
      </c>
      <c r="D73" s="2665" t="str">
        <f>IF('Part III-Sources of Funds'!$I$40="","",-FV('Part III-Sources of Funds'!$K$40/12,12,D59/12,C73))</f>
        <v/>
      </c>
      <c r="E73" s="2665" t="str">
        <f>IF('Part III-Sources of Funds'!$I$40="","",-FV('Part III-Sources of Funds'!$K$40/12,12,E59/12,D73))</f>
        <v/>
      </c>
      <c r="F73" s="2665" t="str">
        <f>IF('Part III-Sources of Funds'!$I$40="","",-FV('Part III-Sources of Funds'!$K$40/12,12,F59/12,E73))</f>
        <v/>
      </c>
      <c r="G73" s="2665" t="str">
        <f>IF('Part III-Sources of Funds'!$I$40="","",-FV('Part III-Sources of Funds'!$K$40/12,12,G59/12,F73))</f>
        <v/>
      </c>
      <c r="H73" s="2665" t="str">
        <f>IF('Part III-Sources of Funds'!$I$40="","",-FV('Part III-Sources of Funds'!$K$40/12,12,H59/12,G73))</f>
        <v/>
      </c>
      <c r="I73" s="2665" t="str">
        <f>IF('Part III-Sources of Funds'!$I$40="","",-FV('Part III-Sources of Funds'!$K$40/12,12,I59/12,H73))</f>
        <v/>
      </c>
      <c r="J73" s="2665" t="str">
        <f>IF('Part III-Sources of Funds'!$I$40="","",-FV('Part III-Sources of Funds'!$K$40/12,12,J59/12,I73))</f>
        <v/>
      </c>
      <c r="K73" s="2665" t="str">
        <f>IF('Part III-Sources of Funds'!$I$40="","",-FV('Part III-Sources of Funds'!$K$40/12,12,K59/12,J73))</f>
        <v/>
      </c>
      <c r="N73" s="3402"/>
      <c r="O73" s="3403"/>
    </row>
    <row r="74" spans="1:15" ht="13.2" customHeight="1">
      <c r="A74" s="20" t="s">
        <v>784</v>
      </c>
      <c r="B74" s="2665" t="str">
        <f>IF('Part III-Sources of Funds'!$I$41="","",-FV('Part III-Sources of Funds'!$K$41/12,12,B60/12,K42))</f>
        <v/>
      </c>
      <c r="C74" s="2665" t="str">
        <f>IF('Part III-Sources of Funds'!$I$41="","",-FV('Part III-Sources of Funds'!$K$41/12,12,C60/12,B74))</f>
        <v/>
      </c>
      <c r="D74" s="2665" t="str">
        <f>IF('Part III-Sources of Funds'!$I$41="","",-FV('Part III-Sources of Funds'!$K$41/12,12,D60/12,C74))</f>
        <v/>
      </c>
      <c r="E74" s="2665" t="str">
        <f>IF('Part III-Sources of Funds'!$I$41="","",-FV('Part III-Sources of Funds'!$K$41/12,12,E60/12,D74))</f>
        <v/>
      </c>
      <c r="F74" s="2665" t="str">
        <f>IF('Part III-Sources of Funds'!$I$41="","",-FV('Part III-Sources of Funds'!$K$41/12,12,F60/12,E74))</f>
        <v/>
      </c>
      <c r="G74" s="2665" t="str">
        <f>IF('Part III-Sources of Funds'!$I$41="","",-FV('Part III-Sources of Funds'!$K$41/12,12,G60/12,F74))</f>
        <v/>
      </c>
      <c r="H74" s="2665" t="str">
        <f>IF('Part III-Sources of Funds'!$I$41="","",-FV('Part III-Sources of Funds'!$K$41/12,12,H60/12,G74))</f>
        <v/>
      </c>
      <c r="I74" s="2665" t="str">
        <f>IF('Part III-Sources of Funds'!$I$41="","",-FV('Part III-Sources of Funds'!$K$41/12,12,I60/12,H74))</f>
        <v/>
      </c>
      <c r="J74" s="2665" t="str">
        <f>IF('Part III-Sources of Funds'!$I$41="","",-FV('Part III-Sources of Funds'!$K$41/12,12,J60/12,I74))</f>
        <v/>
      </c>
      <c r="K74" s="2665" t="str">
        <f>IF('Part III-Sources of Funds'!$I$41="","",-FV('Part III-Sources of Funds'!$K$41/12,12,K60/12,J74))</f>
        <v/>
      </c>
      <c r="N74" s="3402"/>
      <c r="O74" s="3403"/>
    </row>
    <row r="75" spans="1:15" ht="13.2" customHeight="1">
      <c r="A75" s="420" t="s">
        <v>4080</v>
      </c>
      <c r="B75" s="2668">
        <f>IF('Part III-Sources of Funds'!$I$43="","",IF(-FV('Part III-Sources of Funds'!$K$43/12,12,B63/12,K43)&gt;0,-FV('Part III-Sources of Funds'!$K$43/12,12,B63/12,K43),0))</f>
        <v>0</v>
      </c>
      <c r="C75" s="2668">
        <f>IF('Part III-Sources of Funds'!$I$43="","",IF(-FV('Part III-Sources of Funds'!$K$43/12,12,C63/12,B75)&gt;0,-FV('Part III-Sources of Funds'!$K$43/12,12,C63/12,B75),0))</f>
        <v>0</v>
      </c>
      <c r="D75" s="2668">
        <f>IF('Part III-Sources of Funds'!$I$43="","",IF(-FV('Part III-Sources of Funds'!$K$43/12,12,D63/12,C75)&gt;0,-FV('Part III-Sources of Funds'!$K$43/12,12,D63/12,C75),0))</f>
        <v>0</v>
      </c>
      <c r="E75" s="2668">
        <f>IF('Part III-Sources of Funds'!$I$43="","",IF(-FV('Part III-Sources of Funds'!$K$43/12,12,E63/12,D75)&gt;0,-FV('Part III-Sources of Funds'!$K$43/12,12,E63/12,D75),0))</f>
        <v>0</v>
      </c>
      <c r="F75" s="2668">
        <f>IF('Part III-Sources of Funds'!$I$43="","",IF(-FV('Part III-Sources of Funds'!$K$43/12,12,F63/12,E75)&gt;0,-FV('Part III-Sources of Funds'!$K$43/12,12,F63/12,E75),0))</f>
        <v>0</v>
      </c>
      <c r="G75" s="2668">
        <f>IF('Part III-Sources of Funds'!$I$43="","",IF(-FV('Part III-Sources of Funds'!$K$43/12,12,G63/12,F75)&gt;0,-FV('Part III-Sources of Funds'!$K$43/12,12,G63/12,F75),0))</f>
        <v>0</v>
      </c>
      <c r="H75" s="2668" t="str">
        <f>IF('Part III-Sources of Funds'!$I$41="","",-FV('Part III-Sources of Funds'!$K$41/12,12,H61/12,G75))</f>
        <v/>
      </c>
      <c r="I75" s="2668" t="str">
        <f>IF('Part III-Sources of Funds'!$I$41="","",-FV('Part III-Sources of Funds'!$K$41/12,12,I61/12,H75))</f>
        <v/>
      </c>
      <c r="J75" s="2668" t="str">
        <f>IF('Part III-Sources of Funds'!$I$41="","",-FV('Part III-Sources of Funds'!$K$41/12,12,J61/12,I75))</f>
        <v/>
      </c>
      <c r="K75" s="2668" t="str">
        <f>IF('Part III-Sources of Funds'!$I$41="","",-FV('Part III-Sources of Funds'!$K$41/12,12,K61/12,J75))</f>
        <v/>
      </c>
      <c r="N75" s="3444"/>
      <c r="O75" s="3446"/>
    </row>
    <row r="76" spans="1:15" ht="4.2" customHeight="1">
      <c r="B76" s="16"/>
      <c r="C76" s="16"/>
      <c r="D76" s="16"/>
      <c r="E76" s="16"/>
      <c r="F76" s="16"/>
      <c r="G76" s="16"/>
      <c r="H76" s="16"/>
      <c r="I76" s="16"/>
      <c r="J76" s="16"/>
      <c r="K76" s="16"/>
    </row>
    <row r="77" spans="1:15" ht="14.7" customHeight="1">
      <c r="A77" s="12" t="s">
        <v>2480</v>
      </c>
      <c r="B77" s="14">
        <f>K45+1</f>
        <v>21</v>
      </c>
      <c r="C77" s="14">
        <f t="shared" ref="C77:K77" si="32">B77+1</f>
        <v>22</v>
      </c>
      <c r="D77" s="14">
        <f t="shared" si="32"/>
        <v>23</v>
      </c>
      <c r="E77" s="14">
        <f t="shared" si="32"/>
        <v>24</v>
      </c>
      <c r="F77" s="14">
        <f t="shared" si="32"/>
        <v>25</v>
      </c>
      <c r="G77" s="14">
        <f t="shared" si="32"/>
        <v>26</v>
      </c>
      <c r="H77" s="14">
        <f t="shared" si="32"/>
        <v>27</v>
      </c>
      <c r="I77" s="14">
        <f t="shared" si="32"/>
        <v>28</v>
      </c>
      <c r="J77" s="14">
        <f t="shared" si="32"/>
        <v>29</v>
      </c>
      <c r="K77" s="14">
        <f t="shared" si="32"/>
        <v>30</v>
      </c>
      <c r="N77" s="3052" t="s">
        <v>2623</v>
      </c>
      <c r="O77" s="3052"/>
    </row>
    <row r="78" spans="1:15" ht="13.2" customHeight="1">
      <c r="A78" s="17" t="s">
        <v>2404</v>
      </c>
      <c r="B78" s="18">
        <f t="shared" ref="B78:K78" si="33">$B$14*(1+$B$5)^(B77-1)</f>
        <v>452774.11534418847</v>
      </c>
      <c r="C78" s="18">
        <f t="shared" si="33"/>
        <v>461829.5976510722</v>
      </c>
      <c r="D78" s="18">
        <f t="shared" si="33"/>
        <v>471066.18960409367</v>
      </c>
      <c r="E78" s="18">
        <f t="shared" si="33"/>
        <v>480487.51339617546</v>
      </c>
      <c r="F78" s="18">
        <f t="shared" si="33"/>
        <v>490097.26366409898</v>
      </c>
      <c r="G78" s="18">
        <f t="shared" si="33"/>
        <v>499899.20893738093</v>
      </c>
      <c r="H78" s="18">
        <f t="shared" si="33"/>
        <v>509897.19311612862</v>
      </c>
      <c r="I78" s="18">
        <f t="shared" si="33"/>
        <v>520095.1369784511</v>
      </c>
      <c r="J78" s="18">
        <f t="shared" si="33"/>
        <v>530497.03971802024</v>
      </c>
      <c r="K78" s="19">
        <f t="shared" si="33"/>
        <v>541106.9805123806</v>
      </c>
      <c r="N78" s="3410"/>
      <c r="O78" s="3411"/>
    </row>
    <row r="79" spans="1:15" ht="13.2" customHeight="1">
      <c r="A79" s="20" t="s">
        <v>1016</v>
      </c>
      <c r="B79" s="21">
        <f t="shared" ref="B79:K79" si="34">$B$15*(1+$B$5)^(B77-1)</f>
        <v>9055.4823068837686</v>
      </c>
      <c r="C79" s="21">
        <f t="shared" si="34"/>
        <v>9236.5919530214433</v>
      </c>
      <c r="D79" s="21">
        <f t="shared" si="34"/>
        <v>9421.3237920818738</v>
      </c>
      <c r="E79" s="21">
        <f t="shared" si="34"/>
        <v>9609.7502679235095</v>
      </c>
      <c r="F79" s="21">
        <f t="shared" si="34"/>
        <v>9801.9452732819791</v>
      </c>
      <c r="G79" s="21">
        <f t="shared" si="34"/>
        <v>9997.9841787476198</v>
      </c>
      <c r="H79" s="21">
        <f t="shared" si="34"/>
        <v>10197.943862322572</v>
      </c>
      <c r="I79" s="21">
        <f t="shared" si="34"/>
        <v>10401.902739569023</v>
      </c>
      <c r="J79" s="21">
        <f t="shared" si="34"/>
        <v>10609.940794360404</v>
      </c>
      <c r="K79" s="22">
        <f t="shared" si="34"/>
        <v>10822.139610247612</v>
      </c>
      <c r="N79" s="3402"/>
      <c r="O79" s="3403"/>
    </row>
    <row r="80" spans="1:15" ht="13.2" customHeight="1">
      <c r="A80" s="20" t="s">
        <v>2405</v>
      </c>
      <c r="B80" s="21">
        <f t="shared" ref="B80:K80" si="35">-(B78+B79)*$B$8</f>
        <v>-32328.071835575061</v>
      </c>
      <c r="C80" s="21">
        <f t="shared" si="35"/>
        <v>-32974.633272286555</v>
      </c>
      <c r="D80" s="21">
        <f t="shared" si="35"/>
        <v>-33634.125937732293</v>
      </c>
      <c r="E80" s="21">
        <f t="shared" si="35"/>
        <v>-34306.808456486935</v>
      </c>
      <c r="F80" s="21">
        <f t="shared" si="35"/>
        <v>-34992.94462561667</v>
      </c>
      <c r="G80" s="21">
        <f t="shared" si="35"/>
        <v>-35692.803518129003</v>
      </c>
      <c r="H80" s="21">
        <f t="shared" si="35"/>
        <v>-36406.659588491588</v>
      </c>
      <c r="I80" s="21">
        <f t="shared" si="35"/>
        <v>-37134.792780261414</v>
      </c>
      <c r="J80" s="21">
        <f t="shared" si="35"/>
        <v>-37877.488635866648</v>
      </c>
      <c r="K80" s="22">
        <f t="shared" si="35"/>
        <v>-38635.038408583976</v>
      </c>
      <c r="N80" s="3402"/>
      <c r="O80" s="3403"/>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02"/>
      <c r="O81" s="3403"/>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02"/>
      <c r="O82" s="3403"/>
    </row>
    <row r="83" spans="1:19" ht="13.2" customHeight="1">
      <c r="A83" s="420" t="s">
        <v>4934</v>
      </c>
      <c r="B83" s="21">
        <f t="shared" ref="B83:K83" si="36">SUM(B78:B82)</f>
        <v>429501.52581549721</v>
      </c>
      <c r="C83" s="21">
        <f t="shared" si="36"/>
        <v>438091.55633180705</v>
      </c>
      <c r="D83" s="21">
        <f t="shared" si="36"/>
        <v>446853.38745844323</v>
      </c>
      <c r="E83" s="21">
        <f t="shared" si="36"/>
        <v>455790.45520761202</v>
      </c>
      <c r="F83" s="21">
        <f t="shared" si="36"/>
        <v>464906.26431176433</v>
      </c>
      <c r="G83" s="21">
        <f t="shared" si="36"/>
        <v>474204.38959799957</v>
      </c>
      <c r="H83" s="21">
        <f t="shared" si="36"/>
        <v>483688.47738995956</v>
      </c>
      <c r="I83" s="21">
        <f t="shared" si="36"/>
        <v>493362.2469377587</v>
      </c>
      <c r="J83" s="21">
        <f t="shared" si="36"/>
        <v>503229.49187651393</v>
      </c>
      <c r="K83" s="22">
        <f t="shared" si="36"/>
        <v>513294.08171404421</v>
      </c>
      <c r="N83" s="3402"/>
      <c r="O83" s="3403"/>
    </row>
    <row r="84" spans="1:19" ht="13.2" customHeight="1">
      <c r="A84" s="20" t="s">
        <v>614</v>
      </c>
      <c r="B84" s="21">
        <f t="shared" ref="B84:K84" si="37">$B$20*(1+$B$6)^(B77-1)</f>
        <v>-349695.64503422246</v>
      </c>
      <c r="C84" s="21">
        <f t="shared" si="37"/>
        <v>-360186.51438524906</v>
      </c>
      <c r="D84" s="21">
        <f t="shared" si="37"/>
        <v>-370992.10981680657</v>
      </c>
      <c r="E84" s="21">
        <f t="shared" si="37"/>
        <v>-382121.87311131082</v>
      </c>
      <c r="F84" s="21">
        <f t="shared" si="37"/>
        <v>-393585.52930465009</v>
      </c>
      <c r="G84" s="21">
        <f t="shared" si="37"/>
        <v>-405393.09518378956</v>
      </c>
      <c r="H84" s="21">
        <f t="shared" si="37"/>
        <v>-417554.8880393033</v>
      </c>
      <c r="I84" s="21">
        <f t="shared" si="37"/>
        <v>-430081.53468048235</v>
      </c>
      <c r="J84" s="21">
        <f t="shared" si="37"/>
        <v>-442983.98072089686</v>
      </c>
      <c r="K84" s="22">
        <f t="shared" si="37"/>
        <v>-456273.50014252373</v>
      </c>
      <c r="N84" s="3402"/>
      <c r="O84" s="3403"/>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-41613</v>
      </c>
      <c r="C85" s="21">
        <f>IF(AND('Part VII-Pro Forma'!$G$8="Yes",'Part VII-Pro Forma'!$G$9="Yes"),"Choose One!",IF('Part VII-Pro Forma'!$G$8="Yes",ROUND((-$K$8*(1+'Part VII-Pro Forma'!$B$6)^('Part VII-Pro Forma'!C77-1)),),IF('Part VII-Pro Forma'!$G$9="Yes",ROUND((-(SUM(C78:C81)*'Part VII-Pro Forma'!$K$9)),),"Choose mgt fee")))</f>
        <v>-42861</v>
      </c>
      <c r="D85" s="21">
        <f>IF(AND('Part VII-Pro Forma'!$G$8="Yes",'Part VII-Pro Forma'!$G$9="Yes"),"Choose One!",IF('Part VII-Pro Forma'!$G$8="Yes",ROUND((-$K$8*(1+'Part VII-Pro Forma'!$B$6)^('Part VII-Pro Forma'!D77-1)),),IF('Part VII-Pro Forma'!$G$9="Yes",ROUND((-(SUM(D78:D81)*'Part VII-Pro Forma'!$K$9)),),"Choose mgt fee")))</f>
        <v>-44147</v>
      </c>
      <c r="E85" s="21">
        <f>IF(AND('Part VII-Pro Forma'!$G$8="Yes",'Part VII-Pro Forma'!$G$9="Yes"),"Choose One!",IF('Part VII-Pro Forma'!$G$8="Yes",ROUND((-$K$8*(1+'Part VII-Pro Forma'!$B$6)^('Part VII-Pro Forma'!E77-1)),),IF('Part VII-Pro Forma'!$G$9="Yes",ROUND((-(SUM(E78:E81)*'Part VII-Pro Forma'!$K$9)),),"Choose mgt fee")))</f>
        <v>-45471</v>
      </c>
      <c r="F85" s="21">
        <f>IF(AND('Part VII-Pro Forma'!$G$8="Yes",'Part VII-Pro Forma'!$G$9="Yes"),"Choose One!",IF('Part VII-Pro Forma'!$G$8="Yes",ROUND((-$K$8*(1+'Part VII-Pro Forma'!$B$6)^('Part VII-Pro Forma'!F77-1)),),IF('Part VII-Pro Forma'!$G$9="Yes",ROUND((-(SUM(F78:F81)*'Part VII-Pro Forma'!$K$9)),),"Choose mgt fee")))</f>
        <v>-46836</v>
      </c>
      <c r="G85" s="21">
        <f>IF(AND('Part VII-Pro Forma'!$G$8="Yes",'Part VII-Pro Forma'!$G$9="Yes"),"Choose One!",IF('Part VII-Pro Forma'!$G$8="Yes",ROUND((-$K$8*(1+'Part VII-Pro Forma'!$B$6)^('Part VII-Pro Forma'!G77-1)),),IF('Part VII-Pro Forma'!$G$9="Yes",ROUND((-(SUM(G78:G81)*'Part VII-Pro Forma'!$K$9)),),"Choose mgt fee")))</f>
        <v>-48241</v>
      </c>
      <c r="H85" s="21">
        <f>IF(AND('Part VII-Pro Forma'!$G$8="Yes",'Part VII-Pro Forma'!$G$9="Yes"),"Choose One!",IF('Part VII-Pro Forma'!$G$8="Yes",ROUND((-$K$8*(1+'Part VII-Pro Forma'!$B$6)^('Part VII-Pro Forma'!H77-1)),),IF('Part VII-Pro Forma'!$G$9="Yes",ROUND((-(SUM(H78:H81)*'Part VII-Pro Forma'!$K$9)),),"Choose mgt fee")))</f>
        <v>-49688</v>
      </c>
      <c r="I85" s="21">
        <f>IF(AND('Part VII-Pro Forma'!$G$8="Yes",'Part VII-Pro Forma'!$G$9="Yes"),"Choose One!",IF('Part VII-Pro Forma'!$G$8="Yes",ROUND((-$K$8*(1+'Part VII-Pro Forma'!$B$6)^('Part VII-Pro Forma'!I77-1)),),IF('Part VII-Pro Forma'!$G$9="Yes",ROUND((-(SUM(I78:I81)*'Part VII-Pro Forma'!$K$9)),),"Choose mgt fee")))</f>
        <v>-51178</v>
      </c>
      <c r="J85" s="21">
        <f>IF(AND('Part VII-Pro Forma'!$G$8="Yes",'Part VII-Pro Forma'!$G$9="Yes"),"Choose One!",IF('Part VII-Pro Forma'!$G$8="Yes",ROUND((-$K$8*(1+'Part VII-Pro Forma'!$B$6)^('Part VII-Pro Forma'!J77-1)),),IF('Part VII-Pro Forma'!$G$9="Yes",ROUND((-(SUM(J78:J81)*'Part VII-Pro Forma'!$K$9)),),"Choose mgt fee")))</f>
        <v>-52714</v>
      </c>
      <c r="K85" s="22">
        <f>IF(AND('Part VII-Pro Forma'!$G$8="Yes",'Part VII-Pro Forma'!$G$9="Yes"),"Choose One!",IF('Part VII-Pro Forma'!$G$8="Yes",ROUND((-$K$8*(1+'Part VII-Pro Forma'!$B$6)^('Part VII-Pro Forma'!K77-1)),),IF('Part VII-Pro Forma'!$G$9="Yes",ROUND((-(SUM(K78:K81)*'Part VII-Pro Forma'!$K$9)),),"Choose mgt fee")))</f>
        <v>-54295</v>
      </c>
      <c r="N85" s="3402"/>
      <c r="O85" s="3403"/>
    </row>
    <row r="86" spans="1:19" ht="13.2" customHeight="1">
      <c r="A86" s="20" t="s">
        <v>1202</v>
      </c>
      <c r="B86" s="21">
        <f t="shared" ref="B86:K86" si="38">$B$22*(1+$B$7)^(B77-1)</f>
        <v>-21673.334816032959</v>
      </c>
      <c r="C86" s="21">
        <f t="shared" si="38"/>
        <v>-22323.534860513944</v>
      </c>
      <c r="D86" s="21">
        <f t="shared" si="38"/>
        <v>-22993.240906329367</v>
      </c>
      <c r="E86" s="21">
        <f t="shared" si="38"/>
        <v>-23683.038133519247</v>
      </c>
      <c r="F86" s="21">
        <f t="shared" si="38"/>
        <v>-24393.529277524824</v>
      </c>
      <c r="G86" s="21">
        <f t="shared" si="38"/>
        <v>-25125.335155850567</v>
      </c>
      <c r="H86" s="21">
        <f t="shared" si="38"/>
        <v>-25879.095210526088</v>
      </c>
      <c r="I86" s="21">
        <f t="shared" si="38"/>
        <v>-26655.468066841866</v>
      </c>
      <c r="J86" s="21">
        <f t="shared" si="38"/>
        <v>-27455.132108847123</v>
      </c>
      <c r="K86" s="22">
        <f t="shared" si="38"/>
        <v>-28278.786072112533</v>
      </c>
      <c r="N86" s="3402"/>
      <c r="O86" s="3403"/>
    </row>
    <row r="87" spans="1:19" ht="13.2" customHeight="1">
      <c r="A87" s="420" t="s">
        <v>4933</v>
      </c>
      <c r="B87" s="2663">
        <f>IF(B77&lt;=+'Part VI-Revenues &amp; Expenses'!$K$243,-'Part VI-Revenues &amp; Expenses'!$H$243,0)</f>
        <v>0</v>
      </c>
      <c r="C87" s="2663">
        <f>IF(C77&lt;=+'Part VI-Revenues &amp; Expenses'!$K$243,-'Part VI-Revenues &amp; Expenses'!$H$243,0)</f>
        <v>0</v>
      </c>
      <c r="D87" s="2663">
        <f>IF(D77&lt;=+'Part VI-Revenues &amp; Expenses'!$K$243,-'Part VI-Revenues &amp; Expenses'!$H$243,0)</f>
        <v>0</v>
      </c>
      <c r="E87" s="2663">
        <f>IF(E77&lt;=+'Part VI-Revenues &amp; Expenses'!$K$243,-'Part VI-Revenues &amp; Expenses'!$H$243,0)</f>
        <v>0</v>
      </c>
      <c r="F87" s="2663">
        <f>IF(F77&lt;=+'Part VI-Revenues &amp; Expenses'!$K$243,-'Part VI-Revenues &amp; Expenses'!$H$243,0)</f>
        <v>0</v>
      </c>
      <c r="G87" s="2663">
        <f>IF(G77&lt;=+'Part VI-Revenues &amp; Expenses'!$K$243,-'Part VI-Revenues &amp; Expenses'!$H$243,0)</f>
        <v>0</v>
      </c>
      <c r="H87" s="2663">
        <f>IF(H77&lt;=+'Part VI-Revenues &amp; Expenses'!$K$243,-'Part VI-Revenues &amp; Expenses'!$H$243,0)</f>
        <v>0</v>
      </c>
      <c r="I87" s="2663">
        <f>IF(I77&lt;=+'Part VI-Revenues &amp; Expenses'!$K$243,-'Part VI-Revenues &amp; Expenses'!$H$243,0)</f>
        <v>0</v>
      </c>
      <c r="J87" s="2663">
        <f>IF(J77&lt;=+'Part VI-Revenues &amp; Expenses'!$K$243,-'Part VI-Revenues &amp; Expenses'!$H$243,0)</f>
        <v>0</v>
      </c>
      <c r="K87" s="2663">
        <f>IF(K77&lt;=+'Part VI-Revenues &amp; Expenses'!$K$243,-'Part VI-Revenues &amp; Expenses'!$H$243,0)</f>
        <v>0</v>
      </c>
      <c r="N87" s="3402"/>
      <c r="O87" s="3403"/>
      <c r="Q87" s="971">
        <v>10</v>
      </c>
      <c r="R87" s="1092">
        <f>-SUM(B92:K92)</f>
        <v>0</v>
      </c>
      <c r="S87" s="1092">
        <f>SUM(B93:K93)+R87</f>
        <v>0</v>
      </c>
    </row>
    <row r="88" spans="1:19" ht="13.2" customHeight="1">
      <c r="A88" s="20" t="s">
        <v>1203</v>
      </c>
      <c r="B88" s="21">
        <f t="shared" ref="B88:K88" si="39">SUM(B83:B87)</f>
        <v>16519.545965241796</v>
      </c>
      <c r="C88" s="21">
        <f t="shared" si="39"/>
        <v>12720.507086044046</v>
      </c>
      <c r="D88" s="21">
        <f t="shared" si="39"/>
        <v>8721.0367353073016</v>
      </c>
      <c r="E88" s="21">
        <f t="shared" si="39"/>
        <v>4514.5439627819469</v>
      </c>
      <c r="F88" s="21">
        <f t="shared" si="39"/>
        <v>91.205729589419207</v>
      </c>
      <c r="G88" s="21">
        <f t="shared" si="39"/>
        <v>-4555.0407416405506</v>
      </c>
      <c r="H88" s="21">
        <f t="shared" si="39"/>
        <v>-9433.5058598698306</v>
      </c>
      <c r="I88" s="21">
        <f t="shared" si="39"/>
        <v>-14552.755809565519</v>
      </c>
      <c r="J88" s="21">
        <f t="shared" si="39"/>
        <v>-19923.620953230049</v>
      </c>
      <c r="K88" s="2156">
        <f t="shared" si="39"/>
        <v>-25553.204500592052</v>
      </c>
      <c r="N88" s="3402"/>
      <c r="O88" s="3403"/>
    </row>
    <row r="89" spans="1:19" ht="13.2" customHeight="1">
      <c r="A89" s="20" t="str">
        <f>$A57</f>
        <v>Mortgage A</v>
      </c>
      <c r="B89" s="2664">
        <f>IF('Part III-Sources of Funds'!$P$38="", 0,-'Part III-Sources of Funds'!$P$38)</f>
        <v>0</v>
      </c>
      <c r="C89" s="2664">
        <f>IF('Part III-Sources of Funds'!$P$38="", 0,-'Part III-Sources of Funds'!$P$38)</f>
        <v>0</v>
      </c>
      <c r="D89" s="2664">
        <f>IF('Part III-Sources of Funds'!$P$38="", 0,-'Part III-Sources of Funds'!$P$38)</f>
        <v>0</v>
      </c>
      <c r="E89" s="2664">
        <f>IF('Part III-Sources of Funds'!$P$38="", 0,-'Part III-Sources of Funds'!$P$38)</f>
        <v>0</v>
      </c>
      <c r="F89" s="2664">
        <f>IF('Part III-Sources of Funds'!$P$38="", 0,-'Part III-Sources of Funds'!$P$38)</f>
        <v>0</v>
      </c>
      <c r="G89" s="2664">
        <f>IF('Part III-Sources of Funds'!$P$38="", 0,-'Part III-Sources of Funds'!$P$38)</f>
        <v>0</v>
      </c>
      <c r="H89" s="2664">
        <f>IF('Part III-Sources of Funds'!$P$38="", 0,-'Part III-Sources of Funds'!$P$38)</f>
        <v>0</v>
      </c>
      <c r="I89" s="2664">
        <f>IF('Part III-Sources of Funds'!$P$38="", 0,-'Part III-Sources of Funds'!$P$38)</f>
        <v>0</v>
      </c>
      <c r="J89" s="2664">
        <f>IF('Part III-Sources of Funds'!$P$38="", 0,-'Part III-Sources of Funds'!$P$38)</f>
        <v>0</v>
      </c>
      <c r="K89" s="2664">
        <f>IF('Part III-Sources of Funds'!$P$38="", 0,-'Part III-Sources of Funds'!$P$38)</f>
        <v>0</v>
      </c>
      <c r="N89" s="3402"/>
      <c r="O89" s="3403"/>
    </row>
    <row r="90" spans="1:19" ht="13.2" customHeight="1">
      <c r="A90" s="20" t="str">
        <f>$A58</f>
        <v>Mortgage B</v>
      </c>
      <c r="B90" s="2665">
        <f>IF('Part III-Sources of Funds'!$P$39="", 0,-'Part III-Sources of Funds'!$P$39)</f>
        <v>0</v>
      </c>
      <c r="C90" s="2665">
        <f>IF('Part III-Sources of Funds'!$P$39="", 0,-'Part III-Sources of Funds'!$P$39)</f>
        <v>0</v>
      </c>
      <c r="D90" s="2665">
        <f>IF('Part III-Sources of Funds'!$P$39="", 0,-'Part III-Sources of Funds'!$P$39)</f>
        <v>0</v>
      </c>
      <c r="E90" s="2665">
        <f>IF('Part III-Sources of Funds'!$P$39="", 0,-'Part III-Sources of Funds'!$P$39)</f>
        <v>0</v>
      </c>
      <c r="F90" s="2665">
        <f>IF('Part III-Sources of Funds'!$P$39="", 0,-'Part III-Sources of Funds'!$P$39)</f>
        <v>0</v>
      </c>
      <c r="G90" s="2665">
        <f>IF('Part III-Sources of Funds'!$P$39="", 0,-'Part III-Sources of Funds'!$P$39)</f>
        <v>0</v>
      </c>
      <c r="H90" s="2665">
        <f>IF('Part III-Sources of Funds'!$P$39="", 0,-'Part III-Sources of Funds'!$P$39)</f>
        <v>0</v>
      </c>
      <c r="I90" s="2665">
        <f>IF('Part III-Sources of Funds'!$P$39="", 0,-'Part III-Sources of Funds'!$P$39)</f>
        <v>0</v>
      </c>
      <c r="J90" s="2665">
        <f>IF('Part III-Sources of Funds'!$P$39="", 0,-'Part III-Sources of Funds'!$P$39)</f>
        <v>0</v>
      </c>
      <c r="K90" s="2665">
        <f>IF('Part III-Sources of Funds'!$P$39="", 0,-'Part III-Sources of Funds'!$P$39)</f>
        <v>0</v>
      </c>
      <c r="N90" s="3402"/>
      <c r="O90" s="3403"/>
    </row>
    <row r="91" spans="1:19" ht="13.2" customHeight="1">
      <c r="A91" s="20" t="str">
        <f>$A59</f>
        <v>Mortgage C</v>
      </c>
      <c r="B91" s="2665">
        <f>IF('Part III-Sources of Funds'!$P$40="", 0,-'Part III-Sources of Funds'!$P$40)</f>
        <v>0</v>
      </c>
      <c r="C91" s="2665">
        <f>IF('Part III-Sources of Funds'!$P$40="", 0,-'Part III-Sources of Funds'!$P$40)</f>
        <v>0</v>
      </c>
      <c r="D91" s="2665">
        <f>IF('Part III-Sources of Funds'!$P$40="", 0,-'Part III-Sources of Funds'!$P$40)</f>
        <v>0</v>
      </c>
      <c r="E91" s="2665">
        <f>IF('Part III-Sources of Funds'!$P$40="", 0,-'Part III-Sources of Funds'!$P$40)</f>
        <v>0</v>
      </c>
      <c r="F91" s="2665">
        <f>IF('Part III-Sources of Funds'!$P$40="", 0,-'Part III-Sources of Funds'!$P$40)</f>
        <v>0</v>
      </c>
      <c r="G91" s="2665">
        <f>IF('Part III-Sources of Funds'!$P$40="", 0,-'Part III-Sources of Funds'!$P$40)</f>
        <v>0</v>
      </c>
      <c r="H91" s="2665">
        <f>IF('Part III-Sources of Funds'!$P$40="", 0,-'Part III-Sources of Funds'!$P$40)</f>
        <v>0</v>
      </c>
      <c r="I91" s="2665">
        <f>IF('Part III-Sources of Funds'!$P$40="", 0,-'Part III-Sources of Funds'!$P$40)</f>
        <v>0</v>
      </c>
      <c r="J91" s="2665">
        <f>IF('Part III-Sources of Funds'!$P$40="", 0,-'Part III-Sources of Funds'!$P$40)</f>
        <v>0</v>
      </c>
      <c r="K91" s="2665">
        <f>IF('Part III-Sources of Funds'!$P$40="", 0,-'Part III-Sources of Funds'!$P$40)</f>
        <v>0</v>
      </c>
      <c r="N91" s="3402"/>
      <c r="O91" s="3403"/>
    </row>
    <row r="92" spans="1:19" ht="13.2" customHeight="1">
      <c r="A92" s="20" t="str">
        <f>$A60</f>
        <v>D/S Other Source,not DDF</v>
      </c>
      <c r="B92" s="2665">
        <f>IF('Part III-Sources of Funds'!$P$41="", 0,-'Part III-Sources of Funds'!$P$41)</f>
        <v>0</v>
      </c>
      <c r="C92" s="2665">
        <f>IF('Part III-Sources of Funds'!$P$41="", 0,-'Part III-Sources of Funds'!$P$41)</f>
        <v>0</v>
      </c>
      <c r="D92" s="2665">
        <f>IF('Part III-Sources of Funds'!$P$41="", 0,-'Part III-Sources of Funds'!$P$41)</f>
        <v>0</v>
      </c>
      <c r="E92" s="2665">
        <f>IF('Part III-Sources of Funds'!$P$41="", 0,-'Part III-Sources of Funds'!$P$41)</f>
        <v>0</v>
      </c>
      <c r="F92" s="2665">
        <f>IF('Part III-Sources of Funds'!$P$41="", 0,-'Part III-Sources of Funds'!$P$41)</f>
        <v>0</v>
      </c>
      <c r="G92" s="2665">
        <f>IF('Part III-Sources of Funds'!$P$41="", 0,-'Part III-Sources of Funds'!$P$41)</f>
        <v>0</v>
      </c>
      <c r="H92" s="2665">
        <f>IF('Part III-Sources of Funds'!$P$41="", 0,-'Part III-Sources of Funds'!$P$41)</f>
        <v>0</v>
      </c>
      <c r="I92" s="2665">
        <f>IF('Part III-Sources of Funds'!$P$41="", 0,-'Part III-Sources of Funds'!$P$41)</f>
        <v>0</v>
      </c>
      <c r="J92" s="2665">
        <f>IF('Part III-Sources of Funds'!$P$41="", 0,-'Part III-Sources of Funds'!$P$41)</f>
        <v>0</v>
      </c>
      <c r="K92" s="2665">
        <f>IF('Part III-Sources of Funds'!$P$41="", 0,-'Part III-Sources of Funds'!$P$41)</f>
        <v>0</v>
      </c>
      <c r="N92" s="3402"/>
      <c r="O92" s="3403"/>
    </row>
    <row r="93" spans="1:19" ht="13.2" customHeight="1">
      <c r="A93" s="20" t="s">
        <v>763</v>
      </c>
      <c r="B93" s="2666"/>
      <c r="C93" s="2666"/>
      <c r="D93" s="2666"/>
      <c r="E93" s="2666"/>
      <c r="F93" s="2666"/>
      <c r="G93" s="2666"/>
      <c r="H93" s="2666"/>
      <c r="I93" s="2666"/>
      <c r="J93" s="2666"/>
      <c r="K93" s="2666"/>
      <c r="N93" s="3402"/>
      <c r="O93" s="3403"/>
    </row>
    <row r="94" spans="1:19" ht="13.2" customHeight="1">
      <c r="A94" s="420" t="s">
        <v>1163</v>
      </c>
      <c r="B94" s="2668">
        <f>+K62</f>
        <v>-5000</v>
      </c>
      <c r="C94" s="2668">
        <f t="shared" ref="C94:K94" si="40">+B94</f>
        <v>-5000</v>
      </c>
      <c r="D94" s="2668">
        <f t="shared" si="40"/>
        <v>-5000</v>
      </c>
      <c r="E94" s="2668">
        <f t="shared" si="40"/>
        <v>-5000</v>
      </c>
      <c r="F94" s="2668">
        <f t="shared" si="40"/>
        <v>-5000</v>
      </c>
      <c r="G94" s="2668">
        <f t="shared" si="40"/>
        <v>-5000</v>
      </c>
      <c r="H94" s="2668">
        <f t="shared" si="40"/>
        <v>-5000</v>
      </c>
      <c r="I94" s="2668">
        <f t="shared" si="40"/>
        <v>-5000</v>
      </c>
      <c r="J94" s="2668">
        <f t="shared" si="40"/>
        <v>-5000</v>
      </c>
      <c r="K94" s="2668">
        <f t="shared" si="40"/>
        <v>-5000</v>
      </c>
      <c r="N94" s="3402"/>
      <c r="O94" s="3403"/>
    </row>
    <row r="95" spans="1:19" ht="13.2" customHeight="1">
      <c r="A95" s="20" t="s">
        <v>1164</v>
      </c>
      <c r="B95" s="21">
        <f t="shared" ref="B95:K95" si="41">SUM(B88:B94)</f>
        <v>11519.545965241796</v>
      </c>
      <c r="C95" s="21">
        <f t="shared" si="41"/>
        <v>7720.5070860440464</v>
      </c>
      <c r="D95" s="21">
        <f t="shared" si="41"/>
        <v>3721.0367353073016</v>
      </c>
      <c r="E95" s="21">
        <f t="shared" si="41"/>
        <v>-485.4560372180531</v>
      </c>
      <c r="F95" s="21">
        <f t="shared" si="41"/>
        <v>-4908.7942704105808</v>
      </c>
      <c r="G95" s="21">
        <f t="shared" si="41"/>
        <v>-9555.0407416405506</v>
      </c>
      <c r="H95" s="21">
        <f t="shared" si="41"/>
        <v>-14433.505859869831</v>
      </c>
      <c r="I95" s="21">
        <f t="shared" si="41"/>
        <v>-19552.755809565519</v>
      </c>
      <c r="J95" s="21">
        <f t="shared" si="41"/>
        <v>-24923.620953230049</v>
      </c>
      <c r="K95" s="22">
        <f t="shared" si="41"/>
        <v>-30553.204500592052</v>
      </c>
      <c r="N95" s="3402"/>
      <c r="O95" s="3403"/>
    </row>
    <row r="96" spans="1:19" ht="13.2" customHeight="1">
      <c r="A96" s="20" t="str">
        <f>$A65</f>
        <v>DCR Mortgage A</v>
      </c>
      <c r="B96" s="23" t="str">
        <f t="shared" ref="B96:K96" si="42">IF(B89=0,"",-B88/B89)</f>
        <v/>
      </c>
      <c r="C96" s="23" t="str">
        <f t="shared" si="42"/>
        <v/>
      </c>
      <c r="D96" s="23" t="str">
        <f t="shared" si="42"/>
        <v/>
      </c>
      <c r="E96" s="23" t="str">
        <f t="shared" si="42"/>
        <v/>
      </c>
      <c r="F96" s="23" t="str">
        <f t="shared" si="42"/>
        <v/>
      </c>
      <c r="G96" s="23" t="str">
        <f t="shared" si="42"/>
        <v/>
      </c>
      <c r="H96" s="23" t="str">
        <f t="shared" si="42"/>
        <v/>
      </c>
      <c r="I96" s="23" t="str">
        <f t="shared" si="42"/>
        <v/>
      </c>
      <c r="J96" s="23" t="str">
        <f t="shared" si="42"/>
        <v/>
      </c>
      <c r="K96" s="24" t="str">
        <f t="shared" si="42"/>
        <v/>
      </c>
      <c r="N96" s="3402"/>
      <c r="O96" s="3403"/>
    </row>
    <row r="97" spans="1:15" ht="13.2" customHeight="1">
      <c r="A97" s="20" t="str">
        <f>$A66</f>
        <v>DCR Mortgage B</v>
      </c>
      <c r="B97" s="23" t="str">
        <f t="shared" ref="B97:K97" si="43">IF(B90=0,"",-(B88+B89)/B90)</f>
        <v/>
      </c>
      <c r="C97" s="23" t="str">
        <f t="shared" si="43"/>
        <v/>
      </c>
      <c r="D97" s="23" t="str">
        <f t="shared" si="43"/>
        <v/>
      </c>
      <c r="E97" s="23" t="str">
        <f t="shared" si="43"/>
        <v/>
      </c>
      <c r="F97" s="23" t="str">
        <f t="shared" si="43"/>
        <v/>
      </c>
      <c r="G97" s="23" t="str">
        <f t="shared" si="43"/>
        <v/>
      </c>
      <c r="H97" s="23" t="str">
        <f t="shared" si="43"/>
        <v/>
      </c>
      <c r="I97" s="23" t="str">
        <f t="shared" si="43"/>
        <v/>
      </c>
      <c r="J97" s="23" t="str">
        <f t="shared" si="43"/>
        <v/>
      </c>
      <c r="K97" s="24" t="str">
        <f t="shared" si="43"/>
        <v/>
      </c>
      <c r="N97" s="3402"/>
      <c r="O97" s="3403"/>
    </row>
    <row r="98" spans="1:15" ht="13.2" customHeight="1">
      <c r="A98" s="20" t="str">
        <f>$A67</f>
        <v>DCR Mortgage C</v>
      </c>
      <c r="B98" s="23" t="str">
        <f t="shared" ref="B98:K98" si="44">IF(B91=0,"",-(B88+B89+B90)/B91)</f>
        <v/>
      </c>
      <c r="C98" s="23" t="str">
        <f t="shared" si="44"/>
        <v/>
      </c>
      <c r="D98" s="23" t="str">
        <f t="shared" si="44"/>
        <v/>
      </c>
      <c r="E98" s="23" t="str">
        <f t="shared" si="44"/>
        <v/>
      </c>
      <c r="F98" s="23" t="str">
        <f t="shared" si="44"/>
        <v/>
      </c>
      <c r="G98" s="23" t="str">
        <f t="shared" si="44"/>
        <v/>
      </c>
      <c r="H98" s="23" t="str">
        <f t="shared" si="44"/>
        <v/>
      </c>
      <c r="I98" s="23" t="str">
        <f t="shared" si="44"/>
        <v/>
      </c>
      <c r="J98" s="23" t="str">
        <f t="shared" si="44"/>
        <v/>
      </c>
      <c r="K98" s="24" t="str">
        <f t="shared" si="44"/>
        <v/>
      </c>
      <c r="N98" s="3402"/>
      <c r="O98" s="3403"/>
    </row>
    <row r="99" spans="1:15" ht="13.2" customHeight="1">
      <c r="A99" s="20" t="str">
        <f>$A68</f>
        <v>DCR Other Source</v>
      </c>
      <c r="B99" s="23" t="str">
        <f t="shared" ref="B99:K99" si="45">IF(B92=0,"",-(B88+B89+B90+B91)/B92)</f>
        <v/>
      </c>
      <c r="C99" s="23" t="str">
        <f t="shared" si="45"/>
        <v/>
      </c>
      <c r="D99" s="23" t="str">
        <f t="shared" si="45"/>
        <v/>
      </c>
      <c r="E99" s="23" t="str">
        <f t="shared" si="45"/>
        <v/>
      </c>
      <c r="F99" s="23" t="str">
        <f t="shared" si="45"/>
        <v/>
      </c>
      <c r="G99" s="23" t="str">
        <f t="shared" si="45"/>
        <v/>
      </c>
      <c r="H99" s="23" t="str">
        <f t="shared" si="45"/>
        <v/>
      </c>
      <c r="I99" s="23" t="str">
        <f t="shared" si="45"/>
        <v/>
      </c>
      <c r="J99" s="23" t="str">
        <f t="shared" si="45"/>
        <v/>
      </c>
      <c r="K99" s="24" t="str">
        <f t="shared" si="45"/>
        <v/>
      </c>
      <c r="N99" s="3402"/>
      <c r="O99" s="3403"/>
    </row>
    <row r="100" spans="1:15" ht="13.2" customHeight="1">
      <c r="A100" s="420" t="s">
        <v>3710</v>
      </c>
      <c r="B100" s="23" t="str">
        <f t="shared" ref="B100:K100" si="46">IF(AND(B89=0,B90=0,B91=0,B92=0),"",-B88/(B89+B90+B91+B92))</f>
        <v/>
      </c>
      <c r="C100" s="23" t="str">
        <f t="shared" si="46"/>
        <v/>
      </c>
      <c r="D100" s="23" t="str">
        <f t="shared" si="46"/>
        <v/>
      </c>
      <c r="E100" s="23" t="str">
        <f t="shared" si="46"/>
        <v/>
      </c>
      <c r="F100" s="23" t="str">
        <f t="shared" si="46"/>
        <v/>
      </c>
      <c r="G100" s="23" t="str">
        <f t="shared" si="46"/>
        <v/>
      </c>
      <c r="H100" s="23" t="str">
        <f t="shared" si="46"/>
        <v/>
      </c>
      <c r="I100" s="23" t="str">
        <f t="shared" si="46"/>
        <v/>
      </c>
      <c r="J100" s="23" t="str">
        <f t="shared" si="46"/>
        <v/>
      </c>
      <c r="K100" s="24" t="str">
        <f t="shared" si="46"/>
        <v/>
      </c>
      <c r="N100" s="3402"/>
      <c r="O100" s="3403"/>
    </row>
    <row r="101" spans="1:15" ht="13.2" customHeight="1">
      <c r="A101" s="20" t="s">
        <v>770</v>
      </c>
      <c r="B101" s="266">
        <f>IF(OR(B85="Choose mgt fee",B85="Choose One!"),"",(B78+B79+B80+B81+B82) / -(B84+B85+B86))</f>
        <v>1.0400006459633704</v>
      </c>
      <c r="C101" s="266">
        <f t="shared" ref="C101:K101" si="47">IF(OR(C85="Choose mgt fee",C85="Choose One!"),"",(C78+C79+C80+C81+C82) / -(C84+C85+C86))</f>
        <v>1.02990449657681</v>
      </c>
      <c r="D101" s="266">
        <f t="shared" si="47"/>
        <v>1.019905028060387</v>
      </c>
      <c r="E101" s="266">
        <f t="shared" si="47"/>
        <v>1.0100039551198927</v>
      </c>
      <c r="F101" s="266">
        <f t="shared" si="47"/>
        <v>1.0001962193950162</v>
      </c>
      <c r="G101" s="266">
        <f t="shared" si="47"/>
        <v>0.99048574199695838</v>
      </c>
      <c r="H101" s="266">
        <f t="shared" si="47"/>
        <v>0.98086983306300801</v>
      </c>
      <c r="I101" s="266">
        <f t="shared" si="47"/>
        <v>0.97134804892383697</v>
      </c>
      <c r="J101" s="266">
        <f t="shared" si="47"/>
        <v>0.96191627180527917</v>
      </c>
      <c r="K101" s="267">
        <f t="shared" si="47"/>
        <v>0.95257802135350533</v>
      </c>
      <c r="N101" s="3402"/>
      <c r="O101" s="3403"/>
    </row>
    <row r="102" spans="1:15" ht="13.2" customHeight="1">
      <c r="A102" s="420" t="s">
        <v>2617</v>
      </c>
      <c r="B102" s="2669" t="str">
        <f>IF('Part III-Sources of Funds'!$I$38="","",-FV('Part III-Sources of Funds'!$K$38/12,12,B89/12,K71))</f>
        <v/>
      </c>
      <c r="C102" s="2669" t="str">
        <f>IF('Part III-Sources of Funds'!$I$38="","",-FV('Part III-Sources of Funds'!$K$38/12,12,C89/12,B102))</f>
        <v/>
      </c>
      <c r="D102" s="2669" t="str">
        <f>IF('Part III-Sources of Funds'!$I$38="","",-FV('Part III-Sources of Funds'!$K$38/12,12,D89/12,C102))</f>
        <v/>
      </c>
      <c r="E102" s="2669" t="str">
        <f>IF('Part III-Sources of Funds'!$I$38="","",-FV('Part III-Sources of Funds'!$K$38/12,12,E89/12,D102))</f>
        <v/>
      </c>
      <c r="F102" s="2669" t="str">
        <f>IF('Part III-Sources of Funds'!$I$38="","",-FV('Part III-Sources of Funds'!$K$38/12,12,F89/12,E102))</f>
        <v/>
      </c>
      <c r="G102" s="2669" t="str">
        <f>IF('Part III-Sources of Funds'!$I$38="","",-FV('Part III-Sources of Funds'!$K$38/12,12,G89/12,F102))</f>
        <v/>
      </c>
      <c r="H102" s="2669" t="str">
        <f>IF('Part III-Sources of Funds'!$I$38="","",-FV('Part III-Sources of Funds'!$K$38/12,12,H89/12,G102))</f>
        <v/>
      </c>
      <c r="I102" s="2669" t="str">
        <f>IF('Part III-Sources of Funds'!$I$38="","",-FV('Part III-Sources of Funds'!$K$38/12,12,I89/12,H102))</f>
        <v/>
      </c>
      <c r="J102" s="2669" t="str">
        <f>IF('Part III-Sources of Funds'!$I$38="","",-FV('Part III-Sources of Funds'!$K$38/12,12,J89/12,I102))</f>
        <v/>
      </c>
      <c r="K102" s="2669" t="str">
        <f>IF('Part III-Sources of Funds'!$I$38="","",-FV('Part III-Sources of Funds'!$K$38/12,12,K89/12,J102))</f>
        <v/>
      </c>
      <c r="N102" s="3402"/>
      <c r="O102" s="3403"/>
    </row>
    <row r="103" spans="1:15" ht="13.2" customHeight="1">
      <c r="A103" s="420" t="s">
        <v>2618</v>
      </c>
      <c r="B103" s="2665" t="str">
        <f>IF('Part III-Sources of Funds'!$I$39="","",-FV('Part III-Sources of Funds'!$K$39/12,12,B90/12,K72))</f>
        <v/>
      </c>
      <c r="C103" s="2665" t="str">
        <f>IF('Part III-Sources of Funds'!$I$39="","",-FV('Part III-Sources of Funds'!$K$39/12,12,C90/12,B103))</f>
        <v/>
      </c>
      <c r="D103" s="2665" t="str">
        <f>IF('Part III-Sources of Funds'!$I$39="","",-FV('Part III-Sources of Funds'!$K$39/12,12,D90/12,C103))</f>
        <v/>
      </c>
      <c r="E103" s="2665" t="str">
        <f>IF('Part III-Sources of Funds'!$I$39="","",-FV('Part III-Sources of Funds'!$K$39/12,12,E90/12,D103))</f>
        <v/>
      </c>
      <c r="F103" s="2665" t="str">
        <f>IF('Part III-Sources of Funds'!$I$39="","",-FV('Part III-Sources of Funds'!$K$39/12,12,F90/12,E103))</f>
        <v/>
      </c>
      <c r="G103" s="2665" t="str">
        <f>IF('Part III-Sources of Funds'!$I$39="","",-FV('Part III-Sources of Funds'!$K$39/12,12,G90/12,F103))</f>
        <v/>
      </c>
      <c r="H103" s="2665" t="str">
        <f>IF('Part III-Sources of Funds'!$I$39="","",-FV('Part III-Sources of Funds'!$K$39/12,12,H90/12,G103))</f>
        <v/>
      </c>
      <c r="I103" s="2665" t="str">
        <f>IF('Part III-Sources of Funds'!$I$39="","",-FV('Part III-Sources of Funds'!$K$39/12,12,I90/12,H103))</f>
        <v/>
      </c>
      <c r="J103" s="2665" t="str">
        <f>IF('Part III-Sources of Funds'!$I$39="","",-FV('Part III-Sources of Funds'!$K$39/12,12,J90/12,I103))</f>
        <v/>
      </c>
      <c r="K103" s="2665" t="str">
        <f>IF('Part III-Sources of Funds'!$I$39="","",-FV('Part III-Sources of Funds'!$K$39/12,12,K90/12,J103))</f>
        <v/>
      </c>
      <c r="N103" s="3402"/>
      <c r="O103" s="3403"/>
    </row>
    <row r="104" spans="1:15" ht="13.2" customHeight="1">
      <c r="A104" s="420" t="s">
        <v>2619</v>
      </c>
      <c r="B104" s="2665" t="str">
        <f>IF('Part III-Sources of Funds'!$I$40="","",-FV('Part III-Sources of Funds'!$K$40/12,12,B91/12,K73))</f>
        <v/>
      </c>
      <c r="C104" s="2665" t="str">
        <f>IF('Part III-Sources of Funds'!$I$40="","",-FV('Part III-Sources of Funds'!$K$40/12,12,C91/12,B104))</f>
        <v/>
      </c>
      <c r="D104" s="2665" t="str">
        <f>IF('Part III-Sources of Funds'!$I$40="","",-FV('Part III-Sources of Funds'!$K$40/12,12,D91/12,C104))</f>
        <v/>
      </c>
      <c r="E104" s="2665" t="str">
        <f>IF('Part III-Sources of Funds'!$I$40="","",-FV('Part III-Sources of Funds'!$K$40/12,12,E91/12,D104))</f>
        <v/>
      </c>
      <c r="F104" s="2665" t="str">
        <f>IF('Part III-Sources of Funds'!$I$40="","",-FV('Part III-Sources of Funds'!$K$40/12,12,F91/12,E104))</f>
        <v/>
      </c>
      <c r="G104" s="2665" t="str">
        <f>IF('Part III-Sources of Funds'!$I$40="","",-FV('Part III-Sources of Funds'!$K$40/12,12,G91/12,F104))</f>
        <v/>
      </c>
      <c r="H104" s="2665" t="str">
        <f>IF('Part III-Sources of Funds'!$I$40="","",-FV('Part III-Sources of Funds'!$K$40/12,12,H91/12,G104))</f>
        <v/>
      </c>
      <c r="I104" s="2665" t="str">
        <f>IF('Part III-Sources of Funds'!$I$40="","",-FV('Part III-Sources of Funds'!$K$40/12,12,I91/12,H104))</f>
        <v/>
      </c>
      <c r="J104" s="2665" t="str">
        <f>IF('Part III-Sources of Funds'!$I$40="","",-FV('Part III-Sources of Funds'!$K$40/12,12,J91/12,I104))</f>
        <v/>
      </c>
      <c r="K104" s="2665" t="str">
        <f>IF('Part III-Sources of Funds'!$I$40="","",-FV('Part III-Sources of Funds'!$K$40/12,12,K91/12,J104))</f>
        <v/>
      </c>
      <c r="N104" s="3402"/>
      <c r="O104" s="3403"/>
    </row>
    <row r="105" spans="1:15" ht="13.2" customHeight="1">
      <c r="A105" s="20" t="s">
        <v>784</v>
      </c>
      <c r="B105" s="2668" t="str">
        <f>IF('Part III-Sources of Funds'!$I$41="","",-FV('Part III-Sources of Funds'!$K$41/12,12,B92/12,K74))</f>
        <v/>
      </c>
      <c r="C105" s="2668" t="str">
        <f>IF('Part III-Sources of Funds'!$I$41="","",-FV('Part III-Sources of Funds'!$K$41/12,12,C92/12,B105))</f>
        <v/>
      </c>
      <c r="D105" s="2668" t="str">
        <f>IF('Part III-Sources of Funds'!$I$41="","",-FV('Part III-Sources of Funds'!$K$41/12,12,D92/12,C105))</f>
        <v/>
      </c>
      <c r="E105" s="2668" t="str">
        <f>IF('Part III-Sources of Funds'!$I$41="","",-FV('Part III-Sources of Funds'!$K$41/12,12,E92/12,D105))</f>
        <v/>
      </c>
      <c r="F105" s="2668" t="str">
        <f>IF('Part III-Sources of Funds'!$I$41="","",-FV('Part III-Sources of Funds'!$K$41/12,12,F92/12,E105))</f>
        <v/>
      </c>
      <c r="G105" s="2668" t="str">
        <f>IF('Part III-Sources of Funds'!$I$41="","",-FV('Part III-Sources of Funds'!$K$41/12,12,G92/12,F105))</f>
        <v/>
      </c>
      <c r="H105" s="2668" t="str">
        <f>IF('Part III-Sources of Funds'!$I$41="","",-FV('Part III-Sources of Funds'!$K$41/12,12,H92/12,G105))</f>
        <v/>
      </c>
      <c r="I105" s="2668" t="str">
        <f>IF('Part III-Sources of Funds'!$I$41="","",-FV('Part III-Sources of Funds'!$K$41/12,12,I92/12,H105))</f>
        <v/>
      </c>
      <c r="J105" s="2668" t="str">
        <f>IF('Part III-Sources of Funds'!$I$41="","",-FV('Part III-Sources of Funds'!$K$41/12,12,J92/12,I105))</f>
        <v/>
      </c>
      <c r="K105" s="2668" t="str">
        <f>IF('Part III-Sources of Funds'!$I$41="","",-FV('Part III-Sources of Funds'!$K$41/12,12,K92/12,J105))</f>
        <v/>
      </c>
      <c r="N105" s="3444"/>
      <c r="O105" s="3446"/>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3052" t="s">
        <v>3700</v>
      </c>
      <c r="O107" s="3052"/>
    </row>
    <row r="108" spans="1:15" ht="13.2" customHeight="1">
      <c r="A108" s="17" t="s">
        <v>2404</v>
      </c>
      <c r="B108" s="18">
        <f>$B$14*(1+$B$5)^(B107-1)</f>
        <v>551929.12012262817</v>
      </c>
      <c r="C108" s="18">
        <f>$B$14*(1+$B$5)^(C107-1)</f>
        <v>562967.70252508065</v>
      </c>
      <c r="D108" s="18">
        <f>$B$14*(1+$B$5)^(D107-1)</f>
        <v>574227.05657558236</v>
      </c>
      <c r="E108" s="18">
        <f>$B$14*(1+$B$5)^(E107-1)</f>
        <v>585711.59770709404</v>
      </c>
      <c r="F108" s="625">
        <f>$B$14*(1+$B$5)^(F107-1)</f>
        <v>597425.82966123591</v>
      </c>
      <c r="G108" s="16"/>
      <c r="H108" s="16"/>
      <c r="I108" s="16"/>
      <c r="J108" s="16"/>
      <c r="K108" s="16"/>
      <c r="N108" s="3410"/>
      <c r="O108" s="3411"/>
    </row>
    <row r="109" spans="1:15" ht="13.2" customHeight="1">
      <c r="A109" s="20" t="s">
        <v>1016</v>
      </c>
      <c r="B109" s="21">
        <f>$B$15*(1+$B$5)^(B107-1)</f>
        <v>11038.582402452565</v>
      </c>
      <c r="C109" s="21">
        <f>$B$15*(1+$B$5)^(C107-1)</f>
        <v>11259.354050501614</v>
      </c>
      <c r="D109" s="21">
        <f>$B$15*(1+$B$5)^(D107-1)</f>
        <v>11484.541131511647</v>
      </c>
      <c r="E109" s="21">
        <f>$B$15*(1+$B$5)^(E107-1)</f>
        <v>11714.231954141882</v>
      </c>
      <c r="F109" s="22">
        <f>$B$15*(1+$B$5)^(F107-1)</f>
        <v>11948.516593224718</v>
      </c>
      <c r="G109" s="16"/>
      <c r="H109" s="16"/>
      <c r="I109" s="16"/>
      <c r="J109" s="16"/>
      <c r="K109" s="16"/>
      <c r="N109" s="3402"/>
      <c r="O109" s="3403"/>
    </row>
    <row r="110" spans="1:15" ht="13.2" customHeight="1">
      <c r="A110" s="20" t="s">
        <v>2405</v>
      </c>
      <c r="B110" s="21">
        <f>-(B108+B109)*$B$8</f>
        <v>-39407.739176755655</v>
      </c>
      <c r="C110" s="21">
        <f>-(C108+C109)*$B$8</f>
        <v>-40195.893960290763</v>
      </c>
      <c r="D110" s="21">
        <f>-(D108+D109)*$B$8</f>
        <v>-40999.811839496586</v>
      </c>
      <c r="E110" s="21">
        <f>-(E108+E109)*$B$8</f>
        <v>-41819.808076286521</v>
      </c>
      <c r="F110" s="22">
        <f>-(F108+F109)*$B$8</f>
        <v>-42656.20423781225</v>
      </c>
      <c r="G110" s="16"/>
      <c r="H110" s="16"/>
      <c r="I110" s="16"/>
      <c r="J110" s="16"/>
      <c r="K110" s="16"/>
      <c r="N110" s="3402"/>
      <c r="O110" s="3403"/>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02"/>
      <c r="O111" s="3403"/>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02"/>
      <c r="O112" s="3403"/>
    </row>
    <row r="113" spans="1:19" ht="13.2" customHeight="1">
      <c r="A113" s="420" t="s">
        <v>4934</v>
      </c>
      <c r="B113" s="21">
        <f>SUM(B108:B112)</f>
        <v>523559.96334832511</v>
      </c>
      <c r="C113" s="21">
        <f>SUM(C108:C112)</f>
        <v>534031.16261529154</v>
      </c>
      <c r="D113" s="21">
        <f>SUM(D108:D112)</f>
        <v>544711.78586759744</v>
      </c>
      <c r="E113" s="21">
        <f>SUM(E108:E112)</f>
        <v>555606.02158494934</v>
      </c>
      <c r="F113" s="22">
        <f>SUM(F108:F112)</f>
        <v>566718.14201664843</v>
      </c>
      <c r="G113" s="16"/>
      <c r="H113" s="16"/>
      <c r="I113" s="16"/>
      <c r="J113" s="16"/>
      <c r="K113" s="16"/>
      <c r="N113" s="3402"/>
      <c r="O113" s="3403"/>
    </row>
    <row r="114" spans="1:19" ht="13.2" customHeight="1">
      <c r="A114" s="20" t="s">
        <v>614</v>
      </c>
      <c r="B114" s="21">
        <f>$B$20*(1+$B$6)^(B107-1)</f>
        <v>-469961.70514679939</v>
      </c>
      <c r="C114" s="21">
        <f>$B$20*(1+$B$6)^(C107-1)</f>
        <v>-484060.5563012035</v>
      </c>
      <c r="D114" s="21">
        <f>$B$20*(1+$B$6)^(D107-1)</f>
        <v>-498582.37299023947</v>
      </c>
      <c r="E114" s="21">
        <f>$B$20*(1+$B$6)^(E107-1)</f>
        <v>-513539.8441799467</v>
      </c>
      <c r="F114" s="22">
        <f>$B$20*(1+$B$6)^(F107-1)</f>
        <v>-528946.03950534505</v>
      </c>
      <c r="G114" s="16"/>
      <c r="H114" s="16"/>
      <c r="I114" s="16"/>
      <c r="J114" s="16"/>
      <c r="K114" s="16"/>
      <c r="N114" s="3402"/>
      <c r="O114" s="3403"/>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-55924</v>
      </c>
      <c r="C115" s="21">
        <f>IF(AND('Part VII-Pro Forma'!$G$8="Yes",'Part VII-Pro Forma'!$G$9="Yes"),"Choose One!",IF('Part VII-Pro Forma'!$G$8="Yes",ROUND((-$K$8*(1+'Part VII-Pro Forma'!$B$6)^('Part VII-Pro Forma'!C107-1)),),IF('Part VII-Pro Forma'!$G$9="Yes",ROUND((-(SUM(C108:C111)*'Part VII-Pro Forma'!$K$9)),),"Choose mgt fee")))</f>
        <v>-57602</v>
      </c>
      <c r="D115" s="21">
        <f>IF(AND('Part VII-Pro Forma'!$G$8="Yes",'Part VII-Pro Forma'!$G$9="Yes"),"Choose One!",IF('Part VII-Pro Forma'!$G$8="Yes",ROUND((-$K$8*(1+'Part VII-Pro Forma'!$B$6)^('Part VII-Pro Forma'!D107-1)),),IF('Part VII-Pro Forma'!$G$9="Yes",ROUND((-(SUM(D108:D111)*'Part VII-Pro Forma'!$K$9)),),"Choose mgt fee")))</f>
        <v>-59330</v>
      </c>
      <c r="E115" s="21">
        <f>IF(AND('Part VII-Pro Forma'!$G$8="Yes",'Part VII-Pro Forma'!$G$9="Yes"),"Choose One!",IF('Part VII-Pro Forma'!$G$8="Yes",ROUND((-$K$8*(1+'Part VII-Pro Forma'!$B$6)^('Part VII-Pro Forma'!E107-1)),),IF('Part VII-Pro Forma'!$G$9="Yes",ROUND((-(SUM(E108:E111)*'Part VII-Pro Forma'!$K$9)),),"Choose mgt fee")))</f>
        <v>-61110</v>
      </c>
      <c r="F115" s="22">
        <f>IF(AND('Part VII-Pro Forma'!$G$8="Yes",'Part VII-Pro Forma'!$G$9="Yes"),"Choose One!",IF('Part VII-Pro Forma'!$G$8="Yes",ROUND((-$K$8*(1+'Part VII-Pro Forma'!$B$6)^('Part VII-Pro Forma'!F107-1)),),IF('Part VII-Pro Forma'!$G$9="Yes",ROUND((-(SUM(F108:F111)*'Part VII-Pro Forma'!$K$9)),),"Choose mgt fee")))</f>
        <v>-62943</v>
      </c>
      <c r="G115" s="16"/>
      <c r="H115" s="16"/>
      <c r="I115" s="16"/>
      <c r="J115" s="16"/>
      <c r="K115" s="16"/>
      <c r="N115" s="3402"/>
      <c r="O115" s="3403"/>
    </row>
    <row r="116" spans="1:19" ht="13.2" customHeight="1">
      <c r="A116" s="20" t="s">
        <v>1202</v>
      </c>
      <c r="B116" s="21">
        <f>$B$22*(1+$B$7)^(B107-1)</f>
        <v>-29127.149654275909</v>
      </c>
      <c r="C116" s="21">
        <f>$B$22*(1+$B$7)^(C107-1)</f>
        <v>-30000.964143904192</v>
      </c>
      <c r="D116" s="21">
        <f>$B$22*(1+$B$7)^(D107-1)</f>
        <v>-30900.993068221313</v>
      </c>
      <c r="E116" s="21">
        <f>$B$22*(1+$B$7)^(E107-1)</f>
        <v>-31828.022860267953</v>
      </c>
      <c r="F116" s="22">
        <f>$B$22*(1+$B$7)^(F107-1)</f>
        <v>-32782.863546075983</v>
      </c>
      <c r="G116" s="16"/>
      <c r="H116" s="16"/>
      <c r="I116" s="16"/>
      <c r="J116" s="16"/>
      <c r="K116" s="16"/>
      <c r="N116" s="3402"/>
      <c r="O116" s="3403"/>
    </row>
    <row r="117" spans="1:19" ht="13.2" customHeight="1">
      <c r="A117" s="420" t="s">
        <v>4933</v>
      </c>
      <c r="B117" s="2663">
        <f>IF(B107&lt;=+'Part VI-Revenues &amp; Expenses'!$K$243,-'Part VI-Revenues &amp; Expenses'!$H$243,0)</f>
        <v>0</v>
      </c>
      <c r="C117" s="2663">
        <f>IF(C107&lt;=+'Part VI-Revenues &amp; Expenses'!$K$243,-'Part VI-Revenues &amp; Expenses'!$H$243,0)</f>
        <v>0</v>
      </c>
      <c r="D117" s="2663">
        <f>IF(D107&lt;=+'Part VI-Revenues &amp; Expenses'!$K$243,-'Part VI-Revenues &amp; Expenses'!$H$243,0)</f>
        <v>0</v>
      </c>
      <c r="E117" s="2663">
        <f>IF(E107&lt;=+'Part VI-Revenues &amp; Expenses'!$K$243,-'Part VI-Revenues &amp; Expenses'!$H$243,0)</f>
        <v>0</v>
      </c>
      <c r="F117" s="2663">
        <f>IF(F107&lt;=+'Part VI-Revenues &amp; Expenses'!$K$243,-'Part VI-Revenues &amp; Expenses'!$H$243,0)</f>
        <v>0</v>
      </c>
      <c r="G117" s="16"/>
      <c r="H117" s="16"/>
      <c r="I117" s="16"/>
      <c r="J117" s="16"/>
      <c r="K117" s="16"/>
      <c r="N117" s="3402"/>
      <c r="O117" s="3403"/>
      <c r="Q117" s="971">
        <v>10</v>
      </c>
      <c r="R117" s="1092">
        <f>-SUM(B122:K122)</f>
        <v>0</v>
      </c>
      <c r="S117" s="1092">
        <f>SUM(B123:K123)+R117</f>
        <v>0</v>
      </c>
    </row>
    <row r="118" spans="1:19" ht="13.2" customHeight="1">
      <c r="A118" s="20" t="s">
        <v>1203</v>
      </c>
      <c r="B118" s="21">
        <f>SUM(B113:B117)</f>
        <v>-31452.891452750187</v>
      </c>
      <c r="C118" s="21">
        <f>SUM(C113:C117)</f>
        <v>-37632.357829816145</v>
      </c>
      <c r="D118" s="21">
        <f>SUM(D113:D117)</f>
        <v>-44101.580190863344</v>
      </c>
      <c r="E118" s="21">
        <f>SUM(E113:E117)</f>
        <v>-50871.845455265313</v>
      </c>
      <c r="F118" s="2156">
        <f>SUM(F113:F117)</f>
        <v>-57953.7610347726</v>
      </c>
      <c r="G118" s="16"/>
      <c r="H118" s="16"/>
      <c r="I118" s="16"/>
      <c r="J118" s="16"/>
      <c r="K118" s="16"/>
      <c r="N118" s="3402"/>
      <c r="O118" s="3403"/>
    </row>
    <row r="119" spans="1:19" ht="13.2" customHeight="1">
      <c r="A119" s="20" t="str">
        <f>$A89</f>
        <v>Mortgage A</v>
      </c>
      <c r="B119" s="2664">
        <f>IF('Part III-Sources of Funds'!$P$38="", 0,-'Part III-Sources of Funds'!$P$38)</f>
        <v>0</v>
      </c>
      <c r="C119" s="2664">
        <f>IF('Part III-Sources of Funds'!$P$38="", 0,-'Part III-Sources of Funds'!$P$38)</f>
        <v>0</v>
      </c>
      <c r="D119" s="2664">
        <f>IF('Part III-Sources of Funds'!$P$38="", 0,-'Part III-Sources of Funds'!$P$38)</f>
        <v>0</v>
      </c>
      <c r="E119" s="2664">
        <f>IF('Part III-Sources of Funds'!$P$38="", 0,-'Part III-Sources of Funds'!$P$38)</f>
        <v>0</v>
      </c>
      <c r="F119" s="2664">
        <f>IF('Part III-Sources of Funds'!$P$38="", 0,-'Part III-Sources of Funds'!$P$38)</f>
        <v>0</v>
      </c>
      <c r="G119" s="16"/>
      <c r="H119" s="16"/>
      <c r="I119" s="16"/>
      <c r="J119" s="16"/>
      <c r="K119" s="16"/>
      <c r="N119" s="3402"/>
      <c r="O119" s="3403"/>
    </row>
    <row r="120" spans="1:19" ht="13.2" customHeight="1">
      <c r="A120" s="20" t="str">
        <f>$A90</f>
        <v>Mortgage B</v>
      </c>
      <c r="B120" s="2665">
        <f>IF('Part III-Sources of Funds'!$P$39="", 0,-'Part III-Sources of Funds'!$P$39)</f>
        <v>0</v>
      </c>
      <c r="C120" s="2665">
        <f>IF('Part III-Sources of Funds'!$P$39="", 0,-'Part III-Sources of Funds'!$P$39)</f>
        <v>0</v>
      </c>
      <c r="D120" s="2665">
        <f>IF('Part III-Sources of Funds'!$P$39="", 0,-'Part III-Sources of Funds'!$P$39)</f>
        <v>0</v>
      </c>
      <c r="E120" s="2665">
        <f>IF('Part III-Sources of Funds'!$P$39="", 0,-'Part III-Sources of Funds'!$P$39)</f>
        <v>0</v>
      </c>
      <c r="F120" s="2665">
        <f>IF('Part III-Sources of Funds'!$P$39="", 0,-'Part III-Sources of Funds'!$P$39)</f>
        <v>0</v>
      </c>
      <c r="G120" s="16"/>
      <c r="H120" s="16"/>
      <c r="I120" s="16"/>
      <c r="J120" s="16"/>
      <c r="K120" s="16"/>
      <c r="N120" s="3402"/>
      <c r="O120" s="3403"/>
    </row>
    <row r="121" spans="1:19" ht="13.2" customHeight="1">
      <c r="A121" s="20" t="str">
        <f>$A91</f>
        <v>Mortgage C</v>
      </c>
      <c r="B121" s="2665">
        <f>IF('Part III-Sources of Funds'!$P$40="", 0,-'Part III-Sources of Funds'!$P$40)</f>
        <v>0</v>
      </c>
      <c r="C121" s="2665">
        <f>IF('Part III-Sources of Funds'!$P$40="", 0,-'Part III-Sources of Funds'!$P$40)</f>
        <v>0</v>
      </c>
      <c r="D121" s="2665">
        <f>IF('Part III-Sources of Funds'!$P$40="", 0,-'Part III-Sources of Funds'!$P$40)</f>
        <v>0</v>
      </c>
      <c r="E121" s="2665">
        <f>IF('Part III-Sources of Funds'!$P$40="", 0,-'Part III-Sources of Funds'!$P$40)</f>
        <v>0</v>
      </c>
      <c r="F121" s="2665">
        <f>IF('Part III-Sources of Funds'!$P$40="", 0,-'Part III-Sources of Funds'!$P$40)</f>
        <v>0</v>
      </c>
      <c r="G121" s="16"/>
      <c r="H121" s="16"/>
      <c r="I121" s="16"/>
      <c r="J121" s="16"/>
      <c r="K121" s="16"/>
      <c r="N121" s="3402"/>
      <c r="O121" s="3403"/>
    </row>
    <row r="122" spans="1:19" ht="13.2" customHeight="1">
      <c r="A122" s="20" t="str">
        <f>$A92</f>
        <v>D/S Other Source,not DDF</v>
      </c>
      <c r="B122" s="2665">
        <f>IF('Part III-Sources of Funds'!$P$41="", 0,-'Part III-Sources of Funds'!$P$41)</f>
        <v>0</v>
      </c>
      <c r="C122" s="2665">
        <f>IF('Part III-Sources of Funds'!$P$41="", 0,-'Part III-Sources of Funds'!$P$41)</f>
        <v>0</v>
      </c>
      <c r="D122" s="2665">
        <f>IF('Part III-Sources of Funds'!$P$41="", 0,-'Part III-Sources of Funds'!$P$41)</f>
        <v>0</v>
      </c>
      <c r="E122" s="2665">
        <f>IF('Part III-Sources of Funds'!$P$41="", 0,-'Part III-Sources of Funds'!$P$41)</f>
        <v>0</v>
      </c>
      <c r="F122" s="2665">
        <f>IF('Part III-Sources of Funds'!$P$41="", 0,-'Part III-Sources of Funds'!$P$41)</f>
        <v>0</v>
      </c>
      <c r="G122" s="16"/>
      <c r="H122" s="16"/>
      <c r="I122" s="16"/>
      <c r="J122" s="16"/>
      <c r="K122" s="16"/>
      <c r="N122" s="3402"/>
      <c r="O122" s="3403"/>
    </row>
    <row r="123" spans="1:19" ht="13.2" customHeight="1">
      <c r="A123" s="20" t="s">
        <v>763</v>
      </c>
      <c r="B123" s="2666"/>
      <c r="C123" s="2666"/>
      <c r="D123" s="2666"/>
      <c r="E123" s="2666"/>
      <c r="F123" s="2666"/>
      <c r="G123" s="16"/>
      <c r="H123" s="16"/>
      <c r="I123" s="16"/>
      <c r="J123" s="16"/>
      <c r="K123" s="16"/>
      <c r="N123" s="3402"/>
      <c r="O123" s="3403"/>
    </row>
    <row r="124" spans="1:19" ht="13.2" customHeight="1">
      <c r="A124" s="20" t="s">
        <v>1163</v>
      </c>
      <c r="B124" s="2668">
        <f>+K94</f>
        <v>-5000</v>
      </c>
      <c r="C124" s="2668">
        <f>+B124</f>
        <v>-5000</v>
      </c>
      <c r="D124" s="2668">
        <f>+C124</f>
        <v>-5000</v>
      </c>
      <c r="E124" s="2668">
        <f>+D124</f>
        <v>-5000</v>
      </c>
      <c r="F124" s="2668">
        <f>+E124</f>
        <v>-5000</v>
      </c>
      <c r="G124" s="16"/>
      <c r="H124" s="16"/>
      <c r="I124" s="16"/>
      <c r="J124" s="16"/>
      <c r="K124" s="16"/>
      <c r="N124" s="3402"/>
      <c r="O124" s="3403"/>
    </row>
    <row r="125" spans="1:19" ht="13.2" customHeight="1">
      <c r="A125" s="20" t="s">
        <v>1164</v>
      </c>
      <c r="B125" s="21">
        <f>SUM(B118:B124)</f>
        <v>-36452.891452750191</v>
      </c>
      <c r="C125" s="21">
        <f>SUM(C118:C124)</f>
        <v>-42632.357829816145</v>
      </c>
      <c r="D125" s="21">
        <f>SUM(D118:D124)</f>
        <v>-49101.580190863344</v>
      </c>
      <c r="E125" s="21">
        <f>SUM(E118:E124)</f>
        <v>-55871.845455265313</v>
      </c>
      <c r="F125" s="22">
        <f>SUM(F118:F124)</f>
        <v>-62953.7610347726</v>
      </c>
      <c r="G125" s="16"/>
      <c r="H125" s="16"/>
      <c r="I125" s="16"/>
      <c r="J125" s="16"/>
      <c r="K125" s="16"/>
      <c r="N125" s="3402"/>
      <c r="O125" s="3403"/>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402"/>
      <c r="O126" s="3403"/>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02"/>
      <c r="O127" s="3403"/>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02"/>
      <c r="O128" s="3403"/>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02"/>
      <c r="O129" s="3403"/>
    </row>
    <row r="130" spans="1:18" ht="13.2"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402"/>
      <c r="O130" s="3403"/>
    </row>
    <row r="131" spans="1:18" ht="13.2" customHeight="1">
      <c r="A131" s="20" t="s">
        <v>770</v>
      </c>
      <c r="B131" s="266">
        <f>IF(OR(B115="Choose mgt fee",B115="Choose One!"),"",(B108+B109+B110+B111+B112) / -(B114+B115+B116))</f>
        <v>0.94332943610103726</v>
      </c>
      <c r="C131" s="266">
        <f>IF(OR(C115="Choose mgt fee",C115="Choose One!"),"",(C108+C109+C110+C111+C112) / -(C114+C115+C116))</f>
        <v>0.93417044033085239</v>
      </c>
      <c r="D131" s="266">
        <f>IF(OR(D115="Choose mgt fee",D115="Choose One!"),"",(D108+D109+D110+D111+D112) / -(D114+D115+D116))</f>
        <v>0.92510091867295596</v>
      </c>
      <c r="E131" s="266">
        <f>IF(OR(E115="Choose mgt fee",E115="Choose One!"),"",(E108+E109+E110+E111+E112) / -(E114+E115+E116))</f>
        <v>0.91611920530004765</v>
      </c>
      <c r="F131" s="626">
        <f>IF(OR(F115="Choose mgt fee",F115="Choose One!"),"",(F108+F109+F110+F111+F112) / -(F114+F115+F116))</f>
        <v>0.90722527978018885</v>
      </c>
      <c r="G131" s="16"/>
      <c r="H131" s="16"/>
      <c r="I131" s="16"/>
      <c r="J131" s="16"/>
      <c r="K131" s="16"/>
      <c r="N131" s="3402"/>
      <c r="O131" s="3403"/>
    </row>
    <row r="132" spans="1:18" ht="13.2" customHeight="1">
      <c r="A132" s="420" t="s">
        <v>2617</v>
      </c>
      <c r="B132" s="2669" t="str">
        <f>IF('Part III-Sources of Funds'!$I$38="","",-FV('Part III-Sources of Funds'!$K$38/12,12,B119/12,K102))</f>
        <v/>
      </c>
      <c r="C132" s="2669" t="str">
        <f>IF('Part III-Sources of Funds'!$I$38="","",-FV('Part III-Sources of Funds'!$K$38/12,12,C119/12,B132))</f>
        <v/>
      </c>
      <c r="D132" s="2669" t="str">
        <f>IF('Part III-Sources of Funds'!$I$38="","",-FV('Part III-Sources of Funds'!$K$38/12,12,D119/12,C132))</f>
        <v/>
      </c>
      <c r="E132" s="2669" t="str">
        <f>IF('Part III-Sources of Funds'!$I$38="","",-FV('Part III-Sources of Funds'!$K$38/12,12,E119/12,D132))</f>
        <v/>
      </c>
      <c r="F132" s="2669" t="str">
        <f>IF('Part III-Sources of Funds'!$I$38="","",-FV('Part III-Sources of Funds'!$K$38/12,12,F119/12,E132))</f>
        <v/>
      </c>
      <c r="G132" s="16"/>
      <c r="H132" s="16"/>
      <c r="I132" s="16"/>
      <c r="J132" s="16"/>
      <c r="K132" s="16"/>
      <c r="N132" s="3402"/>
      <c r="O132" s="3403"/>
    </row>
    <row r="133" spans="1:18" ht="13.2" customHeight="1">
      <c r="A133" s="420" t="s">
        <v>2618</v>
      </c>
      <c r="B133" s="2665" t="str">
        <f>IF('Part III-Sources of Funds'!$I$39="","",-FV('Part III-Sources of Funds'!$K$39/12,12,B120/12,K103))</f>
        <v/>
      </c>
      <c r="C133" s="2665" t="str">
        <f>IF('Part III-Sources of Funds'!$I$39="","",-FV('Part III-Sources of Funds'!$K$39/12,12,C120/12,B133))</f>
        <v/>
      </c>
      <c r="D133" s="2665" t="str">
        <f>IF('Part III-Sources of Funds'!$I$39="","",-FV('Part III-Sources of Funds'!$K$39/12,12,D120/12,C133))</f>
        <v/>
      </c>
      <c r="E133" s="2665" t="str">
        <f>IF('Part III-Sources of Funds'!$I$39="","",-FV('Part III-Sources of Funds'!$K$39/12,12,E120/12,D133))</f>
        <v/>
      </c>
      <c r="F133" s="2665" t="str">
        <f>IF('Part III-Sources of Funds'!$I$39="","",-FV('Part III-Sources of Funds'!$K$39/12,12,F120/12,E133))</f>
        <v/>
      </c>
      <c r="G133" s="16"/>
      <c r="H133" s="16"/>
      <c r="I133" s="16"/>
      <c r="J133" s="16"/>
      <c r="K133" s="16"/>
      <c r="N133" s="3402"/>
      <c r="O133" s="3403"/>
    </row>
    <row r="134" spans="1:18" ht="13.2" customHeight="1">
      <c r="A134" s="420" t="s">
        <v>2619</v>
      </c>
      <c r="B134" s="2665" t="str">
        <f>IF('Part III-Sources of Funds'!$I$40="","",-FV('Part III-Sources of Funds'!$K$40/12,12,B121/12,K104))</f>
        <v/>
      </c>
      <c r="C134" s="2665" t="str">
        <f>IF('Part III-Sources of Funds'!$I$40="","",-FV('Part III-Sources of Funds'!$K$40/12,12,C121/12,B134))</f>
        <v/>
      </c>
      <c r="D134" s="2665" t="str">
        <f>IF('Part III-Sources of Funds'!$I$40="","",-FV('Part III-Sources of Funds'!$K$40/12,12,D121/12,C134))</f>
        <v/>
      </c>
      <c r="E134" s="2665" t="str">
        <f>IF('Part III-Sources of Funds'!$I$40="","",-FV('Part III-Sources of Funds'!$K$40/12,12,E121/12,D134))</f>
        <v/>
      </c>
      <c r="F134" s="2665" t="str">
        <f>IF('Part III-Sources of Funds'!$I$40="","",-FV('Part III-Sources of Funds'!$K$40/12,12,F121/12,E134))</f>
        <v/>
      </c>
      <c r="G134" s="16"/>
      <c r="H134" s="16"/>
      <c r="I134" s="16"/>
      <c r="J134" s="16"/>
      <c r="K134" s="16"/>
      <c r="N134" s="3402"/>
      <c r="O134" s="3403"/>
    </row>
    <row r="135" spans="1:18" ht="13.2" customHeight="1">
      <c r="A135" s="25" t="s">
        <v>784</v>
      </c>
      <c r="B135" s="2668" t="str">
        <f>IF('Part III-Sources of Funds'!$I$41="","",-FV('Part III-Sources of Funds'!$K$41/12,12,B122/12,K105))</f>
        <v/>
      </c>
      <c r="C135" s="2668" t="str">
        <f>IF('Part III-Sources of Funds'!$I$41="","",-FV('Part III-Sources of Funds'!$K$41/12,12,C122/12,B135))</f>
        <v/>
      </c>
      <c r="D135" s="2668" t="str">
        <f>IF('Part III-Sources of Funds'!$I$41="","",-FV('Part III-Sources of Funds'!$K$41/12,12,D122/12,C135))</f>
        <v/>
      </c>
      <c r="E135" s="2668" t="str">
        <f>IF('Part III-Sources of Funds'!$I$41="","",-FV('Part III-Sources of Funds'!$K$41/12,12,E122/12,D135))</f>
        <v/>
      </c>
      <c r="F135" s="2668" t="str">
        <f>IF('Part III-Sources of Funds'!$I$41="","",-FV('Part III-Sources of Funds'!$K$41/12,12,F122/12,E135))</f>
        <v/>
      </c>
      <c r="G135" s="16"/>
      <c r="H135" s="16"/>
      <c r="I135" s="16"/>
      <c r="J135" s="16"/>
      <c r="K135" s="16"/>
      <c r="N135" s="3444"/>
      <c r="O135" s="3446"/>
    </row>
    <row r="136" spans="1:18" ht="4.2" customHeight="1"/>
    <row r="137" spans="1:18" ht="12" customHeight="1">
      <c r="A137" s="12" t="s">
        <v>571</v>
      </c>
      <c r="B137" s="12"/>
      <c r="G137" s="12" t="s">
        <v>1031</v>
      </c>
    </row>
    <row r="138" spans="1:18" ht="12" customHeight="1">
      <c r="B138" s="30"/>
    </row>
    <row r="139" spans="1:18" ht="409.5" customHeight="1">
      <c r="A139" s="3036" t="s">
        <v>5260</v>
      </c>
      <c r="B139" s="3481"/>
      <c r="C139" s="3481"/>
      <c r="D139" s="3481"/>
      <c r="E139" s="3481"/>
      <c r="F139" s="3482"/>
      <c r="G139" s="3483"/>
      <c r="H139" s="3484"/>
      <c r="I139" s="3484"/>
      <c r="J139" s="3484"/>
      <c r="K139" s="3485"/>
      <c r="N139" s="3162" t="s">
        <v>2693</v>
      </c>
      <c r="O139" s="316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K2cRVHbDojWn2Q9u8BA0FMDOZ4QhiyfBJTi+lNi4UHQ+hjBGo+XMvU9wHL2ETpDWFF1yMPWZh65y3nlPbYQWDw==" saltValue="gXridPr7vm9YOxU9dvdWE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63" zoomScaleNormal="100" workbookViewId="0">
      <selection activeCell="A463"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180" t="str">
        <f>CONCATENATE("PART EIGHT - THRESHOLD CRITERIA","  -  ",'Part I-Project Information'!$O$6," ",'Part I-Project Information'!$F$34,", ",'Part I-Project Information'!F38,", ",'Part I-Project Information'!J39," County")</f>
        <v>PART EIGHT - THRESHOLD CRITERIA  -  2019-060 Dulles Park II, Gray, Jones County</v>
      </c>
      <c r="B1" s="3181"/>
      <c r="C1" s="3181"/>
      <c r="D1" s="3181"/>
      <c r="E1" s="3181"/>
      <c r="F1" s="3181"/>
      <c r="G1" s="3181"/>
      <c r="H1" s="3181"/>
      <c r="I1" s="3181"/>
      <c r="J1" s="3181"/>
      <c r="K1" s="3181"/>
      <c r="L1" s="3181"/>
      <c r="M1" s="3181"/>
      <c r="N1" s="3181"/>
      <c r="O1" s="3181"/>
      <c r="P1" s="3181"/>
      <c r="Q1" s="3181"/>
      <c r="R1" s="3638" t="str">
        <f>'Part I-Project Information'!$B$6</f>
        <v>May 2019</v>
      </c>
      <c r="S1" s="3638"/>
    </row>
    <row r="2" spans="1:32" s="26" customFormat="1" ht="3" customHeight="1">
      <c r="R2" s="3638"/>
      <c r="S2" s="3638"/>
      <c r="AE2" s="116"/>
      <c r="AF2" s="116"/>
    </row>
    <row r="3" spans="1:32" ht="13.5" customHeight="1">
      <c r="A3" s="3626"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6"/>
      <c r="C3" s="3626"/>
      <c r="D3" s="3626"/>
      <c r="E3" s="3626"/>
      <c r="F3" s="3626"/>
      <c r="G3" s="3626"/>
      <c r="H3" s="3626"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6"/>
      <c r="J3" s="3626"/>
      <c r="K3" s="3626"/>
      <c r="L3" s="3626"/>
      <c r="M3" s="3626"/>
      <c r="N3" s="3627"/>
      <c r="O3" s="3628" t="s">
        <v>935</v>
      </c>
      <c r="P3" s="3629"/>
      <c r="Q3" s="2189" t="s">
        <v>1843</v>
      </c>
      <c r="R3" s="3638"/>
      <c r="S3" s="3638"/>
    </row>
    <row r="4" spans="1:32" ht="3" customHeight="1">
      <c r="A4" s="2293"/>
      <c r="B4" s="3630"/>
      <c r="C4" s="3630"/>
      <c r="D4" s="3630"/>
      <c r="E4" s="2293"/>
      <c r="F4" s="2293"/>
      <c r="G4" s="2293"/>
      <c r="H4" s="2293"/>
      <c r="I4" s="2293"/>
      <c r="J4" s="2293"/>
      <c r="K4" s="2293"/>
      <c r="L4" s="2293"/>
      <c r="M4" s="2293"/>
      <c r="N4" s="2293"/>
      <c r="P4" s="2293"/>
      <c r="Q4" s="2293"/>
      <c r="R4" s="3638"/>
      <c r="S4" s="3638"/>
    </row>
    <row r="5" spans="1:32" ht="10.95" hidden="1" customHeight="1">
      <c r="A5" s="2293"/>
      <c r="B5" s="2293"/>
      <c r="C5" s="2293"/>
      <c r="D5" s="2293"/>
      <c r="E5" s="2293"/>
      <c r="F5" s="2293"/>
      <c r="G5" s="2293"/>
      <c r="H5" s="2293"/>
      <c r="I5" s="2293"/>
      <c r="J5" s="2293"/>
      <c r="K5" s="2293"/>
      <c r="L5" s="2293"/>
      <c r="M5" s="2293"/>
      <c r="N5" s="2293"/>
      <c r="P5" s="2293"/>
      <c r="Q5" s="2293"/>
      <c r="R5" s="3638"/>
      <c r="S5" s="3638"/>
    </row>
    <row r="6" spans="1:32" ht="17.25" customHeight="1">
      <c r="A6" s="125" t="s">
        <v>567</v>
      </c>
      <c r="J6" s="3633" t="s">
        <v>3840</v>
      </c>
      <c r="K6" s="3633"/>
      <c r="L6" s="3633"/>
      <c r="M6" s="3633"/>
      <c r="N6" s="3633"/>
      <c r="O6" s="3634"/>
      <c r="P6" s="3631"/>
      <c r="Q6" s="3632"/>
      <c r="R6" s="3638"/>
      <c r="S6" s="3638"/>
    </row>
    <row r="7" spans="1:32" ht="12.6" customHeight="1">
      <c r="A7" s="126" t="s">
        <v>3451</v>
      </c>
      <c r="C7" s="127"/>
      <c r="D7" s="127"/>
      <c r="H7" s="1291"/>
      <c r="I7" s="1291"/>
      <c r="J7" s="1291"/>
      <c r="K7" s="1291"/>
      <c r="L7" s="1291"/>
      <c r="M7" s="2293"/>
      <c r="N7" s="2293"/>
    </row>
    <row r="8" spans="1:32" ht="24.6" customHeight="1">
      <c r="A8" s="3635" t="s">
        <v>1408</v>
      </c>
      <c r="B8" s="3636"/>
      <c r="C8" s="3636"/>
      <c r="D8" s="3636"/>
      <c r="E8" s="3636"/>
      <c r="F8" s="3636"/>
      <c r="G8" s="3636"/>
      <c r="H8" s="3636"/>
      <c r="I8" s="3636"/>
      <c r="J8" s="3636"/>
      <c r="K8" s="3636"/>
      <c r="L8" s="3636"/>
      <c r="M8" s="3636"/>
      <c r="N8" s="3636"/>
      <c r="O8" s="3636"/>
      <c r="P8" s="3636"/>
      <c r="Q8" s="3637"/>
      <c r="R8" s="3459" t="s">
        <v>2031</v>
      </c>
      <c r="S8" s="2765"/>
    </row>
    <row r="9" spans="1:32" ht="24.6" customHeight="1">
      <c r="A9" s="3596" t="s">
        <v>226</v>
      </c>
      <c r="B9" s="3597"/>
      <c r="C9" s="3597"/>
      <c r="D9" s="3597"/>
      <c r="E9" s="3597"/>
      <c r="F9" s="3597"/>
      <c r="G9" s="3597"/>
      <c r="H9" s="3597"/>
      <c r="I9" s="3597"/>
      <c r="J9" s="3597"/>
      <c r="K9" s="3597"/>
      <c r="L9" s="3597"/>
      <c r="M9" s="3597"/>
      <c r="N9" s="3597"/>
      <c r="O9" s="3597"/>
      <c r="P9" s="3597"/>
      <c r="Q9" s="3598"/>
      <c r="R9" s="3459"/>
      <c r="S9" s="2765"/>
    </row>
    <row r="10" spans="1:32" ht="24.6" customHeight="1">
      <c r="A10" s="3596" t="s">
        <v>1404</v>
      </c>
      <c r="B10" s="3597"/>
      <c r="C10" s="3597"/>
      <c r="D10" s="3597"/>
      <c r="E10" s="3597"/>
      <c r="F10" s="3597"/>
      <c r="G10" s="3597"/>
      <c r="H10" s="3597"/>
      <c r="I10" s="3597"/>
      <c r="J10" s="3597"/>
      <c r="K10" s="3597"/>
      <c r="L10" s="3597"/>
      <c r="M10" s="3597"/>
      <c r="N10" s="3597"/>
      <c r="O10" s="3597"/>
      <c r="P10" s="3597"/>
      <c r="Q10" s="3598"/>
      <c r="R10" s="3459"/>
      <c r="S10" s="2765"/>
    </row>
    <row r="11" spans="1:32" ht="24.6" customHeight="1">
      <c r="A11" s="3596" t="s">
        <v>1405</v>
      </c>
      <c r="B11" s="3597"/>
      <c r="C11" s="3597"/>
      <c r="D11" s="3597"/>
      <c r="E11" s="3597"/>
      <c r="F11" s="3597"/>
      <c r="G11" s="3597"/>
      <c r="H11" s="3597"/>
      <c r="I11" s="3597"/>
      <c r="J11" s="3597"/>
      <c r="K11" s="3597"/>
      <c r="L11" s="3597"/>
      <c r="M11" s="3597"/>
      <c r="N11" s="3597"/>
      <c r="O11" s="3597"/>
      <c r="P11" s="3597"/>
      <c r="Q11" s="3598"/>
      <c r="R11" s="3459"/>
      <c r="S11" s="2765"/>
    </row>
    <row r="12" spans="1:32" ht="24" customHeight="1">
      <c r="A12" s="3596" t="s">
        <v>1406</v>
      </c>
      <c r="B12" s="3597"/>
      <c r="C12" s="3597"/>
      <c r="D12" s="3597"/>
      <c r="E12" s="3597"/>
      <c r="F12" s="3597"/>
      <c r="G12" s="3597"/>
      <c r="H12" s="3597"/>
      <c r="I12" s="3597"/>
      <c r="J12" s="3597"/>
      <c r="K12" s="3597"/>
      <c r="L12" s="3597"/>
      <c r="M12" s="3597"/>
      <c r="N12" s="3597"/>
      <c r="O12" s="3597"/>
      <c r="P12" s="3597"/>
      <c r="Q12" s="3598"/>
      <c r="R12" s="2262"/>
      <c r="S12" s="2262"/>
    </row>
    <row r="13" spans="1:32" ht="11.25" customHeight="1">
      <c r="A13" s="3596" t="s">
        <v>1407</v>
      </c>
      <c r="B13" s="3597"/>
      <c r="C13" s="3597"/>
      <c r="D13" s="3597"/>
      <c r="E13" s="3597"/>
      <c r="F13" s="3597"/>
      <c r="G13" s="3597"/>
      <c r="H13" s="3597"/>
      <c r="I13" s="3597"/>
      <c r="J13" s="3597"/>
      <c r="K13" s="3597"/>
      <c r="L13" s="3597"/>
      <c r="M13" s="3597"/>
      <c r="N13" s="3597"/>
      <c r="O13" s="3597"/>
      <c r="P13" s="3597"/>
      <c r="Q13" s="3598"/>
      <c r="R13" s="2262"/>
      <c r="S13" s="2262"/>
    </row>
    <row r="14" spans="1:32" ht="11.25" customHeight="1">
      <c r="A14" s="3596" t="s">
        <v>1409</v>
      </c>
      <c r="B14" s="3597"/>
      <c r="C14" s="3597"/>
      <c r="D14" s="3597"/>
      <c r="E14" s="3597"/>
      <c r="F14" s="3597"/>
      <c r="G14" s="3597"/>
      <c r="H14" s="3597"/>
      <c r="I14" s="3597"/>
      <c r="J14" s="3597"/>
      <c r="K14" s="3597"/>
      <c r="L14" s="3597"/>
      <c r="M14" s="3597"/>
      <c r="N14" s="3597"/>
      <c r="O14" s="3597"/>
      <c r="P14" s="3597"/>
      <c r="Q14" s="3598"/>
    </row>
    <row r="15" spans="1:32" ht="11.25" customHeight="1">
      <c r="A15" s="3596" t="s">
        <v>2018</v>
      </c>
      <c r="B15" s="3597"/>
      <c r="C15" s="3597"/>
      <c r="D15" s="3597"/>
      <c r="E15" s="3597"/>
      <c r="F15" s="3597"/>
      <c r="G15" s="3597"/>
      <c r="H15" s="3597"/>
      <c r="I15" s="3597"/>
      <c r="J15" s="3597"/>
      <c r="K15" s="3597"/>
      <c r="L15" s="3597"/>
      <c r="M15" s="3597"/>
      <c r="N15" s="3597"/>
      <c r="O15" s="3597"/>
      <c r="P15" s="3597"/>
      <c r="Q15" s="3598"/>
      <c r="R15" s="3459" t="s">
        <v>2031</v>
      </c>
      <c r="S15" s="2949"/>
    </row>
    <row r="16" spans="1:32" ht="11.25" customHeight="1">
      <c r="A16" s="3596" t="s">
        <v>2019</v>
      </c>
      <c r="B16" s="3597"/>
      <c r="C16" s="3597"/>
      <c r="D16" s="3597"/>
      <c r="E16" s="3597"/>
      <c r="F16" s="3597"/>
      <c r="G16" s="3597"/>
      <c r="H16" s="3597"/>
      <c r="I16" s="3597"/>
      <c r="J16" s="3597"/>
      <c r="K16" s="3597"/>
      <c r="L16" s="3597"/>
      <c r="M16" s="3597"/>
      <c r="N16" s="3597"/>
      <c r="O16" s="3597"/>
      <c r="P16" s="3597"/>
      <c r="Q16" s="3598"/>
      <c r="R16" s="3459"/>
      <c r="S16" s="2949"/>
    </row>
    <row r="17" spans="1:31" ht="11.25" customHeight="1">
      <c r="A17" s="3596" t="s">
        <v>2020</v>
      </c>
      <c r="B17" s="3597"/>
      <c r="C17" s="3597"/>
      <c r="D17" s="3597"/>
      <c r="E17" s="3597"/>
      <c r="F17" s="3597"/>
      <c r="G17" s="3597"/>
      <c r="H17" s="3597"/>
      <c r="I17" s="3597"/>
      <c r="J17" s="3597"/>
      <c r="K17" s="3597"/>
      <c r="L17" s="3597"/>
      <c r="M17" s="3597"/>
      <c r="N17" s="3597"/>
      <c r="O17" s="3597"/>
      <c r="P17" s="3597"/>
      <c r="Q17" s="3598"/>
      <c r="R17" s="3459"/>
      <c r="S17" s="2949"/>
    </row>
    <row r="18" spans="1:31" ht="11.25" customHeight="1">
      <c r="A18" s="3596" t="s">
        <v>2021</v>
      </c>
      <c r="B18" s="3597"/>
      <c r="C18" s="3597"/>
      <c r="D18" s="3597"/>
      <c r="E18" s="3597"/>
      <c r="F18" s="3597"/>
      <c r="G18" s="3597"/>
      <c r="H18" s="3597"/>
      <c r="I18" s="3597"/>
      <c r="J18" s="3597"/>
      <c r="K18" s="3597"/>
      <c r="L18" s="3597"/>
      <c r="M18" s="3597"/>
      <c r="N18" s="3597"/>
      <c r="O18" s="3597"/>
      <c r="P18" s="3597"/>
      <c r="Q18" s="3598"/>
      <c r="R18" s="3459"/>
      <c r="S18" s="2949"/>
    </row>
    <row r="19" spans="1:31" ht="11.25" customHeight="1">
      <c r="A19" s="3596" t="s">
        <v>2022</v>
      </c>
      <c r="B19" s="3597"/>
      <c r="C19" s="3597"/>
      <c r="D19" s="3597"/>
      <c r="E19" s="3597"/>
      <c r="F19" s="3597"/>
      <c r="G19" s="3597"/>
      <c r="H19" s="3597"/>
      <c r="I19" s="3597"/>
      <c r="J19" s="3597"/>
      <c r="K19" s="3597"/>
      <c r="L19" s="3597"/>
      <c r="M19" s="3597"/>
      <c r="N19" s="3597"/>
      <c r="O19" s="3597"/>
      <c r="P19" s="3597"/>
      <c r="Q19" s="3598"/>
      <c r="R19" s="3459"/>
      <c r="S19" s="2949"/>
    </row>
    <row r="20" spans="1:31" ht="11.25" customHeight="1">
      <c r="A20" s="3596" t="s">
        <v>2023</v>
      </c>
      <c r="B20" s="3597"/>
      <c r="C20" s="3597"/>
      <c r="D20" s="3597"/>
      <c r="E20" s="3597"/>
      <c r="F20" s="3597"/>
      <c r="G20" s="3597"/>
      <c r="H20" s="3597"/>
      <c r="I20" s="3597"/>
      <c r="J20" s="3597"/>
      <c r="K20" s="3597"/>
      <c r="L20" s="3597"/>
      <c r="M20" s="3597"/>
      <c r="N20" s="3597"/>
      <c r="O20" s="3597"/>
      <c r="P20" s="3597"/>
      <c r="Q20" s="3598"/>
      <c r="R20" s="3459"/>
      <c r="S20" s="2949"/>
    </row>
    <row r="21" spans="1:31" ht="11.25" customHeight="1">
      <c r="A21" s="3596" t="s">
        <v>2024</v>
      </c>
      <c r="B21" s="3597"/>
      <c r="C21" s="3597"/>
      <c r="D21" s="3597"/>
      <c r="E21" s="3597"/>
      <c r="F21" s="3597"/>
      <c r="G21" s="3597"/>
      <c r="H21" s="3597"/>
      <c r="I21" s="3597"/>
      <c r="J21" s="3597"/>
      <c r="K21" s="3597"/>
      <c r="L21" s="3597"/>
      <c r="M21" s="3597"/>
      <c r="N21" s="3597"/>
      <c r="O21" s="3597"/>
      <c r="P21" s="3597"/>
      <c r="Q21" s="3598"/>
    </row>
    <row r="22" spans="1:31" ht="11.25" customHeight="1">
      <c r="A22" s="3596" t="s">
        <v>2025</v>
      </c>
      <c r="B22" s="3597"/>
      <c r="C22" s="3597"/>
      <c r="D22" s="3597"/>
      <c r="E22" s="3597"/>
      <c r="F22" s="3597"/>
      <c r="G22" s="3597"/>
      <c r="H22" s="3597"/>
      <c r="I22" s="3597"/>
      <c r="J22" s="3597"/>
      <c r="K22" s="3597"/>
      <c r="L22" s="3597"/>
      <c r="M22" s="3597"/>
      <c r="N22" s="3597"/>
      <c r="O22" s="3597"/>
      <c r="P22" s="3597"/>
      <c r="Q22" s="3598"/>
      <c r="R22" s="3459" t="s">
        <v>2031</v>
      </c>
      <c r="S22" s="2949"/>
    </row>
    <row r="23" spans="1:31" ht="11.25" customHeight="1">
      <c r="A23" s="3596" t="s">
        <v>2026</v>
      </c>
      <c r="B23" s="3597"/>
      <c r="C23" s="3597"/>
      <c r="D23" s="3597"/>
      <c r="E23" s="3597"/>
      <c r="F23" s="3597"/>
      <c r="G23" s="3597"/>
      <c r="H23" s="3597"/>
      <c r="I23" s="3597"/>
      <c r="J23" s="3597"/>
      <c r="K23" s="3597"/>
      <c r="L23" s="3597"/>
      <c r="M23" s="3597"/>
      <c r="N23" s="3597"/>
      <c r="O23" s="3597"/>
      <c r="P23" s="3597"/>
      <c r="Q23" s="3598"/>
      <c r="R23" s="3459"/>
      <c r="S23" s="2949"/>
    </row>
    <row r="24" spans="1:31" ht="11.25" customHeight="1">
      <c r="A24" s="3596" t="s">
        <v>2027</v>
      </c>
      <c r="B24" s="3597"/>
      <c r="C24" s="3597"/>
      <c r="D24" s="3597"/>
      <c r="E24" s="3597"/>
      <c r="F24" s="3597"/>
      <c r="G24" s="3597"/>
      <c r="H24" s="3597"/>
      <c r="I24" s="3597"/>
      <c r="J24" s="3597"/>
      <c r="K24" s="3597"/>
      <c r="L24" s="3597"/>
      <c r="M24" s="3597"/>
      <c r="N24" s="3597"/>
      <c r="O24" s="3597"/>
      <c r="P24" s="3597"/>
      <c r="Q24" s="3598"/>
      <c r="R24" s="3459"/>
      <c r="S24" s="2949"/>
    </row>
    <row r="25" spans="1:31" ht="11.25" customHeight="1">
      <c r="A25" s="3596" t="s">
        <v>2028</v>
      </c>
      <c r="B25" s="3597"/>
      <c r="C25" s="3597"/>
      <c r="D25" s="3597"/>
      <c r="E25" s="3597"/>
      <c r="F25" s="3597"/>
      <c r="G25" s="3597"/>
      <c r="H25" s="3597"/>
      <c r="I25" s="3597"/>
      <c r="J25" s="3597"/>
      <c r="K25" s="3597"/>
      <c r="L25" s="3597"/>
      <c r="M25" s="3597"/>
      <c r="N25" s="3597"/>
      <c r="O25" s="3597"/>
      <c r="P25" s="3597"/>
      <c r="Q25" s="3598"/>
      <c r="R25" s="3459"/>
      <c r="S25" s="2949"/>
    </row>
    <row r="26" spans="1:31" ht="11.25" customHeight="1">
      <c r="A26" s="3596" t="s">
        <v>2029</v>
      </c>
      <c r="B26" s="3597"/>
      <c r="C26" s="3597"/>
      <c r="D26" s="3597"/>
      <c r="E26" s="3597"/>
      <c r="F26" s="3597"/>
      <c r="G26" s="3597"/>
      <c r="H26" s="3597"/>
      <c r="I26" s="3597"/>
      <c r="J26" s="3597"/>
      <c r="K26" s="3597"/>
      <c r="L26" s="3597"/>
      <c r="M26" s="3597"/>
      <c r="N26" s="3597"/>
      <c r="O26" s="3597"/>
      <c r="P26" s="3597"/>
      <c r="Q26" s="3598"/>
      <c r="R26" s="3459"/>
      <c r="S26" s="2949"/>
    </row>
    <row r="27" spans="1:31" ht="11.25" customHeight="1">
      <c r="A27" s="3606" t="s">
        <v>2030</v>
      </c>
      <c r="B27" s="3607"/>
      <c r="C27" s="3607"/>
      <c r="D27" s="3607"/>
      <c r="E27" s="3607"/>
      <c r="F27" s="3607"/>
      <c r="G27" s="3607"/>
      <c r="H27" s="3607"/>
      <c r="I27" s="3607"/>
      <c r="J27" s="3607"/>
      <c r="K27" s="3607"/>
      <c r="L27" s="3607"/>
      <c r="M27" s="3607"/>
      <c r="N27" s="3607"/>
      <c r="O27" s="3607"/>
      <c r="P27" s="3607"/>
      <c r="Q27" s="3608"/>
      <c r="R27" s="3459"/>
      <c r="S27" s="2949"/>
    </row>
    <row r="28" spans="1:31" ht="6" customHeight="1"/>
    <row r="29" spans="1:31" ht="13.95" customHeight="1">
      <c r="A29" s="128" t="s">
        <v>616</v>
      </c>
      <c r="B29" s="129" t="s">
        <v>2651</v>
      </c>
      <c r="C29" s="130"/>
      <c r="D29" s="86"/>
      <c r="E29" s="86"/>
      <c r="F29" s="86"/>
      <c r="G29" s="86"/>
      <c r="I29" s="2307"/>
      <c r="J29" s="2307"/>
      <c r="K29" s="2307"/>
      <c r="L29" s="2293"/>
      <c r="M29" s="2293"/>
      <c r="O29" s="131" t="s">
        <v>1867</v>
      </c>
      <c r="P29" s="3513"/>
      <c r="Q29" s="3493"/>
    </row>
    <row r="30" spans="1:31" ht="3" customHeight="1"/>
    <row r="31" spans="1:31" ht="11.25" customHeight="1">
      <c r="B31" s="66" t="s">
        <v>3749</v>
      </c>
      <c r="C31" s="66"/>
      <c r="D31" s="66"/>
      <c r="E31" s="66"/>
      <c r="F31" s="66"/>
      <c r="G31" s="2307"/>
      <c r="H31" s="2307"/>
      <c r="I31" s="2307"/>
      <c r="J31" s="2307"/>
      <c r="K31" s="2293"/>
      <c r="L31" s="2293"/>
      <c r="M31" s="2293"/>
      <c r="N31" s="2293"/>
      <c r="O31" s="2293"/>
      <c r="P31" s="896"/>
      <c r="S31" s="157"/>
      <c r="T31" s="157"/>
    </row>
    <row r="32" spans="1:31" ht="108.75" customHeight="1">
      <c r="A32" s="3508" t="s">
        <v>5269</v>
      </c>
      <c r="B32" s="3509"/>
      <c r="C32" s="3509"/>
      <c r="D32" s="3509"/>
      <c r="E32" s="3509"/>
      <c r="F32" s="3509"/>
      <c r="G32" s="3509"/>
      <c r="H32" s="3509"/>
      <c r="I32" s="3509"/>
      <c r="J32" s="3509"/>
      <c r="K32" s="3509"/>
      <c r="L32" s="3509"/>
      <c r="M32" s="3509"/>
      <c r="N32" s="3509"/>
      <c r="O32" s="3509"/>
      <c r="P32" s="3509"/>
      <c r="Q32" s="3510"/>
      <c r="R32" s="445" t="s">
        <v>1254</v>
      </c>
      <c r="S32" s="446"/>
      <c r="T32" s="157"/>
      <c r="U32" s="135"/>
      <c r="V32" s="135"/>
      <c r="W32" s="135"/>
      <c r="X32" s="135"/>
      <c r="Y32" s="135"/>
      <c r="Z32" s="135"/>
      <c r="AA32" s="135"/>
      <c r="AB32" s="135"/>
      <c r="AC32" s="135"/>
      <c r="AD32" s="135"/>
      <c r="AE32" s="465"/>
    </row>
    <row r="33" spans="1:295" ht="11.25" customHeight="1">
      <c r="B33" s="136" t="s">
        <v>1866</v>
      </c>
      <c r="C33" s="137"/>
      <c r="D33" s="2304"/>
      <c r="E33" s="2304"/>
      <c r="F33" s="2304"/>
      <c r="G33" s="2304"/>
      <c r="H33" s="2304"/>
      <c r="I33" s="2304"/>
      <c r="J33" s="2304"/>
      <c r="K33" s="2304"/>
      <c r="L33" s="2304"/>
      <c r="M33" s="2304"/>
      <c r="N33" s="2304"/>
      <c r="O33" s="2304"/>
      <c r="P33" s="2304"/>
    </row>
    <row r="34" spans="1:295" ht="36" customHeight="1">
      <c r="A34" s="3609"/>
      <c r="B34" s="3609"/>
      <c r="C34" s="3609"/>
      <c r="D34" s="3609"/>
      <c r="E34" s="3609"/>
      <c r="F34" s="3609"/>
      <c r="G34" s="3609"/>
      <c r="H34" s="3609"/>
      <c r="I34" s="3609"/>
      <c r="J34" s="3609"/>
      <c r="K34" s="3609"/>
      <c r="L34" s="3609"/>
      <c r="M34" s="3609"/>
      <c r="N34" s="3609"/>
      <c r="O34" s="3609"/>
      <c r="P34" s="3609"/>
      <c r="Q34" s="3609"/>
      <c r="R34" s="445" t="s">
        <v>1254</v>
      </c>
      <c r="S34" s="446"/>
    </row>
    <row r="35" spans="1:295" ht="3" customHeight="1">
      <c r="B35" s="2307"/>
      <c r="C35" s="2304"/>
      <c r="D35" s="2304"/>
      <c r="E35" s="2304"/>
      <c r="F35" s="2304"/>
      <c r="G35" s="2304"/>
      <c r="H35" s="2304"/>
      <c r="I35" s="2304"/>
      <c r="J35" s="2304"/>
      <c r="K35" s="2304"/>
      <c r="L35" s="2304"/>
      <c r="M35" s="2304"/>
      <c r="N35" s="2304"/>
      <c r="O35" s="2304"/>
      <c r="P35" s="2304"/>
      <c r="Q35" s="2293"/>
    </row>
    <row r="36" spans="1:295" ht="12.75" customHeight="1">
      <c r="A36" s="2290" t="s">
        <v>740</v>
      </c>
      <c r="B36" s="3" t="s">
        <v>2711</v>
      </c>
      <c r="C36" s="3"/>
      <c r="D36" s="3"/>
      <c r="E36" s="2304"/>
      <c r="G36" s="611"/>
      <c r="H36" s="611"/>
      <c r="I36" s="611"/>
      <c r="J36" s="41"/>
      <c r="L36" s="612"/>
      <c r="M36" s="612"/>
      <c r="N36" s="612"/>
      <c r="O36" s="131" t="s">
        <v>1867</v>
      </c>
      <c r="P36" s="3513"/>
      <c r="Q36" s="3493"/>
    </row>
    <row r="37" spans="1:295" ht="11.25" customHeight="1">
      <c r="A37" s="3708"/>
      <c r="B37" s="3708"/>
      <c r="C37" s="3708"/>
      <c r="D37" s="3708"/>
      <c r="E37" s="3708"/>
      <c r="F37" s="2193"/>
      <c r="G37" s="3610" t="s">
        <v>2715</v>
      </c>
      <c r="H37" s="3611"/>
      <c r="I37" s="615"/>
      <c r="J37" s="41"/>
      <c r="K37" s="3612" t="s">
        <v>3632</v>
      </c>
      <c r="L37" s="3613"/>
      <c r="M37" s="3613"/>
      <c r="N37" s="3614"/>
    </row>
    <row r="38" spans="1:295" ht="11.25" customHeight="1">
      <c r="A38" s="3708"/>
      <c r="B38" s="3708"/>
      <c r="C38" s="3708"/>
      <c r="D38" s="3708"/>
      <c r="E38" s="3708"/>
      <c r="F38" s="2193"/>
      <c r="G38" s="3615" t="s">
        <v>346</v>
      </c>
      <c r="H38" s="3616"/>
      <c r="I38" s="615"/>
      <c r="J38" s="41"/>
      <c r="K38" s="3617" t="s">
        <v>3633</v>
      </c>
      <c r="L38" s="3618"/>
      <c r="M38" s="3618"/>
      <c r="N38" s="3619"/>
      <c r="P38" s="519" t="s">
        <v>2735</v>
      </c>
      <c r="Q38" s="2670" t="s">
        <v>2990</v>
      </c>
    </row>
    <row r="39" spans="1:295" ht="4.5" customHeight="1">
      <c r="A39" s="2193"/>
      <c r="B39" s="2193"/>
      <c r="C39" s="2193"/>
      <c r="D39" s="2193"/>
      <c r="E39" s="2193"/>
      <c r="F39" s="2193"/>
      <c r="G39" s="214"/>
      <c r="H39" s="214"/>
      <c r="I39" s="214"/>
      <c r="J39" s="41"/>
      <c r="K39" s="3620"/>
      <c r="L39" s="3620"/>
      <c r="M39" s="3620"/>
      <c r="N39" s="3620"/>
    </row>
    <row r="40" spans="1:295" s="82" customFormat="1" ht="10.5" customHeight="1">
      <c r="D40" s="616" t="s">
        <v>2714</v>
      </c>
      <c r="E40" s="34"/>
      <c r="F40" s="617" t="s">
        <v>3453</v>
      </c>
      <c r="G40" s="3621" t="s">
        <v>5035</v>
      </c>
      <c r="H40" s="3621"/>
      <c r="I40" s="3621"/>
      <c r="J40" s="34"/>
      <c r="K40" s="617" t="s">
        <v>3453</v>
      </c>
      <c r="L40" s="3621" t="s">
        <v>5034</v>
      </c>
      <c r="M40" s="3621"/>
      <c r="N40" s="3621"/>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05" t="s">
        <v>3358</v>
      </c>
      <c r="B41" s="3605"/>
      <c r="C41" s="3605"/>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39" t="str">
        <f>CONCATENATE("x ", K41," units = ")</f>
        <v xml:space="preserve">x  units = </v>
      </c>
      <c r="N41" s="2192" t="str">
        <f>IF(K41="","",K41*L41)</f>
        <v/>
      </c>
      <c r="O41" s="2304"/>
      <c r="P41" s="3568" t="s">
        <v>3886</v>
      </c>
      <c r="Q41" s="3568"/>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05"/>
      <c r="B42" s="3605"/>
      <c r="C42" s="3605"/>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39" t="str">
        <f>CONCATENATE("x ", K42," units = ")</f>
        <v xml:space="preserve">x  units = </v>
      </c>
      <c r="N42" s="2192" t="str">
        <f>IF(K42="","",K42*L42)</f>
        <v/>
      </c>
      <c r="O42" s="2304"/>
      <c r="P42" s="3622" t="str">
        <f>IF('Part I-Project Information'!$F$38="","",VLOOKUP('Part I-Project Information'!$J$39,'DCA Underwriting Assumptions'!$G$158:$N$317,8,FALSE))</f>
        <v>Macon</v>
      </c>
      <c r="Q42" s="3623"/>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05"/>
      <c r="B43" s="3605"/>
      <c r="C43" s="3605"/>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39" t="str">
        <f>CONCATENATE("x ", F43," units = ")</f>
        <v xml:space="preserve">x  units = </v>
      </c>
      <c r="I43" s="2192" t="str">
        <f>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39" t="str">
        <f>CONCATENATE("x ", K43," units = ")</f>
        <v xml:space="preserve">x  units = </v>
      </c>
      <c r="N43" s="2192" t="str">
        <f>IF(K43="","",K43*L43)</f>
        <v/>
      </c>
      <c r="O43" s="2304"/>
      <c r="P43" s="3624"/>
      <c r="Q43" s="3625"/>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05"/>
      <c r="B44" s="3605"/>
      <c r="C44" s="3605"/>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39" t="str">
        <f>CONCATENATE("x ", F44," units = ")</f>
        <v xml:space="preserve">x  units = </v>
      </c>
      <c r="I44" s="2192" t="str">
        <f>IF(F44="","",F44*G44)</f>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39" t="str">
        <f>CONCATENATE("x ", K44," units = ")</f>
        <v xml:space="preserve">x  units = </v>
      </c>
      <c r="N44" s="2192" t="str">
        <f>IF(K44="","",K44*L44)</f>
        <v/>
      </c>
      <c r="O44" s="2304"/>
      <c r="P44" s="3488" t="s">
        <v>5033</v>
      </c>
      <c r="Q44" s="3488"/>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39" t="str">
        <f>CONCATENATE("x ", F45," units = ")</f>
        <v xml:space="preserve">x  units = </v>
      </c>
      <c r="I45" s="2192" t="str">
        <f>IF(F45="","",F45*G45)</f>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39" t="str">
        <f>CONCATENATE("x ", K45," units = ")</f>
        <v xml:space="preserve">x  units = </v>
      </c>
      <c r="N45" s="2192" t="str">
        <f>IF(K45="","",K45*L45)</f>
        <v/>
      </c>
      <c r="O45" s="2304"/>
      <c r="P45" s="3591">
        <f>'Part IV-A-Uses of Funds'!$G$132</f>
        <v>9013295</v>
      </c>
      <c r="Q45" s="3592"/>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3">
        <f>SUM(F41:F45)</f>
        <v>0</v>
      </c>
      <c r="G46" s="618"/>
      <c r="H46" s="1094"/>
      <c r="I46" s="1095">
        <f>SUM(I41:I45)</f>
        <v>0</v>
      </c>
      <c r="J46" s="1096"/>
      <c r="K46" s="1093">
        <f>SUM(K41:K45)</f>
        <v>0</v>
      </c>
      <c r="L46" s="1096"/>
      <c r="M46" s="1094"/>
      <c r="N46" s="1095">
        <f>SUM(N41:N45)</f>
        <v>0</v>
      </c>
      <c r="O46" s="2304"/>
      <c r="P46" s="3593"/>
      <c r="Q46" s="3594"/>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1"/>
      <c r="J47" s="127"/>
      <c r="K47" s="619"/>
      <c r="L47" s="127"/>
      <c r="M47" s="2304"/>
      <c r="N47" s="2311"/>
      <c r="O47" s="2304"/>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05" t="s">
        <v>3353</v>
      </c>
      <c r="B48" s="3605"/>
      <c r="C48" s="3605"/>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39" t="str">
        <f>CONCATENATE("x ", K48," units = ")</f>
        <v xml:space="preserve">x  units = </v>
      </c>
      <c r="N48" s="2192" t="str">
        <f>IF(K48="","",K48*L48)</f>
        <v/>
      </c>
      <c r="P48" s="2190"/>
      <c r="Q48" s="2190"/>
      <c r="S48" s="3569" t="s">
        <v>4739</v>
      </c>
      <c r="T48" s="3570"/>
      <c r="U48" s="3570"/>
      <c r="V48" s="3571"/>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05"/>
      <c r="B49" s="3605"/>
      <c r="C49" s="3605"/>
      <c r="D49" s="852" t="s">
        <v>2440</v>
      </c>
      <c r="E49" s="853">
        <v>1</v>
      </c>
      <c r="F49" s="2191">
        <f>IF('Part VI-Revenues &amp; Expenses'!$K$137 =0,"",'Part VI-Revenues &amp; Expenses'!$K$137)</f>
        <v>8</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39" t="str">
        <f>CONCATENATE("x ", F49," units = ")</f>
        <v xml:space="preserve">x 8 units = </v>
      </c>
      <c r="I49" s="2192">
        <f>IF(F49="","",F49*G49)</f>
        <v>1277304</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39" t="str">
        <f>CONCATENATE("x ", K49," units = ")</f>
        <v xml:space="preserve">x  units = </v>
      </c>
      <c r="N49" s="2192" t="str">
        <f>IF(K49="","",K49*L49)</f>
        <v/>
      </c>
      <c r="P49" s="3322" t="s">
        <v>4083</v>
      </c>
      <c r="Q49" s="3322"/>
      <c r="S49" s="3572"/>
      <c r="T49" s="3573"/>
      <c r="U49" s="3573"/>
      <c r="V49" s="3574"/>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05"/>
      <c r="B50" s="3605"/>
      <c r="C50" s="3605"/>
      <c r="D50" s="852" t="s">
        <v>2441</v>
      </c>
      <c r="E50" s="853">
        <v>2</v>
      </c>
      <c r="F50" s="2191">
        <f>IF('Part VI-Revenues &amp; Expenses'!$L$137 =0,"",'Part VI-Revenues &amp; Expenses'!$L$137)</f>
        <v>40</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39" t="str">
        <f>CONCATENATE("x ", F50," units = ")</f>
        <v xml:space="preserve">x 40 units = </v>
      </c>
      <c r="I50" s="2192">
        <f>IF(F50="","",F50*G50)</f>
        <v>7739520</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39" t="str">
        <f>CONCATENATE("x ", K50," units = ")</f>
        <v xml:space="preserve">x  units = </v>
      </c>
      <c r="N50" s="2192" t="str">
        <f>IF(K50="","",K50*L50)</f>
        <v/>
      </c>
      <c r="O50" s="564"/>
      <c r="P50" s="3580"/>
      <c r="Q50" s="3581"/>
      <c r="R50" s="407"/>
      <c r="S50" s="3572"/>
      <c r="T50" s="3573"/>
      <c r="U50" s="3573"/>
      <c r="V50" s="3574"/>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39" t="str">
        <f>CONCATENATE("x ", F51," units = ")</f>
        <v xml:space="preserve">x  units = </v>
      </c>
      <c r="I51" s="2192" t="str">
        <f>IF(F51="","",F51*G51)</f>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39" t="str">
        <f>CONCATENATE("x ", K51," units = ")</f>
        <v xml:space="preserve">x  units = </v>
      </c>
      <c r="N51" s="2192" t="str">
        <f>IF(K51="","",K51*L51)</f>
        <v/>
      </c>
      <c r="O51" s="564"/>
      <c r="P51" s="3582"/>
      <c r="Q51" s="3583"/>
      <c r="S51" s="3572"/>
      <c r="T51" s="3573"/>
      <c r="U51" s="3573"/>
      <c r="V51" s="3574"/>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39" t="str">
        <f>CONCATENATE("x ", F52," units = ")</f>
        <v xml:space="preserve">x  units = </v>
      </c>
      <c r="I52" s="2192" t="str">
        <f>IF(F52="","",F52*G52)</f>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39" t="str">
        <f>CONCATENATE("x ", K52," units = ")</f>
        <v xml:space="preserve">x  units = </v>
      </c>
      <c r="N52" s="2192" t="str">
        <f>IF(K52="","",K52*L52)</f>
        <v/>
      </c>
      <c r="O52" s="564"/>
      <c r="P52" s="3590" t="s">
        <v>3627</v>
      </c>
      <c r="Q52" s="3590"/>
      <c r="S52" s="3572"/>
      <c r="T52" s="3573"/>
      <c r="U52" s="3573"/>
      <c r="V52" s="3574"/>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3">
        <f>SUM(F48:F52)</f>
        <v>48</v>
      </c>
      <c r="G53" s="618"/>
      <c r="H53" s="1094"/>
      <c r="I53" s="1095">
        <f>SUM(I48:I52)</f>
        <v>9016824</v>
      </c>
      <c r="J53" s="1096"/>
      <c r="K53" s="1093">
        <f>SUM(K48:K52)</f>
        <v>0</v>
      </c>
      <c r="L53" s="1096"/>
      <c r="M53" s="1094"/>
      <c r="N53" s="1095">
        <f>SUM(N48:N52)</f>
        <v>0</v>
      </c>
      <c r="O53" s="564"/>
      <c r="P53" s="1101" t="s">
        <v>3246</v>
      </c>
      <c r="Q53" s="1101" t="s">
        <v>256</v>
      </c>
      <c r="R53" s="407"/>
      <c r="S53" s="3572"/>
      <c r="T53" s="3573"/>
      <c r="U53" s="3573"/>
      <c r="V53" s="3574"/>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1"/>
      <c r="J54" s="34"/>
      <c r="K54" s="619"/>
      <c r="L54" s="34"/>
      <c r="M54" s="2304"/>
      <c r="N54" s="2311"/>
      <c r="O54" s="564"/>
      <c r="R54" s="407"/>
      <c r="S54" s="3572"/>
      <c r="T54" s="3573"/>
      <c r="U54" s="3573"/>
      <c r="V54" s="3574"/>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39" t="str">
        <f>CONCATENATE("x ", K55," units = ")</f>
        <v xml:space="preserve">x  units = </v>
      </c>
      <c r="N55" s="2192" t="str">
        <f>IF(K55="","",K55*L55)</f>
        <v/>
      </c>
      <c r="O55" s="564"/>
      <c r="P55" s="1100">
        <f>'Part IX Scoring Criteria'!O420</f>
        <v>0</v>
      </c>
      <c r="Q55" s="1100">
        <f>'Part IX Scoring Criteria'!P420</f>
        <v>0</v>
      </c>
      <c r="R55" s="407"/>
      <c r="S55" s="3572"/>
      <c r="T55" s="3573"/>
      <c r="U55" s="3573"/>
      <c r="V55" s="3574"/>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39" t="str">
        <f>CONCATENATE("x ", F56," units = ")</f>
        <v xml:space="preserve">x  units = </v>
      </c>
      <c r="I56" s="2192" t="str">
        <f>IF(F56="","",F56*G56)</f>
        <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39" t="str">
        <f>CONCATENATE("x ", K56," units = ")</f>
        <v xml:space="preserve">x  units = </v>
      </c>
      <c r="N56" s="2192" t="str">
        <f>IF(K56="","",K56*L56)</f>
        <v/>
      </c>
      <c r="P56" s="3590" t="s">
        <v>3628</v>
      </c>
      <c r="Q56" s="3590"/>
      <c r="S56" s="3572"/>
      <c r="T56" s="3573"/>
      <c r="U56" s="3573"/>
      <c r="V56" s="3574"/>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39" t="str">
        <f>CONCATENATE("x ", F57," units = ")</f>
        <v xml:space="preserve">x  units = </v>
      </c>
      <c r="I57" s="2192" t="str">
        <f>IF(F57="","",F57*G57)</f>
        <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39" t="str">
        <f>CONCATENATE("x ", K57," units = ")</f>
        <v xml:space="preserve">x  units = </v>
      </c>
      <c r="N57" s="2192" t="str">
        <f>IF(K57="","",K57*L57)</f>
        <v/>
      </c>
      <c r="P57" s="1101" t="s">
        <v>3246</v>
      </c>
      <c r="Q57" s="1101" t="s">
        <v>256</v>
      </c>
      <c r="S57" s="3572"/>
      <c r="T57" s="3573"/>
      <c r="U57" s="3573"/>
      <c r="V57" s="3574"/>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39" t="str">
        <f>CONCATENATE("x ", F58," units = ")</f>
        <v xml:space="preserve">x  units = </v>
      </c>
      <c r="I58" s="2192" t="str">
        <f>IF(F58="","",F58*G58)</f>
        <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39" t="str">
        <f>CONCATENATE("x ", K58," units = ")</f>
        <v xml:space="preserve">x  units = </v>
      </c>
      <c r="N58" s="2192" t="str">
        <f>IF(K58="","",K58*L58)</f>
        <v/>
      </c>
      <c r="O58" s="564"/>
      <c r="P58" s="1100">
        <f>'Part IX Scoring Criteria'!O71</f>
        <v>2</v>
      </c>
      <c r="Q58" s="1100">
        <f>'Part IX Scoring Criteria'!P71</f>
        <v>0</v>
      </c>
      <c r="S58" s="3575"/>
      <c r="T58" s="3576"/>
      <c r="U58" s="3576"/>
      <c r="V58" s="3577"/>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39" t="str">
        <f>CONCATENATE("x ", F59," units = ")</f>
        <v xml:space="preserve">x  units = </v>
      </c>
      <c r="I59" s="2192" t="str">
        <f>IF(F59="","",F59*G59)</f>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39" t="str">
        <f>CONCATENATE("x ", K59," units = ")</f>
        <v xml:space="preserve">x  units = </v>
      </c>
      <c r="N59" s="2192" t="str">
        <f>IF(K59="","",K59*L59)</f>
        <v/>
      </c>
      <c r="O59" s="564"/>
      <c r="P59" s="3599" t="s">
        <v>2770</v>
      </c>
      <c r="Q59" s="3599"/>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3">
        <f>SUM(F55:F59)</f>
        <v>0</v>
      </c>
      <c r="G60" s="618"/>
      <c r="H60" s="1094"/>
      <c r="I60" s="1095">
        <f>SUM(I55:I59)</f>
        <v>0</v>
      </c>
      <c r="J60" s="1096"/>
      <c r="K60" s="1093">
        <f>SUM(K55:K59)</f>
        <v>0</v>
      </c>
      <c r="L60" s="1096"/>
      <c r="M60" s="1094"/>
      <c r="N60" s="1095">
        <f>SUM(N55:N59)</f>
        <v>0</v>
      </c>
      <c r="O60" s="564"/>
      <c r="P60" s="3599"/>
      <c r="Q60" s="3599"/>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1"/>
      <c r="J61" s="34"/>
      <c r="K61" s="619"/>
      <c r="L61" s="34"/>
      <c r="M61" s="2304"/>
      <c r="N61" s="2311"/>
      <c r="O61" s="564"/>
      <c r="P61" s="3599"/>
      <c r="Q61" s="3599"/>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39" t="str">
        <f>CONCATENATE("x ", K62," units = ")</f>
        <v xml:space="preserve">x  units = </v>
      </c>
      <c r="N62" s="2192" t="str">
        <f>IF(K62="","",K62*L62)</f>
        <v/>
      </c>
      <c r="O62" s="564"/>
      <c r="P62" s="3600"/>
      <c r="Q62" s="3600"/>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39" t="str">
        <f>CONCATENATE("x ", K63," units = ")</f>
        <v xml:space="preserve">x  units = </v>
      </c>
      <c r="N63" s="2192" t="str">
        <f>IF(K63="","",K63*L63)</f>
        <v/>
      </c>
      <c r="O63" s="564"/>
      <c r="P63" s="3601">
        <f>IF(P50&gt;1,P50, IF(OR('Part IX Scoring Criteria'!$O$71='Part IX Scoring Criteria'!$M$71,AND('Part IV-A-Uses of Funds'!$T$165="Yes",'Part IX Scoring Criteria'!$O$420&gt;0)),H69+M69,H69))</f>
        <v>9016824</v>
      </c>
      <c r="Q63" s="3602"/>
      <c r="R63" s="3587"/>
      <c r="S63" s="3588"/>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39" t="str">
        <f>CONCATENATE("x ", F64," units = ")</f>
        <v xml:space="preserve">x  units = </v>
      </c>
      <c r="I64" s="2192" t="str">
        <f>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39" t="str">
        <f>CONCATENATE("x ", K64," units = ")</f>
        <v xml:space="preserve">x  units = </v>
      </c>
      <c r="N64" s="2192" t="str">
        <f>IF(K64="","",K64*L64)</f>
        <v/>
      </c>
      <c r="P64" s="3603"/>
      <c r="Q64" s="3604"/>
      <c r="R64" s="3587"/>
      <c r="S64" s="3588"/>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39" t="str">
        <f>CONCATENATE("x ", F65," units = ")</f>
        <v xml:space="preserve">x  units = </v>
      </c>
      <c r="I65" s="2192" t="str">
        <f>IF(F65="","",F65*G65)</f>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39" t="str">
        <f>CONCATENATE("x ", K65," units = ")</f>
        <v xml:space="preserve">x  units = </v>
      </c>
      <c r="N65" s="2192" t="str">
        <f>IF(K65="","",K65*L65)</f>
        <v/>
      </c>
      <c r="P65" s="3584" t="s">
        <v>4234</v>
      </c>
      <c r="Q65" s="3584"/>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39" t="str">
        <f>CONCATENATE("x ", F66," units = ")</f>
        <v xml:space="preserve">x  units = </v>
      </c>
      <c r="I66" s="2192" t="str">
        <f>IF(F66="","",F66*G66)</f>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39" t="str">
        <f>CONCATENATE("x ", K66," units = ")</f>
        <v xml:space="preserve">x  units = </v>
      </c>
      <c r="N66" s="2192" t="str">
        <f>IF(K66="","",K66*L66)</f>
        <v/>
      </c>
      <c r="O66" s="564"/>
      <c r="P66" s="3585"/>
      <c r="Q66" s="3585"/>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3">
        <f>SUM(F62:F66)</f>
        <v>0</v>
      </c>
      <c r="G67" s="618"/>
      <c r="H67" s="1094"/>
      <c r="I67" s="1097">
        <f>SUM(I62:I66)</f>
        <v>0</v>
      </c>
      <c r="J67" s="1096"/>
      <c r="K67" s="1093">
        <f>SUM(K62:K66)</f>
        <v>0</v>
      </c>
      <c r="L67" s="1096"/>
      <c r="M67" s="1094"/>
      <c r="N67" s="1097">
        <f>SUM(N62:N66)</f>
        <v>0</v>
      </c>
      <c r="O67" s="564"/>
      <c r="P67" s="3585"/>
      <c r="Q67" s="3585"/>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6"/>
      <c r="O68" s="564"/>
      <c r="P68" s="3585"/>
      <c r="Q68" s="3585"/>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48</v>
      </c>
      <c r="G69" s="331"/>
      <c r="H69" s="3589">
        <f>I46+I53+I60+I67</f>
        <v>9016824</v>
      </c>
      <c r="I69" s="3589"/>
      <c r="J69" s="3589"/>
      <c r="K69" s="609">
        <f>K46+K53+K60+K67</f>
        <v>0</v>
      </c>
      <c r="L69" s="610"/>
      <c r="M69" s="3589">
        <f>N46+N53+N60+N67</f>
        <v>0</v>
      </c>
      <c r="N69" s="3589"/>
      <c r="O69" s="3589"/>
      <c r="P69" s="3585"/>
      <c r="Q69" s="3585"/>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307"/>
      <c r="J70" s="2307"/>
      <c r="K70" s="136" t="s">
        <v>1866</v>
      </c>
      <c r="L70" s="2293"/>
      <c r="M70" s="2293"/>
      <c r="N70" s="2293"/>
      <c r="O70" s="2293"/>
      <c r="P70" s="3586"/>
      <c r="Q70" s="3586"/>
    </row>
    <row r="71" spans="1:295" ht="10.5" customHeight="1">
      <c r="A71" s="3508" t="s">
        <v>5277</v>
      </c>
      <c r="B71" s="3509"/>
      <c r="C71" s="3509"/>
      <c r="D71" s="3509"/>
      <c r="E71" s="3509"/>
      <c r="F71" s="3509"/>
      <c r="G71" s="3509"/>
      <c r="H71" s="3509"/>
      <c r="I71" s="3509"/>
      <c r="J71" s="3510"/>
      <c r="K71" s="3489"/>
      <c r="L71" s="3490"/>
      <c r="M71" s="3490"/>
      <c r="N71" s="3490"/>
      <c r="O71" s="3490"/>
      <c r="P71" s="3490"/>
      <c r="Q71" s="3491"/>
      <c r="R71" s="445" t="s">
        <v>1254</v>
      </c>
      <c r="U71" s="135"/>
      <c r="V71" s="135"/>
      <c r="W71" s="135"/>
      <c r="X71" s="135"/>
      <c r="Y71" s="135"/>
      <c r="Z71" s="135"/>
      <c r="AA71" s="135"/>
      <c r="AB71" s="135"/>
      <c r="AC71" s="135"/>
      <c r="AD71" s="135"/>
      <c r="AE71" s="465"/>
    </row>
    <row r="72" spans="1:295" ht="3" customHeight="1">
      <c r="B72" s="2307"/>
      <c r="C72" s="2304"/>
      <c r="D72" s="2304"/>
      <c r="E72" s="2304"/>
      <c r="F72" s="2304"/>
      <c r="G72" s="2304"/>
      <c r="H72" s="2304"/>
      <c r="I72" s="2304"/>
      <c r="J72" s="2304"/>
      <c r="K72" s="2304"/>
      <c r="L72" s="2304"/>
      <c r="M72" s="2304"/>
      <c r="N72" s="2304"/>
      <c r="O72" s="2304"/>
      <c r="P72" s="2304"/>
      <c r="Q72" s="2293"/>
    </row>
    <row r="73" spans="1:295" ht="12.75" customHeight="1">
      <c r="A73" s="2290" t="s">
        <v>742</v>
      </c>
      <c r="B73" s="3" t="s">
        <v>1191</v>
      </c>
      <c r="C73" s="3"/>
      <c r="D73" s="3"/>
      <c r="E73" s="2304"/>
      <c r="F73" s="2304"/>
      <c r="G73" s="139" t="s">
        <v>99</v>
      </c>
      <c r="H73" s="2304"/>
      <c r="J73" s="3595" t="str">
        <f>'Part I-Project Information'!$H$82</f>
        <v>HFOP</v>
      </c>
      <c r="K73" s="3595"/>
      <c r="L73" s="3595"/>
      <c r="O73" s="131" t="s">
        <v>1867</v>
      </c>
      <c r="P73" s="3513"/>
      <c r="Q73" s="3493"/>
    </row>
    <row r="74" spans="1:295" ht="10.5" customHeight="1">
      <c r="B74" s="95" t="s">
        <v>3749</v>
      </c>
      <c r="D74" s="95"/>
      <c r="E74" s="95"/>
      <c r="F74" s="95"/>
      <c r="G74" s="95"/>
      <c r="H74" s="39"/>
      <c r="I74" s="2307"/>
      <c r="J74" s="2307"/>
      <c r="K74" s="136" t="s">
        <v>1866</v>
      </c>
      <c r="L74" s="2293"/>
      <c r="M74" s="2293"/>
      <c r="N74" s="2293"/>
      <c r="O74" s="2293"/>
      <c r="P74" s="2293"/>
      <c r="Q74" s="896"/>
    </row>
    <row r="75" spans="1:295" ht="10.5" customHeight="1">
      <c r="A75" s="3508" t="s">
        <v>5197</v>
      </c>
      <c r="B75" s="3509"/>
      <c r="C75" s="3509"/>
      <c r="D75" s="3509"/>
      <c r="E75" s="3509"/>
      <c r="F75" s="3509"/>
      <c r="G75" s="3509"/>
      <c r="H75" s="3509"/>
      <c r="I75" s="3509"/>
      <c r="J75" s="3510"/>
      <c r="K75" s="3489"/>
      <c r="L75" s="3490"/>
      <c r="M75" s="3490"/>
      <c r="N75" s="3490"/>
      <c r="O75" s="3490"/>
      <c r="P75" s="3490"/>
      <c r="Q75" s="3491"/>
      <c r="R75" s="445" t="s">
        <v>1254</v>
      </c>
      <c r="U75" s="135"/>
      <c r="V75" s="135"/>
      <c r="W75" s="135"/>
      <c r="X75" s="135"/>
      <c r="Y75" s="135"/>
      <c r="Z75" s="135"/>
      <c r="AA75" s="135"/>
      <c r="AB75" s="135"/>
      <c r="AC75" s="135"/>
      <c r="AD75" s="135"/>
      <c r="AE75" s="465"/>
    </row>
    <row r="76" spans="1:295" ht="3" customHeight="1">
      <c r="A76" s="2293"/>
      <c r="B76" s="2307"/>
      <c r="C76" s="2304"/>
      <c r="D76" s="2304"/>
      <c r="E76" s="2304"/>
      <c r="F76" s="2304"/>
      <c r="G76" s="2304"/>
      <c r="H76" s="2304"/>
      <c r="I76" s="2304"/>
      <c r="J76" s="2304"/>
      <c r="K76" s="2304"/>
      <c r="L76" s="2304"/>
      <c r="M76" s="2304"/>
      <c r="N76" s="2304"/>
      <c r="O76" s="2304"/>
      <c r="P76" s="2304"/>
      <c r="Q76" s="2293"/>
    </row>
    <row r="77" spans="1:295" ht="12.75" customHeight="1">
      <c r="A77" s="2290" t="s">
        <v>1792</v>
      </c>
      <c r="B77" s="2290" t="s">
        <v>2652</v>
      </c>
      <c r="C77" s="113"/>
      <c r="D77" s="2304"/>
      <c r="E77" s="2304"/>
      <c r="F77" s="2304"/>
      <c r="G77" s="2304"/>
      <c r="H77" s="2304"/>
      <c r="I77" s="2304"/>
      <c r="J77" s="2304"/>
      <c r="L77" s="2060" t="s">
        <v>4748</v>
      </c>
      <c r="M77" s="2061" t="s">
        <v>4749</v>
      </c>
      <c r="O77" s="131" t="s">
        <v>1867</v>
      </c>
      <c r="P77" s="3513"/>
      <c r="Q77" s="3493"/>
    </row>
    <row r="78" spans="1:295" ht="1.5" customHeight="1"/>
    <row r="79" spans="1:295" ht="12" customHeight="1">
      <c r="A79" s="141" t="s">
        <v>1983</v>
      </c>
      <c r="B79" s="3497" t="s">
        <v>4740</v>
      </c>
      <c r="C79" s="3497"/>
      <c r="D79" s="3497"/>
      <c r="E79" s="3497"/>
      <c r="F79" s="3497"/>
      <c r="G79" s="3497"/>
      <c r="H79" s="3497"/>
      <c r="I79" s="3497"/>
      <c r="J79" s="3497"/>
      <c r="K79" s="147"/>
      <c r="L79" s="434" t="s">
        <v>2911</v>
      </c>
      <c r="M79" s="2125">
        <v>2</v>
      </c>
      <c r="N79" s="391" t="s">
        <v>3694</v>
      </c>
      <c r="P79" s="3578" t="s">
        <v>5151</v>
      </c>
      <c r="Q79" s="3566"/>
    </row>
    <row r="80" spans="1:295" ht="12" customHeight="1">
      <c r="A80" s="141"/>
      <c r="B80" s="3497"/>
      <c r="C80" s="3497"/>
      <c r="D80" s="3497"/>
      <c r="E80" s="3497"/>
      <c r="F80" s="3497"/>
      <c r="G80" s="3497"/>
      <c r="H80" s="3497"/>
      <c r="I80" s="3497"/>
      <c r="J80" s="3497"/>
      <c r="K80" s="147"/>
      <c r="L80" s="434" t="s">
        <v>4747</v>
      </c>
      <c r="M80" s="2126">
        <v>4</v>
      </c>
      <c r="O80" s="142"/>
      <c r="P80" s="3579"/>
      <c r="Q80" s="3567"/>
    </row>
    <row r="81" spans="1:31" ht="12" customHeight="1">
      <c r="A81" s="46" t="s">
        <v>1985</v>
      </c>
      <c r="B81" s="391" t="s">
        <v>4750</v>
      </c>
      <c r="C81" s="391"/>
      <c r="D81" s="391"/>
      <c r="E81" s="391"/>
      <c r="F81" s="391"/>
      <c r="G81" s="391"/>
      <c r="H81" s="391"/>
      <c r="I81" s="391"/>
      <c r="J81" s="391"/>
      <c r="K81" s="587"/>
      <c r="L81" s="391"/>
      <c r="M81" s="147"/>
      <c r="N81" s="939"/>
      <c r="O81" s="939"/>
      <c r="P81" s="939"/>
    </row>
    <row r="82" spans="1:31" ht="12" customHeight="1">
      <c r="A82" s="2057"/>
      <c r="B82" s="2162" t="s">
        <v>1737</v>
      </c>
      <c r="C82" s="391" t="s">
        <v>4754</v>
      </c>
      <c r="D82" s="2059"/>
      <c r="E82" s="2059"/>
      <c r="F82" s="2059"/>
      <c r="G82" s="2059"/>
      <c r="H82" s="2059"/>
      <c r="I82" s="2059"/>
      <c r="J82" s="2059"/>
      <c r="K82" s="2058"/>
      <c r="L82" s="938"/>
      <c r="N82" s="391" t="s">
        <v>3694</v>
      </c>
      <c r="O82" s="939"/>
      <c r="P82" s="2671"/>
      <c r="Q82" s="534"/>
    </row>
    <row r="83" spans="1:31" ht="12" customHeight="1">
      <c r="A83" s="2057"/>
      <c r="B83" s="2162" t="s">
        <v>1738</v>
      </c>
      <c r="C83" s="391" t="s">
        <v>4751</v>
      </c>
      <c r="D83" s="2059"/>
      <c r="E83" s="2059"/>
      <c r="F83" s="2059"/>
      <c r="G83" s="2059"/>
      <c r="H83" s="2059"/>
      <c r="I83" s="2059"/>
      <c r="J83" s="2059"/>
      <c r="K83" s="2058"/>
      <c r="L83" s="938"/>
      <c r="N83" s="391" t="s">
        <v>3694</v>
      </c>
      <c r="O83" s="939"/>
      <c r="P83" s="2672" t="s">
        <v>5151</v>
      </c>
      <c r="Q83" s="535"/>
    </row>
    <row r="84" spans="1:31" ht="12" customHeight="1">
      <c r="A84" s="2056"/>
      <c r="B84" s="2162" t="s">
        <v>1739</v>
      </c>
      <c r="C84" s="391" t="s">
        <v>4752</v>
      </c>
      <c r="E84" s="2059"/>
      <c r="F84" s="2059"/>
      <c r="G84" s="2059"/>
      <c r="H84" s="2059"/>
      <c r="I84" s="2059"/>
      <c r="J84" s="2059"/>
      <c r="K84" s="2058"/>
      <c r="L84" s="938"/>
      <c r="M84" s="939"/>
      <c r="N84" s="391" t="s">
        <v>3694</v>
      </c>
      <c r="O84" s="939"/>
      <c r="P84" s="2672" t="s">
        <v>5151</v>
      </c>
      <c r="Q84" s="535"/>
    </row>
    <row r="85" spans="1:31" ht="10.95" customHeight="1">
      <c r="A85" s="143"/>
      <c r="B85" s="477" t="s">
        <v>2365</v>
      </c>
      <c r="C85" s="477" t="s">
        <v>4755</v>
      </c>
      <c r="D85" s="133"/>
      <c r="E85" s="133"/>
      <c r="F85" s="133"/>
      <c r="G85" s="133"/>
      <c r="H85" s="133"/>
      <c r="I85" s="41"/>
      <c r="J85" s="41"/>
      <c r="N85" s="391" t="s">
        <v>3694</v>
      </c>
      <c r="O85" s="939"/>
      <c r="P85" s="2673"/>
      <c r="Q85" s="536"/>
    </row>
    <row r="86" spans="1:31" ht="10.95" customHeight="1">
      <c r="A86" s="143"/>
      <c r="B86" s="477"/>
      <c r="C86" s="391" t="s">
        <v>4756</v>
      </c>
      <c r="D86" s="133"/>
      <c r="E86" s="133"/>
      <c r="F86" s="133"/>
      <c r="G86" s="133"/>
      <c r="H86" s="133"/>
      <c r="I86" s="41"/>
      <c r="J86" s="41"/>
      <c r="L86" s="3494"/>
      <c r="M86" s="3495"/>
      <c r="N86" s="3495"/>
      <c r="O86" s="3495"/>
      <c r="P86" s="3495"/>
      <c r="Q86" s="3496"/>
    </row>
    <row r="87" spans="1:31" ht="10.95" customHeight="1">
      <c r="A87" s="143"/>
      <c r="B87" s="477" t="s">
        <v>1549</v>
      </c>
      <c r="C87" s="3497" t="s">
        <v>4753</v>
      </c>
      <c r="D87" s="3497"/>
      <c r="E87" s="3497"/>
      <c r="F87" s="3497"/>
      <c r="G87" s="3497"/>
      <c r="H87" s="3497"/>
      <c r="I87" s="3497"/>
      <c r="J87" s="3497"/>
      <c r="K87" s="3497"/>
      <c r="L87" s="3497"/>
      <c r="M87" s="527"/>
      <c r="N87" s="391" t="s">
        <v>3694</v>
      </c>
      <c r="O87" s="939"/>
      <c r="P87" s="2674" t="s">
        <v>5151</v>
      </c>
      <c r="Q87" s="533"/>
    </row>
    <row r="88" spans="1:31" ht="10.95" customHeight="1">
      <c r="A88" s="46"/>
      <c r="C88" s="3497"/>
      <c r="D88" s="3497"/>
      <c r="E88" s="3497"/>
      <c r="F88" s="3497"/>
      <c r="G88" s="3497"/>
      <c r="H88" s="3497"/>
      <c r="I88" s="3497"/>
      <c r="J88" s="3497"/>
      <c r="K88" s="3497"/>
      <c r="L88" s="3497"/>
      <c r="M88" s="527"/>
    </row>
    <row r="89" spans="1:31" ht="10.5" customHeight="1">
      <c r="B89" s="95" t="s">
        <v>3749</v>
      </c>
      <c r="D89" s="95"/>
      <c r="E89" s="95"/>
      <c r="F89" s="95"/>
      <c r="G89" s="95"/>
      <c r="H89" s="39"/>
      <c r="I89" s="2307"/>
      <c r="J89" s="2307"/>
      <c r="K89" s="136" t="s">
        <v>1866</v>
      </c>
      <c r="L89" s="2293"/>
      <c r="M89" s="2293"/>
      <c r="N89" s="2293"/>
      <c r="O89" s="2293"/>
      <c r="P89" s="2293"/>
      <c r="Q89" s="896"/>
    </row>
    <row r="90" spans="1:31" ht="27.75" customHeight="1">
      <c r="A90" s="3508" t="s">
        <v>5153</v>
      </c>
      <c r="B90" s="3509"/>
      <c r="C90" s="3509"/>
      <c r="D90" s="3509"/>
      <c r="E90" s="3509"/>
      <c r="F90" s="3509"/>
      <c r="G90" s="3509"/>
      <c r="H90" s="3509"/>
      <c r="I90" s="3509"/>
      <c r="J90" s="3510"/>
      <c r="K90" s="3489"/>
      <c r="L90" s="3490"/>
      <c r="M90" s="3490"/>
      <c r="N90" s="3490"/>
      <c r="O90" s="3490"/>
      <c r="P90" s="3490"/>
      <c r="Q90" s="3491"/>
      <c r="R90" s="445" t="s">
        <v>1254</v>
      </c>
      <c r="U90" s="135"/>
      <c r="V90" s="135"/>
      <c r="W90" s="135"/>
      <c r="X90" s="135"/>
      <c r="Y90" s="135"/>
      <c r="Z90" s="135"/>
      <c r="AA90" s="135"/>
      <c r="AB90" s="135"/>
      <c r="AC90" s="135"/>
      <c r="AD90" s="135"/>
      <c r="AE90" s="465"/>
    </row>
    <row r="91" spans="1:31" ht="3" customHeight="1">
      <c r="A91" s="2293"/>
      <c r="B91" s="2307"/>
      <c r="C91" s="2304"/>
      <c r="D91" s="2304"/>
      <c r="E91" s="2304"/>
      <c r="F91" s="2304"/>
      <c r="G91" s="2304"/>
      <c r="H91" s="2304"/>
      <c r="I91" s="2304"/>
      <c r="J91" s="2304"/>
      <c r="K91" s="2304"/>
      <c r="L91" s="2304"/>
      <c r="M91" s="2304"/>
      <c r="N91" s="2304"/>
      <c r="O91" s="2304"/>
      <c r="P91" s="2304"/>
      <c r="Q91" s="2293"/>
    </row>
    <row r="92" spans="1:31" ht="13.95" customHeight="1">
      <c r="A92" s="2290" t="s">
        <v>1794</v>
      </c>
      <c r="B92" s="2290" t="s">
        <v>2653</v>
      </c>
      <c r="C92" s="2290"/>
      <c r="D92" s="2304"/>
      <c r="E92" s="2304"/>
      <c r="F92" s="2304"/>
      <c r="G92" s="2304"/>
      <c r="H92" s="2304"/>
      <c r="I92" s="2304"/>
      <c r="J92" s="2304"/>
      <c r="K92" s="2304"/>
      <c r="O92" s="131" t="s">
        <v>1867</v>
      </c>
      <c r="P92" s="3513"/>
      <c r="Q92" s="3493"/>
    </row>
    <row r="93" spans="1:31" ht="3" customHeight="1"/>
    <row r="94" spans="1:31" ht="10.5" customHeight="1">
      <c r="A94" s="46" t="s">
        <v>1983</v>
      </c>
      <c r="B94" s="144" t="s">
        <v>2460</v>
      </c>
      <c r="D94" s="133"/>
      <c r="E94" s="133"/>
      <c r="F94" s="133"/>
      <c r="G94" s="133"/>
      <c r="H94" s="133"/>
      <c r="I94" s="41"/>
      <c r="J94" s="41"/>
      <c r="K94" s="41"/>
      <c r="L94" s="463" t="s">
        <v>1983</v>
      </c>
      <c r="M94" s="3548" t="s">
        <v>5152</v>
      </c>
      <c r="N94" s="3549"/>
      <c r="O94" s="3549"/>
      <c r="P94" s="3558"/>
      <c r="Q94" s="534"/>
    </row>
    <row r="95" spans="1:31" ht="10.5" customHeight="1">
      <c r="A95" s="46" t="s">
        <v>1985</v>
      </c>
      <c r="B95" s="51" t="s">
        <v>2036</v>
      </c>
      <c r="D95" s="133"/>
      <c r="E95" s="133"/>
      <c r="F95" s="133"/>
      <c r="L95" s="463" t="s">
        <v>1985</v>
      </c>
      <c r="M95" s="3559" t="s">
        <v>5250</v>
      </c>
      <c r="N95" s="3560"/>
      <c r="O95" s="3560"/>
      <c r="P95" s="3561"/>
      <c r="Q95" s="535"/>
    </row>
    <row r="96" spans="1:31" ht="10.5" customHeight="1">
      <c r="A96" s="46" t="s">
        <v>749</v>
      </c>
      <c r="B96" s="51" t="s">
        <v>2879</v>
      </c>
      <c r="D96" s="133"/>
      <c r="E96" s="133"/>
      <c r="F96" s="133"/>
      <c r="L96" s="463" t="s">
        <v>749</v>
      </c>
      <c r="M96" s="3562">
        <v>0.96199999999999997</v>
      </c>
      <c r="N96" s="3563"/>
      <c r="O96" s="3563"/>
      <c r="P96" s="3564"/>
      <c r="Q96" s="535"/>
    </row>
    <row r="97" spans="1:31" ht="10.5" customHeight="1">
      <c r="A97" s="46" t="s">
        <v>2115</v>
      </c>
      <c r="B97" s="51" t="s">
        <v>3890</v>
      </c>
      <c r="D97" s="133"/>
      <c r="E97" s="133"/>
      <c r="F97" s="133"/>
      <c r="L97" s="463" t="s">
        <v>3891</v>
      </c>
      <c r="M97" s="2675">
        <v>0.17100000000000001</v>
      </c>
      <c r="N97" s="1102"/>
      <c r="O97" s="1103" t="s">
        <v>4122</v>
      </c>
      <c r="P97" s="2676" t="s">
        <v>970</v>
      </c>
      <c r="Q97" s="536"/>
    </row>
    <row r="98" spans="1:31" ht="10.5" customHeight="1">
      <c r="A98" s="141" t="s">
        <v>1735</v>
      </c>
      <c r="B98" s="139" t="s">
        <v>3889</v>
      </c>
      <c r="D98" s="139"/>
      <c r="E98" s="139"/>
      <c r="F98" s="139"/>
      <c r="G98" s="139"/>
      <c r="H98" s="139"/>
      <c r="I98" s="139"/>
      <c r="J98" s="139"/>
      <c r="K98" s="139"/>
      <c r="L98" s="139"/>
      <c r="M98" s="139"/>
      <c r="N98" s="139"/>
      <c r="O98" s="139"/>
      <c r="P98" s="139"/>
      <c r="Q98" s="139"/>
    </row>
    <row r="99" spans="1:31" ht="10.5" customHeight="1">
      <c r="B99" s="46"/>
      <c r="C99" s="51"/>
      <c r="D99" s="2300" t="s">
        <v>2378</v>
      </c>
      <c r="E99" s="897" t="s">
        <v>617</v>
      </c>
      <c r="F99" s="897"/>
      <c r="H99" s="51"/>
      <c r="I99" s="2300" t="s">
        <v>2378</v>
      </c>
      <c r="J99" s="897" t="s">
        <v>617</v>
      </c>
      <c r="K99" s="897"/>
      <c r="M99" s="51"/>
      <c r="N99" s="2300" t="s">
        <v>2378</v>
      </c>
      <c r="O99" s="897" t="s">
        <v>617</v>
      </c>
      <c r="P99" s="897"/>
      <c r="Q99" s="463"/>
    </row>
    <row r="100" spans="1:31" ht="10.5" customHeight="1">
      <c r="C100" s="463" t="s">
        <v>1737</v>
      </c>
      <c r="D100" s="2677" t="s">
        <v>5245</v>
      </c>
      <c r="E100" s="3535" t="s">
        <v>5237</v>
      </c>
      <c r="F100" s="3535"/>
      <c r="G100" s="3535"/>
      <c r="H100" s="65" t="s">
        <v>1739</v>
      </c>
      <c r="I100" s="2677" t="s">
        <v>5247</v>
      </c>
      <c r="J100" s="3535" t="s">
        <v>5239</v>
      </c>
      <c r="K100" s="3535"/>
      <c r="L100" s="3535"/>
      <c r="M100" s="64" t="s">
        <v>1549</v>
      </c>
      <c r="N100" s="2677" t="s">
        <v>5242</v>
      </c>
      <c r="O100" s="3535" t="s">
        <v>5241</v>
      </c>
      <c r="P100" s="3535"/>
      <c r="Q100" s="3535"/>
    </row>
    <row r="101" spans="1:31" ht="10.5" customHeight="1">
      <c r="C101" s="65" t="s">
        <v>1738</v>
      </c>
      <c r="D101" s="2678" t="s">
        <v>5246</v>
      </c>
      <c r="E101" s="3536" t="s">
        <v>5238</v>
      </c>
      <c r="F101" s="3536"/>
      <c r="G101" s="3536"/>
      <c r="H101" s="463" t="s">
        <v>2365</v>
      </c>
      <c r="I101" s="2678" t="s">
        <v>5248</v>
      </c>
      <c r="J101" s="3536" t="s">
        <v>5240</v>
      </c>
      <c r="K101" s="3536"/>
      <c r="L101" s="3536"/>
      <c r="M101" s="64" t="s">
        <v>1550</v>
      </c>
      <c r="N101" s="2678" t="s">
        <v>5243</v>
      </c>
      <c r="O101" s="3536" t="s">
        <v>5244</v>
      </c>
      <c r="P101" s="3536"/>
      <c r="Q101" s="3536"/>
    </row>
    <row r="102" spans="1:31" ht="10.5" customHeight="1">
      <c r="A102" s="46" t="s">
        <v>1736</v>
      </c>
      <c r="B102" s="51" t="s">
        <v>0</v>
      </c>
      <c r="D102" s="133"/>
      <c r="E102" s="133"/>
      <c r="F102" s="133"/>
      <c r="G102" s="133"/>
      <c r="H102" s="133"/>
      <c r="I102" s="41"/>
      <c r="J102" s="41"/>
      <c r="K102" s="133"/>
      <c r="L102" s="2310"/>
      <c r="M102" s="2310"/>
      <c r="O102" s="463" t="s">
        <v>1736</v>
      </c>
      <c r="P102" s="2679" t="s">
        <v>2990</v>
      </c>
      <c r="Q102" s="2306"/>
    </row>
    <row r="103" spans="1:31" ht="9.75" customHeight="1">
      <c r="B103" s="140" t="s">
        <v>3749</v>
      </c>
      <c r="D103" s="140"/>
      <c r="E103" s="140"/>
      <c r="F103" s="140"/>
      <c r="G103" s="140"/>
      <c r="H103" s="39"/>
      <c r="I103" s="2307"/>
      <c r="J103" s="2307"/>
      <c r="K103" s="2307"/>
      <c r="L103" s="2293"/>
      <c r="M103" s="2293"/>
      <c r="N103" s="2293"/>
      <c r="O103" s="2293"/>
      <c r="P103" s="2293"/>
      <c r="Q103" s="896"/>
    </row>
    <row r="104" spans="1:31" ht="44.25" customHeight="1">
      <c r="A104" s="3508" t="s">
        <v>5249</v>
      </c>
      <c r="B104" s="3509"/>
      <c r="C104" s="3509"/>
      <c r="D104" s="3509"/>
      <c r="E104" s="3509"/>
      <c r="F104" s="3509"/>
      <c r="G104" s="3509"/>
      <c r="H104" s="3509"/>
      <c r="I104" s="3509"/>
      <c r="J104" s="3509"/>
      <c r="K104" s="3509"/>
      <c r="L104" s="3509"/>
      <c r="M104" s="3509"/>
      <c r="N104" s="3509"/>
      <c r="O104" s="3509"/>
      <c r="P104" s="3509"/>
      <c r="Q104" s="3510"/>
      <c r="U104" s="135"/>
      <c r="V104" s="135"/>
      <c r="W104" s="135"/>
      <c r="X104" s="135"/>
      <c r="Y104" s="135"/>
      <c r="Z104" s="135"/>
      <c r="AA104" s="135"/>
      <c r="AB104" s="135"/>
      <c r="AC104" s="135"/>
      <c r="AD104" s="135"/>
      <c r="AE104" s="465"/>
    </row>
    <row r="105" spans="1:31" ht="9.75" customHeight="1">
      <c r="B105" s="136" t="s">
        <v>1866</v>
      </c>
      <c r="C105" s="137"/>
      <c r="D105" s="2304"/>
      <c r="E105" s="2304"/>
      <c r="F105" s="2304"/>
      <c r="G105" s="2304"/>
      <c r="H105" s="2304"/>
      <c r="I105" s="2304"/>
      <c r="J105" s="2304"/>
      <c r="K105" s="2304"/>
      <c r="L105" s="2304"/>
      <c r="M105" s="2304"/>
      <c r="N105" s="2304"/>
      <c r="O105" s="2304"/>
      <c r="P105" s="2304"/>
      <c r="Q105" s="2304"/>
    </row>
    <row r="106" spans="1:31" ht="44.25" customHeight="1">
      <c r="A106" s="3489"/>
      <c r="B106" s="3490"/>
      <c r="C106" s="3490"/>
      <c r="D106" s="3490"/>
      <c r="E106" s="3490"/>
      <c r="F106" s="3490"/>
      <c r="G106" s="3490"/>
      <c r="H106" s="3490"/>
      <c r="I106" s="3490"/>
      <c r="J106" s="3490"/>
      <c r="K106" s="3490"/>
      <c r="L106" s="3490"/>
      <c r="M106" s="3490"/>
      <c r="N106" s="3490"/>
      <c r="O106" s="3490"/>
      <c r="P106" s="3490"/>
      <c r="Q106" s="3491"/>
    </row>
    <row r="107" spans="1:31" ht="13.95" customHeight="1">
      <c r="A107" s="2290" t="s">
        <v>530</v>
      </c>
      <c r="B107" s="2290" t="s">
        <v>2654</v>
      </c>
      <c r="C107" s="2290"/>
      <c r="D107" s="2304"/>
      <c r="E107" s="2304"/>
      <c r="F107" s="2304"/>
      <c r="G107" s="2304"/>
      <c r="H107" s="2304"/>
      <c r="I107" s="2304"/>
      <c r="J107" s="2304"/>
      <c r="K107" s="2304"/>
      <c r="L107" s="2304"/>
      <c r="M107" s="2304"/>
      <c r="O107" s="131" t="s">
        <v>1867</v>
      </c>
      <c r="P107" s="3513"/>
      <c r="Q107" s="3493"/>
    </row>
    <row r="108" spans="1:31" ht="3" customHeight="1"/>
    <row r="109" spans="1:31" ht="9.75" customHeight="1">
      <c r="B109" s="54" t="s">
        <v>4932</v>
      </c>
      <c r="P109" s="2674"/>
      <c r="Q109" s="533"/>
    </row>
    <row r="110" spans="1:31" ht="10.5" customHeight="1">
      <c r="A110" s="46" t="s">
        <v>1983</v>
      </c>
      <c r="B110" s="51" t="s">
        <v>493</v>
      </c>
      <c r="C110" s="51"/>
      <c r="E110" s="51"/>
      <c r="F110" s="51"/>
      <c r="G110" s="51"/>
      <c r="H110" s="51"/>
      <c r="I110" s="51"/>
      <c r="J110" s="51"/>
      <c r="K110" s="51"/>
      <c r="L110" s="51"/>
      <c r="M110" s="51"/>
      <c r="O110" s="463" t="s">
        <v>1983</v>
      </c>
      <c r="P110" s="2680" t="s">
        <v>2993</v>
      </c>
      <c r="Q110" s="940"/>
    </row>
    <row r="111" spans="1:31" ht="10.5" customHeight="1">
      <c r="A111" s="46" t="s">
        <v>1985</v>
      </c>
      <c r="B111" s="51" t="s">
        <v>1304</v>
      </c>
      <c r="C111" s="51"/>
      <c r="E111" s="51"/>
      <c r="F111" s="51"/>
      <c r="G111" s="51"/>
      <c r="H111" s="51"/>
      <c r="I111" s="51"/>
      <c r="J111" s="51"/>
      <c r="K111" s="51"/>
      <c r="L111" s="897"/>
      <c r="M111" s="897"/>
      <c r="O111" s="463" t="s">
        <v>1985</v>
      </c>
      <c r="P111" s="2673" t="s">
        <v>2993</v>
      </c>
      <c r="Q111" s="535"/>
    </row>
    <row r="112" spans="1:31" ht="10.5" customHeight="1">
      <c r="A112" s="35"/>
      <c r="B112" s="38" t="s">
        <v>554</v>
      </c>
      <c r="E112" s="41"/>
      <c r="F112" s="41"/>
      <c r="G112" s="41"/>
      <c r="H112" s="41"/>
      <c r="I112" s="41"/>
      <c r="L112" s="65" t="s">
        <v>555</v>
      </c>
      <c r="M112" s="3494"/>
      <c r="N112" s="3495"/>
      <c r="O112" s="3495"/>
      <c r="P112" s="3061"/>
      <c r="Q112" s="535"/>
    </row>
    <row r="113" spans="1:32" ht="10.5" customHeight="1">
      <c r="A113" s="2307"/>
      <c r="B113" s="2162" t="s">
        <v>1737</v>
      </c>
      <c r="C113" s="897" t="s">
        <v>4757</v>
      </c>
      <c r="D113" s="1027"/>
      <c r="E113" s="1027"/>
      <c r="F113" s="1027"/>
      <c r="G113" s="1027"/>
      <c r="H113" s="1027"/>
      <c r="I113" s="1027"/>
      <c r="J113" s="1027"/>
      <c r="K113" s="1027"/>
      <c r="L113" s="1027"/>
      <c r="M113" s="1027"/>
      <c r="O113" s="148" t="s">
        <v>1737</v>
      </c>
      <c r="P113" s="2671"/>
      <c r="Q113" s="535"/>
    </row>
    <row r="114" spans="1:32" ht="10.5" customHeight="1">
      <c r="A114" s="2307"/>
      <c r="B114" s="145" t="s">
        <v>1738</v>
      </c>
      <c r="C114" s="897" t="s">
        <v>3471</v>
      </c>
      <c r="D114" s="1027"/>
      <c r="E114" s="1027"/>
      <c r="F114" s="1027"/>
      <c r="G114" s="1027"/>
      <c r="H114" s="1027"/>
      <c r="I114" s="1027"/>
      <c r="J114" s="1027"/>
      <c r="K114" s="1027"/>
      <c r="L114" s="1027"/>
      <c r="M114" s="1027"/>
      <c r="O114" s="65" t="s">
        <v>1738</v>
      </c>
      <c r="P114" s="2672"/>
      <c r="Q114" s="535"/>
    </row>
    <row r="115" spans="1:32" ht="10.5" customHeight="1">
      <c r="A115" s="2307"/>
      <c r="B115" s="2162" t="s">
        <v>1739</v>
      </c>
      <c r="C115" s="897" t="s">
        <v>3472</v>
      </c>
      <c r="D115" s="1027"/>
      <c r="E115" s="1027"/>
      <c r="F115" s="1027"/>
      <c r="G115" s="1027"/>
      <c r="H115" s="1027"/>
      <c r="I115" s="1027"/>
      <c r="J115" s="1027"/>
      <c r="K115" s="1027"/>
      <c r="L115" s="1027"/>
      <c r="M115" s="1027"/>
      <c r="O115" s="148" t="s">
        <v>1739</v>
      </c>
      <c r="P115" s="2672"/>
      <c r="Q115" s="535"/>
    </row>
    <row r="116" spans="1:32" ht="10.5" customHeight="1">
      <c r="A116" s="2307"/>
      <c r="B116" s="477" t="s">
        <v>2365</v>
      </c>
      <c r="C116" s="897" t="s">
        <v>2880</v>
      </c>
      <c r="D116" s="897"/>
      <c r="E116" s="897"/>
      <c r="F116" s="897"/>
      <c r="G116" s="897"/>
      <c r="H116" s="897"/>
      <c r="I116" s="897"/>
      <c r="J116" s="897"/>
      <c r="K116" s="897"/>
      <c r="L116" s="897"/>
      <c r="M116" s="1168"/>
      <c r="O116" s="160" t="s">
        <v>2365</v>
      </c>
      <c r="P116" s="2672"/>
      <c r="Q116" s="535"/>
    </row>
    <row r="117" spans="1:32" s="132" customFormat="1" ht="24.75" customHeight="1">
      <c r="A117" s="434"/>
      <c r="B117" s="477" t="s">
        <v>1549</v>
      </c>
      <c r="C117" s="3537" t="s">
        <v>2689</v>
      </c>
      <c r="D117" s="3537"/>
      <c r="E117" s="3537"/>
      <c r="F117" s="3537"/>
      <c r="G117" s="3537"/>
      <c r="H117" s="3537"/>
      <c r="I117" s="3537"/>
      <c r="J117" s="3537"/>
      <c r="K117" s="3537"/>
      <c r="L117" s="3537"/>
      <c r="M117" s="3537"/>
      <c r="N117" s="3537"/>
      <c r="O117" s="160" t="s">
        <v>1549</v>
      </c>
      <c r="P117" s="2681"/>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73" t="s">
        <v>2993</v>
      </c>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1" t="s">
        <v>2990</v>
      </c>
      <c r="Q120" s="534"/>
    </row>
    <row r="121" spans="1:32" ht="10.5" customHeight="1">
      <c r="B121" s="145" t="s">
        <v>1738</v>
      </c>
      <c r="C121" s="51" t="s">
        <v>1430</v>
      </c>
      <c r="E121" s="51"/>
      <c r="F121" s="51"/>
      <c r="G121" s="51"/>
      <c r="H121" s="51"/>
      <c r="I121" s="51"/>
      <c r="J121" s="51"/>
      <c r="K121" s="51"/>
      <c r="L121" s="897"/>
      <c r="M121" s="897"/>
      <c r="O121" s="65" t="s">
        <v>1738</v>
      </c>
      <c r="P121" s="2672"/>
      <c r="Q121" s="535"/>
    </row>
    <row r="122" spans="1:32" ht="10.5" customHeight="1">
      <c r="B122" s="145" t="s">
        <v>1739</v>
      </c>
      <c r="C122" s="51" t="s">
        <v>1431</v>
      </c>
      <c r="E122" s="51"/>
      <c r="F122" s="51"/>
      <c r="G122" s="51"/>
      <c r="H122" s="51"/>
      <c r="I122" s="51"/>
      <c r="J122" s="51"/>
      <c r="K122" s="51"/>
      <c r="L122" s="897"/>
      <c r="M122" s="897"/>
      <c r="O122" s="65" t="s">
        <v>1739</v>
      </c>
      <c r="P122" s="2673"/>
      <c r="Q122" s="536"/>
    </row>
    <row r="123" spans="1:32" ht="10.5" customHeight="1">
      <c r="B123" s="140" t="s">
        <v>3749</v>
      </c>
      <c r="D123" s="140"/>
      <c r="E123" s="140"/>
      <c r="F123" s="140"/>
      <c r="G123" s="140"/>
      <c r="H123" s="39"/>
      <c r="I123" s="2307"/>
      <c r="J123" s="2307"/>
      <c r="K123" s="2307"/>
      <c r="L123" s="2293"/>
      <c r="M123" s="2293"/>
      <c r="N123" s="2293"/>
      <c r="O123" s="2293"/>
      <c r="P123" s="2293"/>
      <c r="Q123" s="896"/>
    </row>
    <row r="124" spans="1:32" ht="22.5" customHeight="1">
      <c r="A124" s="3508" t="s">
        <v>5154</v>
      </c>
      <c r="B124" s="3509"/>
      <c r="C124" s="3509"/>
      <c r="D124" s="3509"/>
      <c r="E124" s="3509"/>
      <c r="F124" s="3509"/>
      <c r="G124" s="3509"/>
      <c r="H124" s="3509"/>
      <c r="I124" s="3509"/>
      <c r="J124" s="3509"/>
      <c r="K124" s="3509"/>
      <c r="L124" s="3509"/>
      <c r="M124" s="3509"/>
      <c r="N124" s="3509"/>
      <c r="O124" s="3509"/>
      <c r="P124" s="3509"/>
      <c r="Q124" s="3510"/>
      <c r="U124" s="135"/>
      <c r="V124" s="135"/>
      <c r="W124" s="135"/>
      <c r="X124" s="135"/>
      <c r="Y124" s="135"/>
      <c r="Z124" s="135"/>
      <c r="AA124" s="135"/>
      <c r="AB124" s="135"/>
      <c r="AC124" s="135"/>
      <c r="AD124" s="135"/>
      <c r="AE124" s="465"/>
    </row>
    <row r="125" spans="1:32" ht="11.25" customHeight="1">
      <c r="B125" s="136" t="s">
        <v>1866</v>
      </c>
      <c r="C125" s="137"/>
      <c r="D125" s="2304"/>
      <c r="E125" s="2304"/>
      <c r="F125" s="2304"/>
      <c r="G125" s="2304"/>
      <c r="H125" s="2304"/>
      <c r="I125" s="2304"/>
      <c r="J125" s="2304"/>
      <c r="K125" s="2304"/>
      <c r="L125" s="2304"/>
      <c r="M125" s="2304"/>
      <c r="N125" s="2304"/>
      <c r="O125" s="2304"/>
      <c r="P125" s="2304"/>
      <c r="Q125" s="2304"/>
    </row>
    <row r="126" spans="1:32" ht="22.5" customHeight="1">
      <c r="A126" s="3489"/>
      <c r="B126" s="3490"/>
      <c r="C126" s="3490"/>
      <c r="D126" s="3490"/>
      <c r="E126" s="3490"/>
      <c r="F126" s="3490"/>
      <c r="G126" s="3490"/>
      <c r="H126" s="3490"/>
      <c r="I126" s="3490"/>
      <c r="J126" s="3490"/>
      <c r="K126" s="3490"/>
      <c r="L126" s="3490"/>
      <c r="M126" s="3490"/>
      <c r="N126" s="3490"/>
      <c r="O126" s="3490"/>
      <c r="P126" s="3490"/>
      <c r="Q126" s="3491"/>
    </row>
    <row r="127" spans="1:32" ht="13.95" customHeight="1">
      <c r="A127" s="2290" t="s">
        <v>772</v>
      </c>
      <c r="B127" s="2290" t="s">
        <v>2655</v>
      </c>
      <c r="C127" s="39"/>
      <c r="D127" s="2304"/>
      <c r="E127" s="2304"/>
      <c r="F127" s="2304"/>
      <c r="G127" s="2304"/>
      <c r="H127" s="2304"/>
      <c r="I127" s="2304"/>
      <c r="J127" s="2304"/>
      <c r="K127" s="2304"/>
      <c r="L127" s="2304"/>
      <c r="M127" s="2304"/>
      <c r="O127" s="131" t="s">
        <v>1867</v>
      </c>
      <c r="P127" s="3513"/>
      <c r="Q127" s="3493"/>
    </row>
    <row r="128" spans="1:32" ht="6.6" customHeight="1"/>
    <row r="129" spans="1:17" ht="12" customHeight="1">
      <c r="A129" s="46" t="s">
        <v>1983</v>
      </c>
      <c r="B129" s="51" t="s">
        <v>3634</v>
      </c>
      <c r="D129" s="133"/>
      <c r="E129" s="133"/>
      <c r="F129" s="133"/>
      <c r="G129" s="133"/>
      <c r="H129" s="133"/>
      <c r="I129" s="41"/>
      <c r="J129" s="41"/>
      <c r="K129" s="463" t="s">
        <v>1983</v>
      </c>
      <c r="L129" s="3544" t="s">
        <v>5155</v>
      </c>
      <c r="M129" s="3544"/>
      <c r="N129" s="3544"/>
      <c r="O129" s="3544"/>
      <c r="P129" s="3544"/>
      <c r="Q129" s="533"/>
    </row>
    <row r="130" spans="1:17" ht="12" customHeight="1">
      <c r="A130" s="46" t="s">
        <v>1985</v>
      </c>
      <c r="B130" s="51" t="s">
        <v>1538</v>
      </c>
      <c r="D130" s="133"/>
      <c r="E130" s="133"/>
      <c r="F130" s="133"/>
      <c r="G130" s="133"/>
      <c r="H130" s="133"/>
      <c r="I130" s="41"/>
      <c r="J130" s="41"/>
      <c r="K130" s="133"/>
      <c r="L130" s="2310"/>
      <c r="O130" s="463" t="s">
        <v>1985</v>
      </c>
      <c r="P130" s="2680" t="s">
        <v>2993</v>
      </c>
      <c r="Q130" s="940"/>
    </row>
    <row r="131" spans="1:17" ht="12" customHeight="1">
      <c r="A131" s="46" t="s">
        <v>749</v>
      </c>
      <c r="B131" s="51" t="s">
        <v>151</v>
      </c>
      <c r="D131" s="133"/>
      <c r="E131" s="133"/>
      <c r="F131" s="133"/>
      <c r="G131" s="133"/>
      <c r="H131" s="133"/>
      <c r="I131" s="41"/>
      <c r="J131" s="41"/>
      <c r="K131" s="2310"/>
      <c r="L131" s="2310"/>
      <c r="O131" s="463" t="s">
        <v>749</v>
      </c>
      <c r="P131" s="2673" t="s">
        <v>2990</v>
      </c>
      <c r="Q131" s="903"/>
    </row>
    <row r="132" spans="1:17" ht="12" customHeight="1">
      <c r="A132" s="46"/>
      <c r="B132" s="897" t="s">
        <v>1737</v>
      </c>
      <c r="C132" s="51" t="s">
        <v>2688</v>
      </c>
      <c r="E132" s="133"/>
      <c r="F132" s="133"/>
      <c r="G132" s="133"/>
      <c r="H132" s="133"/>
      <c r="I132" s="41"/>
      <c r="J132" s="41"/>
      <c r="K132" s="65" t="s">
        <v>1737</v>
      </c>
      <c r="L132" s="3544" t="s">
        <v>5155</v>
      </c>
      <c r="M132" s="3544"/>
      <c r="N132" s="3544"/>
      <c r="O132" s="3544"/>
      <c r="P132" s="3544"/>
      <c r="Q132" s="533"/>
    </row>
    <row r="133" spans="1:17" ht="12" customHeight="1">
      <c r="A133" s="138"/>
      <c r="B133" s="145" t="s">
        <v>1738</v>
      </c>
      <c r="C133" s="35" t="s">
        <v>3473</v>
      </c>
      <c r="E133" s="41"/>
      <c r="F133" s="41"/>
      <c r="G133" s="41"/>
      <c r="H133" s="51"/>
      <c r="I133" s="41"/>
      <c r="J133" s="41"/>
      <c r="K133" s="133"/>
      <c r="L133" s="2310"/>
      <c r="M133" s="2310"/>
      <c r="O133" s="463" t="s">
        <v>1738</v>
      </c>
      <c r="P133" s="2679">
        <v>56.6</v>
      </c>
      <c r="Q133" s="2306"/>
    </row>
    <row r="134" spans="1:17" ht="12" customHeight="1">
      <c r="A134" s="138"/>
      <c r="B134" s="39" t="s">
        <v>1739</v>
      </c>
      <c r="C134" s="35" t="s">
        <v>4741</v>
      </c>
      <c r="D134" s="147"/>
      <c r="E134" s="41"/>
      <c r="F134" s="41"/>
      <c r="G134" s="41"/>
      <c r="H134" s="51"/>
      <c r="I134" s="41"/>
      <c r="J134" s="41"/>
      <c r="K134" s="133"/>
      <c r="L134" s="2310"/>
      <c r="M134" s="2310"/>
      <c r="O134" s="463" t="s">
        <v>1739</v>
      </c>
      <c r="P134" s="2679" t="s">
        <v>970</v>
      </c>
      <c r="Q134" s="2306"/>
    </row>
    <row r="135" spans="1:17" ht="12" customHeight="1">
      <c r="A135" s="46" t="s">
        <v>2115</v>
      </c>
      <c r="B135" s="51" t="s">
        <v>1260</v>
      </c>
      <c r="D135" s="133"/>
      <c r="E135" s="133"/>
      <c r="F135" s="133"/>
      <c r="G135" s="133"/>
      <c r="H135" s="133"/>
      <c r="I135" s="41"/>
      <c r="J135" s="41"/>
      <c r="K135" s="133"/>
      <c r="L135" s="2310"/>
      <c r="M135" s="2310"/>
      <c r="N135" s="2310"/>
      <c r="O135" s="463" t="s">
        <v>2115</v>
      </c>
    </row>
    <row r="136" spans="1:17" ht="12" customHeight="1">
      <c r="A136" s="46"/>
      <c r="B136" s="145" t="s">
        <v>1737</v>
      </c>
      <c r="C136" s="51" t="s">
        <v>149</v>
      </c>
      <c r="E136" s="133"/>
      <c r="F136" s="133"/>
      <c r="G136" s="133"/>
      <c r="H136" s="133"/>
      <c r="I136" s="41"/>
      <c r="J136" s="41"/>
      <c r="K136" s="133"/>
      <c r="L136" s="2310"/>
      <c r="M136" s="2310"/>
      <c r="O136" s="65" t="s">
        <v>1737</v>
      </c>
      <c r="P136" s="2671" t="s">
        <v>2993</v>
      </c>
      <c r="Q136" s="534"/>
    </row>
    <row r="137" spans="1:17" ht="12" customHeight="1">
      <c r="A137" s="46"/>
      <c r="B137" s="145" t="s">
        <v>1738</v>
      </c>
      <c r="C137" s="51" t="s">
        <v>1261</v>
      </c>
      <c r="E137" s="133"/>
      <c r="F137" s="133"/>
      <c r="G137" s="133"/>
      <c r="H137" s="41"/>
      <c r="I137" s="41"/>
      <c r="J137" s="41"/>
      <c r="K137" s="133"/>
      <c r="L137" s="2310"/>
      <c r="M137" s="2310"/>
      <c r="O137" s="65" t="s">
        <v>1738</v>
      </c>
      <c r="P137" s="2672" t="s">
        <v>2993</v>
      </c>
      <c r="Q137" s="535"/>
    </row>
    <row r="138" spans="1:17" ht="12" customHeight="1">
      <c r="A138" s="46"/>
      <c r="B138" s="145"/>
      <c r="C138" s="51" t="s">
        <v>2632</v>
      </c>
      <c r="E138" s="463" t="s">
        <v>2435</v>
      </c>
      <c r="F138" s="51" t="s">
        <v>2633</v>
      </c>
      <c r="G138" s="41"/>
      <c r="H138" s="51"/>
      <c r="I138" s="41"/>
      <c r="J138" s="41"/>
      <c r="K138" s="133"/>
      <c r="L138" s="2310"/>
      <c r="M138" s="2310"/>
      <c r="O138" s="463" t="s">
        <v>2435</v>
      </c>
      <c r="P138" s="2682"/>
      <c r="Q138" s="858"/>
    </row>
    <row r="139" spans="1:17" ht="12" customHeight="1">
      <c r="A139" s="46"/>
      <c r="B139" s="145"/>
      <c r="E139" s="463" t="s">
        <v>2436</v>
      </c>
      <c r="F139" s="51" t="s">
        <v>2634</v>
      </c>
      <c r="G139" s="41"/>
      <c r="H139" s="51"/>
      <c r="I139" s="41"/>
      <c r="J139" s="41"/>
      <c r="K139" s="133"/>
      <c r="L139" s="2310"/>
      <c r="M139" s="2310"/>
      <c r="O139" s="463" t="s">
        <v>2436</v>
      </c>
      <c r="P139" s="2672"/>
      <c r="Q139" s="535"/>
    </row>
    <row r="140" spans="1:17" ht="12" customHeight="1">
      <c r="A140" s="46"/>
      <c r="B140" s="145"/>
      <c r="E140" s="463" t="s">
        <v>2437</v>
      </c>
      <c r="F140" s="51" t="s">
        <v>2635</v>
      </c>
      <c r="G140" s="41"/>
      <c r="H140" s="51"/>
      <c r="I140" s="41"/>
      <c r="J140" s="41"/>
      <c r="K140" s="133"/>
      <c r="L140" s="2310"/>
      <c r="M140" s="2310"/>
      <c r="O140" s="463" t="s">
        <v>2437</v>
      </c>
      <c r="P140" s="2672"/>
      <c r="Q140" s="535"/>
    </row>
    <row r="141" spans="1:17" ht="12" customHeight="1">
      <c r="A141" s="46"/>
      <c r="B141" s="145" t="s">
        <v>1739</v>
      </c>
      <c r="C141" s="51" t="s">
        <v>1262</v>
      </c>
      <c r="E141" s="133"/>
      <c r="F141" s="133"/>
      <c r="G141" s="133"/>
      <c r="H141" s="51"/>
      <c r="I141" s="41"/>
      <c r="J141" s="41"/>
      <c r="K141" s="133"/>
      <c r="L141" s="2310"/>
      <c r="M141" s="2310"/>
      <c r="O141" s="65" t="s">
        <v>1739</v>
      </c>
      <c r="P141" s="2672" t="s">
        <v>2990</v>
      </c>
      <c r="Q141" s="535"/>
    </row>
    <row r="142" spans="1:17" ht="12" customHeight="1">
      <c r="A142" s="46"/>
      <c r="B142" s="65"/>
      <c r="C142" s="51" t="s">
        <v>2632</v>
      </c>
      <c r="E142" s="463" t="s">
        <v>2435</v>
      </c>
      <c r="F142" s="51" t="s">
        <v>2636</v>
      </c>
      <c r="G142" s="41"/>
      <c r="H142" s="51"/>
      <c r="I142" s="41"/>
      <c r="J142" s="41"/>
      <c r="K142" s="133"/>
      <c r="L142" s="2310"/>
      <c r="O142" s="463" t="s">
        <v>2435</v>
      </c>
      <c r="P142" s="2682">
        <v>0.1198</v>
      </c>
      <c r="Q142" s="858"/>
    </row>
    <row r="143" spans="1:17" ht="12" customHeight="1">
      <c r="A143" s="46"/>
      <c r="B143" s="65"/>
      <c r="E143" s="463" t="s">
        <v>2436</v>
      </c>
      <c r="F143" s="51" t="s">
        <v>2637</v>
      </c>
      <c r="G143" s="41"/>
      <c r="H143" s="51"/>
      <c r="I143" s="41"/>
      <c r="J143" s="41"/>
      <c r="O143" s="463" t="s">
        <v>2436</v>
      </c>
      <c r="P143" s="2672" t="s">
        <v>2990</v>
      </c>
      <c r="Q143" s="535"/>
    </row>
    <row r="144" spans="1:17" ht="12" customHeight="1">
      <c r="A144" s="46"/>
      <c r="B144" s="65"/>
      <c r="E144" s="463" t="s">
        <v>2437</v>
      </c>
      <c r="F144" s="51" t="s">
        <v>2635</v>
      </c>
      <c r="G144" s="41"/>
      <c r="H144" s="51"/>
      <c r="I144" s="41"/>
      <c r="J144" s="41"/>
      <c r="O144" s="463" t="s">
        <v>2437</v>
      </c>
      <c r="P144" s="2673" t="s">
        <v>2990</v>
      </c>
      <c r="Q144" s="536"/>
    </row>
    <row r="145" spans="1:32" ht="12" customHeight="1">
      <c r="A145" s="46" t="s">
        <v>1735</v>
      </c>
      <c r="B145" s="145" t="s">
        <v>2414</v>
      </c>
      <c r="D145" s="133"/>
      <c r="E145" s="133"/>
      <c r="F145" s="133"/>
      <c r="G145" s="133"/>
      <c r="H145" s="133"/>
      <c r="I145" s="41"/>
      <c r="J145" s="41"/>
      <c r="K145" s="133"/>
      <c r="L145" s="2310"/>
      <c r="M145" s="2310"/>
      <c r="N145" s="2310"/>
      <c r="O145" s="2310"/>
      <c r="P145" s="2310"/>
      <c r="Q145" s="2310"/>
    </row>
    <row r="146" spans="1:32" ht="12" customHeight="1">
      <c r="B146" s="145" t="s">
        <v>1737</v>
      </c>
      <c r="C146" s="51" t="s">
        <v>2495</v>
      </c>
      <c r="E146" s="133"/>
      <c r="F146" s="2671" t="s">
        <v>2993</v>
      </c>
      <c r="G146" s="534"/>
      <c r="H146" s="463" t="s">
        <v>4976</v>
      </c>
      <c r="I146" s="54" t="s">
        <v>2640</v>
      </c>
      <c r="L146" s="2671" t="s">
        <v>2993</v>
      </c>
      <c r="M146" s="534"/>
      <c r="N146" s="463" t="s">
        <v>4980</v>
      </c>
      <c r="O146" s="51" t="s">
        <v>1552</v>
      </c>
      <c r="P146" s="2671" t="s">
        <v>2993</v>
      </c>
      <c r="Q146" s="534"/>
    </row>
    <row r="147" spans="1:32" ht="12" customHeight="1">
      <c r="A147" s="35"/>
      <c r="B147" s="145" t="s">
        <v>1738</v>
      </c>
      <c r="C147" s="51" t="s">
        <v>2803</v>
      </c>
      <c r="E147" s="133"/>
      <c r="F147" s="2672" t="s">
        <v>2993</v>
      </c>
      <c r="G147" s="535"/>
      <c r="H147" s="463" t="s">
        <v>4977</v>
      </c>
      <c r="I147" s="54" t="s">
        <v>2641</v>
      </c>
      <c r="L147" s="2672" t="s">
        <v>2993</v>
      </c>
      <c r="M147" s="535"/>
      <c r="N147" s="463" t="s">
        <v>4981</v>
      </c>
      <c r="O147" s="51" t="s">
        <v>1551</v>
      </c>
      <c r="P147" s="2672" t="s">
        <v>2993</v>
      </c>
      <c r="Q147" s="535"/>
    </row>
    <row r="148" spans="1:32" ht="12" customHeight="1">
      <c r="A148" s="35"/>
      <c r="B148" s="145" t="s">
        <v>1739</v>
      </c>
      <c r="C148" s="51" t="s">
        <v>2639</v>
      </c>
      <c r="E148" s="133"/>
      <c r="F148" s="2672" t="s">
        <v>2993</v>
      </c>
      <c r="G148" s="535"/>
      <c r="H148" s="463" t="s">
        <v>4978</v>
      </c>
      <c r="I148" s="54" t="s">
        <v>3841</v>
      </c>
      <c r="L148" s="2672" t="s">
        <v>2993</v>
      </c>
      <c r="M148" s="535"/>
      <c r="N148" s="463" t="s">
        <v>4982</v>
      </c>
      <c r="O148" s="51" t="s">
        <v>1553</v>
      </c>
      <c r="P148" s="2673" t="s">
        <v>2993</v>
      </c>
      <c r="Q148" s="536"/>
    </row>
    <row r="149" spans="1:32" ht="12" customHeight="1">
      <c r="A149" s="35"/>
      <c r="B149" s="145" t="s">
        <v>2365</v>
      </c>
      <c r="C149" s="51" t="s">
        <v>2806</v>
      </c>
      <c r="E149" s="133"/>
      <c r="F149" s="2673" t="s">
        <v>2993</v>
      </c>
      <c r="G149" s="536"/>
      <c r="H149" s="463" t="s">
        <v>4979</v>
      </c>
      <c r="I149" s="51" t="s">
        <v>2802</v>
      </c>
      <c r="L149" s="2673" t="s">
        <v>2993</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565" t="s">
        <v>5270</v>
      </c>
      <c r="D151" s="3565"/>
      <c r="E151" s="3565"/>
      <c r="F151" s="3565"/>
      <c r="G151" s="3565"/>
      <c r="H151" s="3565"/>
      <c r="I151" s="3565"/>
      <c r="J151" s="3565"/>
      <c r="K151" s="3565"/>
      <c r="L151" s="3565"/>
      <c r="M151" s="3565"/>
      <c r="N151" s="3565"/>
      <c r="O151" s="3565"/>
      <c r="P151" s="3565"/>
      <c r="Q151" s="3565"/>
    </row>
    <row r="152" spans="1:32" ht="12" customHeight="1">
      <c r="A152" s="46" t="s">
        <v>1736</v>
      </c>
      <c r="B152" s="51" t="s">
        <v>3570</v>
      </c>
      <c r="D152" s="133"/>
      <c r="E152" s="133"/>
      <c r="F152" s="133"/>
      <c r="G152" s="133"/>
      <c r="H152" s="133"/>
      <c r="I152" s="41"/>
      <c r="J152" s="41"/>
      <c r="K152" s="133"/>
      <c r="L152" s="133"/>
      <c r="M152" s="2310"/>
    </row>
    <row r="153" spans="1:32" ht="12" customHeight="1">
      <c r="A153" s="41"/>
      <c r="B153" s="145" t="s">
        <v>1737</v>
      </c>
      <c r="C153" s="51" t="s">
        <v>2807</v>
      </c>
      <c r="E153" s="133"/>
      <c r="F153" s="133"/>
      <c r="G153" s="133"/>
      <c r="H153" s="133"/>
      <c r="O153" s="65" t="s">
        <v>1737</v>
      </c>
      <c r="P153" s="2671"/>
      <c r="Q153" s="534"/>
    </row>
    <row r="154" spans="1:32" ht="12" customHeight="1">
      <c r="A154" s="2307"/>
      <c r="B154" s="145" t="s">
        <v>1738</v>
      </c>
      <c r="C154" s="51" t="s">
        <v>490</v>
      </c>
      <c r="E154" s="51"/>
      <c r="F154" s="51"/>
      <c r="G154" s="51"/>
      <c r="H154" s="51"/>
      <c r="I154" s="41"/>
      <c r="J154" s="41"/>
      <c r="K154" s="51"/>
      <c r="L154" s="51"/>
      <c r="M154" s="51"/>
      <c r="O154" s="65" t="s">
        <v>1738</v>
      </c>
      <c r="P154" s="2672"/>
      <c r="Q154" s="535"/>
    </row>
    <row r="155" spans="1:32" ht="12" customHeight="1">
      <c r="A155" s="2307"/>
      <c r="B155" s="145" t="s">
        <v>1739</v>
      </c>
      <c r="C155" s="51" t="s">
        <v>681</v>
      </c>
      <c r="E155" s="51"/>
      <c r="F155" s="51"/>
      <c r="G155" s="51"/>
      <c r="H155" s="51"/>
      <c r="I155" s="41"/>
      <c r="J155" s="41"/>
      <c r="K155" s="51"/>
      <c r="L155" s="51"/>
      <c r="M155" s="51"/>
      <c r="O155" s="65" t="s">
        <v>1739</v>
      </c>
      <c r="P155" s="2672"/>
      <c r="Q155" s="535"/>
    </row>
    <row r="156" spans="1:32" ht="12" customHeight="1">
      <c r="A156" s="2307"/>
      <c r="B156" s="39" t="s">
        <v>2365</v>
      </c>
      <c r="C156" s="51" t="s">
        <v>4958</v>
      </c>
      <c r="E156" s="51"/>
      <c r="F156" s="51"/>
      <c r="G156" s="51"/>
      <c r="H156" s="51"/>
      <c r="I156" s="41"/>
      <c r="J156" s="41"/>
      <c r="K156" s="51"/>
      <c r="L156" s="51"/>
      <c r="M156" s="51"/>
      <c r="O156" s="65" t="s">
        <v>1739</v>
      </c>
      <c r="P156" s="2673"/>
      <c r="Q156" s="536"/>
    </row>
    <row r="157" spans="1:32" ht="12" customHeight="1">
      <c r="A157" s="410" t="s">
        <v>3463</v>
      </c>
      <c r="C157" s="51"/>
      <c r="D157" s="133"/>
      <c r="E157" s="133"/>
      <c r="F157" s="133"/>
      <c r="G157" s="133"/>
      <c r="H157" s="133"/>
      <c r="I157" s="41"/>
      <c r="J157" s="41"/>
      <c r="K157" s="133"/>
      <c r="L157" s="133"/>
      <c r="M157" s="2310"/>
      <c r="N157" s="2310"/>
      <c r="O157" s="2310"/>
      <c r="P157" s="2310"/>
      <c r="Q157" s="2310"/>
      <c r="R157" s="2310"/>
    </row>
    <row r="158" spans="1:32" s="1" customFormat="1" ht="23.7" customHeight="1">
      <c r="A158" s="46" t="s">
        <v>1947</v>
      </c>
      <c r="B158" s="3537" t="s">
        <v>148</v>
      </c>
      <c r="C158" s="3537"/>
      <c r="D158" s="3537"/>
      <c r="E158" s="3537"/>
      <c r="F158" s="3537"/>
      <c r="G158" s="3537"/>
      <c r="H158" s="3537"/>
      <c r="I158" s="3537"/>
      <c r="J158" s="3537"/>
      <c r="K158" s="3537"/>
      <c r="L158" s="3537"/>
      <c r="M158" s="463" t="s">
        <v>1947</v>
      </c>
      <c r="N158" s="3538" t="s">
        <v>1771</v>
      </c>
      <c r="O158" s="3539"/>
      <c r="P158" s="3540" t="s">
        <v>1771</v>
      </c>
      <c r="Q158" s="3541"/>
      <c r="AE158" s="4"/>
      <c r="AF158" s="4"/>
    </row>
    <row r="159" spans="1:32" ht="11.25" customHeight="1">
      <c r="B159" s="140" t="s">
        <v>3749</v>
      </c>
      <c r="D159" s="140"/>
      <c r="E159" s="140"/>
      <c r="F159" s="140"/>
      <c r="G159" s="140"/>
      <c r="H159" s="39"/>
      <c r="I159" s="2307"/>
      <c r="J159" s="2307"/>
      <c r="K159" s="2307"/>
      <c r="L159" s="2293"/>
      <c r="M159" s="2293"/>
      <c r="N159" s="2293"/>
      <c r="O159" s="2293"/>
      <c r="P159" s="2293"/>
      <c r="Q159" s="896"/>
    </row>
    <row r="160" spans="1:32" ht="11.7" customHeight="1">
      <c r="A160" s="3508" t="s">
        <v>5198</v>
      </c>
      <c r="B160" s="3509"/>
      <c r="C160" s="3509"/>
      <c r="D160" s="3509"/>
      <c r="E160" s="3509"/>
      <c r="F160" s="3509"/>
      <c r="G160" s="3509"/>
      <c r="H160" s="3509"/>
      <c r="I160" s="3509"/>
      <c r="J160" s="3509"/>
      <c r="K160" s="3509"/>
      <c r="L160" s="3509"/>
      <c r="M160" s="3509"/>
      <c r="N160" s="3509"/>
      <c r="O160" s="3509"/>
      <c r="P160" s="3509"/>
      <c r="Q160" s="3510"/>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304"/>
      <c r="E162" s="2304"/>
      <c r="F162" s="2304"/>
      <c r="G162" s="2304"/>
      <c r="H162" s="2304"/>
      <c r="I162" s="2304"/>
      <c r="J162" s="2304"/>
      <c r="K162" s="2304"/>
      <c r="L162" s="2304"/>
      <c r="M162" s="2304"/>
      <c r="N162" s="2304"/>
      <c r="O162" s="2304"/>
      <c r="P162" s="2304"/>
      <c r="Q162" s="2304"/>
    </row>
    <row r="163" spans="1:32" ht="11.7" customHeight="1">
      <c r="A163" s="3489"/>
      <c r="B163" s="3490"/>
      <c r="C163" s="3490"/>
      <c r="D163" s="3490"/>
      <c r="E163" s="3490"/>
      <c r="F163" s="3490"/>
      <c r="G163" s="3490"/>
      <c r="H163" s="3490"/>
      <c r="I163" s="3490"/>
      <c r="J163" s="3490"/>
      <c r="K163" s="3490"/>
      <c r="L163" s="3490"/>
      <c r="M163" s="3490"/>
      <c r="N163" s="3490"/>
      <c r="O163" s="3490"/>
      <c r="P163" s="3490"/>
      <c r="Q163" s="3491"/>
    </row>
    <row r="164" spans="1:32" ht="3" customHeight="1">
      <c r="A164" s="2293"/>
      <c r="B164" s="2307"/>
      <c r="C164" s="2304"/>
      <c r="D164" s="2304"/>
      <c r="E164" s="2304"/>
      <c r="F164" s="2304"/>
      <c r="G164" s="2304"/>
      <c r="H164" s="2304"/>
      <c r="I164" s="2304"/>
      <c r="J164" s="2304"/>
      <c r="K164" s="2304"/>
      <c r="L164" s="2304"/>
      <c r="M164" s="2304"/>
      <c r="N164" s="2304"/>
      <c r="O164" s="2304"/>
      <c r="P164" s="2304"/>
      <c r="Q164" s="2293"/>
    </row>
    <row r="165" spans="1:32" ht="13.95" customHeight="1">
      <c r="A165" s="2290" t="s">
        <v>292</v>
      </c>
      <c r="B165" s="2290" t="s">
        <v>2656</v>
      </c>
      <c r="C165" s="2290"/>
      <c r="D165" s="2304"/>
      <c r="E165" s="2304"/>
      <c r="F165" s="2304"/>
      <c r="G165" s="2304"/>
      <c r="H165" s="2304"/>
      <c r="I165" s="2304"/>
      <c r="J165" s="2304"/>
      <c r="K165" s="2304"/>
      <c r="O165" s="131" t="s">
        <v>1867</v>
      </c>
      <c r="P165" s="3513"/>
      <c r="Q165" s="3493"/>
    </row>
    <row r="166" spans="1:32" ht="12" customHeight="1">
      <c r="A166" s="46" t="s">
        <v>1983</v>
      </c>
      <c r="B166" s="51" t="s">
        <v>4742</v>
      </c>
      <c r="D166" s="51"/>
      <c r="E166" s="51"/>
      <c r="F166" s="51"/>
      <c r="G166" s="51"/>
      <c r="H166" s="51" t="s">
        <v>2707</v>
      </c>
      <c r="K166" s="3552" t="s">
        <v>5199</v>
      </c>
      <c r="L166" s="3553"/>
      <c r="N166" s="51"/>
      <c r="O166" s="463" t="s">
        <v>1983</v>
      </c>
      <c r="P166" s="2670" t="s">
        <v>2990</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554" t="s">
        <v>5200</v>
      </c>
      <c r="O167" s="3555"/>
      <c r="P167" s="3556" t="s">
        <v>1771</v>
      </c>
      <c r="Q167" s="3557"/>
    </row>
    <row r="168" spans="1:32" ht="12" customHeight="1">
      <c r="A168" s="46" t="s">
        <v>749</v>
      </c>
      <c r="B168" s="139" t="s">
        <v>682</v>
      </c>
      <c r="D168" s="139"/>
      <c r="E168" s="139"/>
      <c r="F168" s="139"/>
      <c r="G168" s="139"/>
      <c r="H168" s="139"/>
      <c r="J168" s="463" t="s">
        <v>749</v>
      </c>
      <c r="K168" s="3494" t="s">
        <v>5184</v>
      </c>
      <c r="L168" s="3495"/>
      <c r="M168" s="3495"/>
      <c r="N168" s="3495"/>
      <c r="O168" s="3495"/>
      <c r="P168" s="3496"/>
      <c r="Q168" s="532"/>
    </row>
    <row r="169" spans="1:32" ht="12" customHeight="1">
      <c r="B169" s="140" t="s">
        <v>3749</v>
      </c>
      <c r="D169" s="140"/>
      <c r="E169" s="140"/>
      <c r="F169" s="140"/>
      <c r="G169" s="140"/>
      <c r="H169" s="39"/>
      <c r="I169" s="2307"/>
      <c r="J169" s="2307"/>
      <c r="K169" s="2307"/>
      <c r="L169" s="2293"/>
      <c r="M169" s="2293"/>
      <c r="N169" s="2293"/>
      <c r="O169" s="2293"/>
      <c r="P169" s="2293"/>
      <c r="Q169" s="896"/>
    </row>
    <row r="170" spans="1:32" ht="11.7" customHeight="1">
      <c r="A170" s="3508" t="s">
        <v>5201</v>
      </c>
      <c r="B170" s="3509"/>
      <c r="C170" s="3509"/>
      <c r="D170" s="3509"/>
      <c r="E170" s="3509"/>
      <c r="F170" s="3509"/>
      <c r="G170" s="3509"/>
      <c r="H170" s="3509"/>
      <c r="I170" s="3509"/>
      <c r="J170" s="3509"/>
      <c r="K170" s="3509"/>
      <c r="L170" s="3509"/>
      <c r="M170" s="3509"/>
      <c r="N170" s="3509"/>
      <c r="O170" s="3509"/>
      <c r="P170" s="3509"/>
      <c r="Q170" s="3510"/>
      <c r="U170" s="135"/>
      <c r="V170" s="135"/>
      <c r="W170" s="135"/>
      <c r="X170" s="135"/>
      <c r="Y170" s="135"/>
      <c r="Z170" s="135"/>
      <c r="AA170" s="135"/>
      <c r="AB170" s="135"/>
      <c r="AC170" s="135"/>
      <c r="AD170" s="135"/>
      <c r="AE170" s="465"/>
    </row>
    <row r="171" spans="1:32" ht="12" customHeight="1">
      <c r="B171" s="136" t="s">
        <v>1866</v>
      </c>
      <c r="C171" s="137"/>
      <c r="D171" s="2304"/>
      <c r="E171" s="2304"/>
      <c r="F171" s="2304"/>
      <c r="G171" s="2304"/>
      <c r="H171" s="2304"/>
      <c r="I171" s="2304"/>
      <c r="J171" s="2304"/>
      <c r="K171" s="2304"/>
      <c r="L171" s="2304"/>
      <c r="M171" s="2304"/>
      <c r="N171" s="2304"/>
      <c r="O171" s="2304"/>
      <c r="P171" s="2304"/>
      <c r="Q171" s="2304"/>
    </row>
    <row r="172" spans="1:32" ht="11.7" customHeight="1">
      <c r="A172" s="3489"/>
      <c r="B172" s="3490"/>
      <c r="C172" s="3490"/>
      <c r="D172" s="3490"/>
      <c r="E172" s="3490"/>
      <c r="F172" s="3490"/>
      <c r="G172" s="3490"/>
      <c r="H172" s="3490"/>
      <c r="I172" s="3490"/>
      <c r="J172" s="3490"/>
      <c r="K172" s="3490"/>
      <c r="L172" s="3490"/>
      <c r="M172" s="3490"/>
      <c r="N172" s="3490"/>
      <c r="O172" s="3490"/>
      <c r="P172" s="3490"/>
      <c r="Q172" s="3491"/>
    </row>
    <row r="173" spans="1:32" ht="3" customHeight="1">
      <c r="A173" s="2293"/>
      <c r="B173" s="2307"/>
      <c r="C173" s="2304"/>
      <c r="D173" s="2304"/>
      <c r="E173" s="2304"/>
      <c r="F173" s="2304"/>
      <c r="G173" s="2304"/>
      <c r="H173" s="2304"/>
      <c r="I173" s="2304"/>
      <c r="J173" s="2304"/>
      <c r="K173" s="2304"/>
      <c r="L173" s="2304"/>
      <c r="M173" s="2304"/>
      <c r="Q173" s="2293"/>
    </row>
    <row r="174" spans="1:32" ht="13.95" customHeight="1">
      <c r="A174" s="2290" t="s">
        <v>426</v>
      </c>
      <c r="B174" s="2290" t="s">
        <v>2657</v>
      </c>
      <c r="C174" s="2290"/>
      <c r="D174" s="2304"/>
      <c r="E174" s="2304"/>
      <c r="F174" s="2304"/>
      <c r="G174" s="2304"/>
      <c r="H174" s="2304"/>
      <c r="I174" s="2304"/>
      <c r="J174" s="2304"/>
      <c r="K174" s="2304"/>
      <c r="L174" s="2304"/>
      <c r="M174" s="2304"/>
      <c r="O174" s="131" t="s">
        <v>1867</v>
      </c>
      <c r="P174" s="3513"/>
      <c r="Q174" s="3493"/>
    </row>
    <row r="175" spans="1:32" ht="21.75" customHeight="1">
      <c r="A175" s="141" t="s">
        <v>1983</v>
      </c>
      <c r="B175" s="3537" t="s">
        <v>3740</v>
      </c>
      <c r="C175" s="3537"/>
      <c r="D175" s="3537"/>
      <c r="E175" s="3537"/>
      <c r="F175" s="3537"/>
      <c r="G175" s="3537"/>
      <c r="H175" s="3537"/>
      <c r="I175" s="3537"/>
      <c r="J175" s="3537"/>
      <c r="K175" s="3537"/>
      <c r="L175" s="3537"/>
      <c r="M175" s="3537"/>
      <c r="N175" s="3537"/>
      <c r="O175" s="160" t="s">
        <v>1983</v>
      </c>
      <c r="P175" s="2683" t="s">
        <v>2990</v>
      </c>
      <c r="Q175" s="1149"/>
    </row>
    <row r="176" spans="1:32" ht="22.2" customHeight="1">
      <c r="A176" s="141" t="s">
        <v>1985</v>
      </c>
      <c r="B176" s="3537" t="s">
        <v>4758</v>
      </c>
      <c r="C176" s="3537"/>
      <c r="D176" s="3537"/>
      <c r="E176" s="3537"/>
      <c r="F176" s="3537"/>
      <c r="G176" s="3537"/>
      <c r="H176" s="3537"/>
      <c r="I176" s="3537"/>
      <c r="J176" s="3537"/>
      <c r="K176" s="3537"/>
      <c r="L176" s="3537"/>
      <c r="M176" s="3537"/>
      <c r="N176" s="3537"/>
      <c r="O176" s="160" t="s">
        <v>1985</v>
      </c>
      <c r="P176" s="2681" t="s">
        <v>5157</v>
      </c>
      <c r="Q176" s="2299"/>
    </row>
    <row r="177" spans="1:32" ht="22.2" customHeight="1">
      <c r="A177" s="141" t="s">
        <v>749</v>
      </c>
      <c r="B177" s="3537" t="s">
        <v>3741</v>
      </c>
      <c r="C177" s="3537"/>
      <c r="D177" s="3537"/>
      <c r="E177" s="3537"/>
      <c r="F177" s="3537"/>
      <c r="G177" s="3537"/>
      <c r="H177" s="3537"/>
      <c r="I177" s="3537"/>
      <c r="J177" s="3537"/>
      <c r="K177" s="3537"/>
      <c r="L177" s="3537"/>
      <c r="M177" s="3537"/>
      <c r="N177" s="3537"/>
      <c r="O177" s="160" t="s">
        <v>749</v>
      </c>
      <c r="P177" s="2681" t="s">
        <v>5157</v>
      </c>
      <c r="Q177" s="2299"/>
    </row>
    <row r="178" spans="1:32" ht="21.75" customHeight="1">
      <c r="A178" s="141" t="s">
        <v>2115</v>
      </c>
      <c r="B178" s="3537" t="s">
        <v>4902</v>
      </c>
      <c r="C178" s="3537"/>
      <c r="D178" s="3537"/>
      <c r="E178" s="3537"/>
      <c r="F178" s="3537"/>
      <c r="G178" s="3537"/>
      <c r="H178" s="3537"/>
      <c r="I178" s="3537"/>
      <c r="J178" s="3537"/>
      <c r="K178" s="3537"/>
      <c r="L178" s="3537"/>
      <c r="M178" s="3537"/>
      <c r="N178" s="3537"/>
      <c r="O178" s="160" t="s">
        <v>2115</v>
      </c>
      <c r="P178" s="2684" t="s">
        <v>5157</v>
      </c>
      <c r="Q178" s="2303"/>
    </row>
    <row r="179" spans="1:32" ht="12" customHeight="1">
      <c r="B179" s="140" t="s">
        <v>3749</v>
      </c>
      <c r="D179" s="140"/>
      <c r="E179" s="140"/>
      <c r="F179" s="140"/>
      <c r="G179" s="140"/>
      <c r="H179" s="39"/>
      <c r="I179" s="2307"/>
      <c r="J179" s="2307"/>
      <c r="K179" s="2307"/>
      <c r="L179" s="2293"/>
      <c r="M179" s="2293"/>
      <c r="N179" s="2293"/>
      <c r="O179" s="2293"/>
      <c r="P179" s="2293"/>
      <c r="Q179" s="896"/>
    </row>
    <row r="180" spans="1:32" ht="26.25" customHeight="1">
      <c r="A180" s="3508" t="s">
        <v>5261</v>
      </c>
      <c r="B180" s="3509"/>
      <c r="C180" s="3509"/>
      <c r="D180" s="3509"/>
      <c r="E180" s="3509"/>
      <c r="F180" s="3509"/>
      <c r="G180" s="3509"/>
      <c r="H180" s="3509"/>
      <c r="I180" s="3509"/>
      <c r="J180" s="3509"/>
      <c r="K180" s="3509"/>
      <c r="L180" s="3509"/>
      <c r="M180" s="3509"/>
      <c r="N180" s="3509"/>
      <c r="O180" s="3509"/>
      <c r="P180" s="3509"/>
      <c r="Q180" s="3510"/>
      <c r="U180" s="135"/>
      <c r="V180" s="135"/>
      <c r="W180" s="135"/>
      <c r="X180" s="135"/>
      <c r="Y180" s="135"/>
      <c r="Z180" s="135"/>
      <c r="AA180" s="135"/>
      <c r="AB180" s="135"/>
      <c r="AC180" s="135"/>
      <c r="AD180" s="135"/>
      <c r="AE180" s="465"/>
    </row>
    <row r="181" spans="1:32" ht="12" customHeight="1">
      <c r="B181" s="136" t="s">
        <v>1866</v>
      </c>
      <c r="C181" s="137"/>
      <c r="D181" s="2304"/>
      <c r="E181" s="2304"/>
      <c r="F181" s="2304"/>
      <c r="G181" s="2304"/>
      <c r="H181" s="2304"/>
      <c r="I181" s="2304"/>
      <c r="J181" s="2304"/>
      <c r="K181" s="2304"/>
      <c r="L181" s="2304"/>
      <c r="M181" s="2304"/>
      <c r="N181" s="2304"/>
      <c r="O181" s="2304"/>
      <c r="P181" s="2304"/>
      <c r="Q181" s="2304"/>
    </row>
    <row r="182" spans="1:32" ht="11.7" customHeight="1">
      <c r="A182" s="3489"/>
      <c r="B182" s="3490"/>
      <c r="C182" s="3490"/>
      <c r="D182" s="3490"/>
      <c r="E182" s="3490"/>
      <c r="F182" s="3490"/>
      <c r="G182" s="3490"/>
      <c r="H182" s="3490"/>
      <c r="I182" s="3490"/>
      <c r="J182" s="3490"/>
      <c r="K182" s="3490"/>
      <c r="L182" s="3490"/>
      <c r="M182" s="3490"/>
      <c r="N182" s="3490"/>
      <c r="O182" s="3490"/>
      <c r="P182" s="3490"/>
      <c r="Q182" s="3491"/>
    </row>
    <row r="183" spans="1:32" ht="3" customHeight="1">
      <c r="B183" s="2307"/>
      <c r="C183" s="2304"/>
      <c r="D183" s="2304"/>
      <c r="E183" s="2304"/>
      <c r="F183" s="2304"/>
      <c r="G183" s="2304"/>
      <c r="H183" s="2304"/>
      <c r="I183" s="2304"/>
      <c r="J183" s="2304"/>
      <c r="K183" s="2304"/>
      <c r="L183" s="2304"/>
      <c r="M183" s="2304"/>
      <c r="N183" s="2304"/>
      <c r="O183" s="2304"/>
      <c r="P183" s="2304"/>
      <c r="Q183" s="2293"/>
    </row>
    <row r="184" spans="1:32" ht="13.95" customHeight="1">
      <c r="A184" s="2271" t="s">
        <v>362</v>
      </c>
      <c r="B184" s="3386" t="s">
        <v>2658</v>
      </c>
      <c r="C184" s="3386"/>
      <c r="D184" s="3386"/>
      <c r="O184" s="131" t="s">
        <v>1867</v>
      </c>
      <c r="P184" s="3513"/>
      <c r="Q184" s="3493"/>
    </row>
    <row r="185" spans="1:32" ht="12" customHeight="1">
      <c r="A185" s="141" t="s">
        <v>1983</v>
      </c>
      <c r="B185" s="879" t="s">
        <v>468</v>
      </c>
      <c r="D185" s="879"/>
      <c r="E185" s="879"/>
      <c r="F185" s="879"/>
      <c r="G185" s="879"/>
      <c r="H185" s="879"/>
      <c r="I185" s="879"/>
      <c r="J185" s="879"/>
      <c r="K185" s="879"/>
      <c r="L185" s="879"/>
      <c r="M185" s="879"/>
      <c r="O185" s="160" t="s">
        <v>1983</v>
      </c>
      <c r="P185" s="2671"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2672" t="s">
        <v>2990</v>
      </c>
      <c r="Q186" s="535"/>
    </row>
    <row r="187" spans="1:32" ht="12" customHeight="1">
      <c r="A187" s="141" t="s">
        <v>749</v>
      </c>
      <c r="B187" s="879" t="s">
        <v>2644</v>
      </c>
      <c r="D187" s="879"/>
      <c r="E187" s="879"/>
      <c r="F187" s="879"/>
      <c r="G187" s="879"/>
      <c r="H187" s="879"/>
      <c r="I187" s="879"/>
      <c r="J187" s="139" t="s">
        <v>4919</v>
      </c>
      <c r="L187" s="879"/>
      <c r="M187" s="879"/>
      <c r="O187" s="160" t="s">
        <v>749</v>
      </c>
      <c r="P187" s="2672" t="s">
        <v>2990</v>
      </c>
      <c r="Q187" s="535"/>
    </row>
    <row r="188" spans="1:32" ht="12" customHeight="1">
      <c r="B188" s="39" t="s">
        <v>1737</v>
      </c>
      <c r="C188" s="897" t="s">
        <v>2645</v>
      </c>
      <c r="G188" s="879"/>
      <c r="H188" s="879"/>
      <c r="J188" s="879"/>
      <c r="K188" s="879"/>
      <c r="L188" s="879"/>
      <c r="M188" s="879"/>
      <c r="O188" s="443" t="s">
        <v>1737</v>
      </c>
      <c r="P188" s="2672" t="s">
        <v>2990</v>
      </c>
      <c r="Q188" s="535"/>
    </row>
    <row r="189" spans="1:32" ht="12" customHeight="1">
      <c r="A189" s="139"/>
      <c r="B189" s="39" t="s">
        <v>1738</v>
      </c>
      <c r="C189" s="897" t="s">
        <v>2646</v>
      </c>
      <c r="G189" s="879"/>
      <c r="H189" s="879"/>
      <c r="I189" s="879"/>
      <c r="J189" s="879"/>
      <c r="K189" s="879"/>
      <c r="L189" s="879"/>
      <c r="M189" s="879"/>
      <c r="O189" s="443" t="s">
        <v>1738</v>
      </c>
      <c r="P189" s="2672" t="s">
        <v>2990</v>
      </c>
      <c r="Q189" s="535"/>
    </row>
    <row r="190" spans="1:32" s="132" customFormat="1" ht="21.75" customHeight="1">
      <c r="A190" s="141"/>
      <c r="B190" s="477" t="s">
        <v>1739</v>
      </c>
      <c r="C190" s="3537" t="s">
        <v>3742</v>
      </c>
      <c r="D190" s="3537"/>
      <c r="E190" s="3537"/>
      <c r="F190" s="3537"/>
      <c r="G190" s="3537"/>
      <c r="H190" s="3537"/>
      <c r="I190" s="3537"/>
      <c r="J190" s="3537"/>
      <c r="K190" s="3537"/>
      <c r="L190" s="3537"/>
      <c r="M190" s="3537"/>
      <c r="N190" s="3537"/>
      <c r="O190" s="160" t="s">
        <v>1739</v>
      </c>
      <c r="P190" s="2681" t="s">
        <v>2990</v>
      </c>
      <c r="Q190" s="2299"/>
      <c r="AE190" s="466"/>
      <c r="AF190" s="466"/>
    </row>
    <row r="191" spans="1:32" ht="12" customHeight="1">
      <c r="A191" s="141"/>
      <c r="B191" s="39" t="s">
        <v>2365</v>
      </c>
      <c r="C191" s="897" t="s">
        <v>2647</v>
      </c>
      <c r="G191" s="879"/>
      <c r="H191" s="879"/>
      <c r="I191" s="879"/>
      <c r="J191" s="879"/>
      <c r="K191" s="879"/>
      <c r="L191" s="879"/>
      <c r="M191" s="879"/>
      <c r="O191" s="443" t="s">
        <v>2365</v>
      </c>
      <c r="P191" s="2672" t="s">
        <v>2990</v>
      </c>
      <c r="Q191" s="535"/>
    </row>
    <row r="192" spans="1:32" s="132" customFormat="1" ht="21.75" customHeight="1">
      <c r="A192" s="141"/>
      <c r="B192" s="477" t="s">
        <v>1549</v>
      </c>
      <c r="C192" s="3537" t="s">
        <v>2648</v>
      </c>
      <c r="D192" s="3537"/>
      <c r="E192" s="3537"/>
      <c r="F192" s="3537"/>
      <c r="G192" s="3537"/>
      <c r="H192" s="3537"/>
      <c r="I192" s="3537"/>
      <c r="J192" s="3537"/>
      <c r="K192" s="3537"/>
      <c r="L192" s="3537"/>
      <c r="M192" s="3537"/>
      <c r="N192" s="3537"/>
      <c r="O192" s="160" t="s">
        <v>1549</v>
      </c>
      <c r="P192" s="2681" t="s">
        <v>5157</v>
      </c>
      <c r="Q192" s="2299"/>
      <c r="AE192" s="466"/>
      <c r="AF192" s="466"/>
    </row>
    <row r="193" spans="1:32" s="132" customFormat="1" ht="21.75" customHeight="1">
      <c r="A193" s="141"/>
      <c r="B193" s="477" t="s">
        <v>1550</v>
      </c>
      <c r="C193" s="3537" t="s">
        <v>3892</v>
      </c>
      <c r="D193" s="3537"/>
      <c r="E193" s="3537"/>
      <c r="F193" s="3537"/>
      <c r="G193" s="3537"/>
      <c r="H193" s="3537"/>
      <c r="I193" s="3537"/>
      <c r="J193" s="3537"/>
      <c r="K193" s="3537"/>
      <c r="L193" s="3537"/>
      <c r="M193" s="3537"/>
      <c r="N193" s="3537"/>
      <c r="O193" s="160" t="s">
        <v>1550</v>
      </c>
      <c r="P193" s="2681" t="s">
        <v>5157</v>
      </c>
      <c r="Q193" s="2299"/>
      <c r="AE193" s="466"/>
      <c r="AF193" s="466"/>
    </row>
    <row r="194" spans="1:32" ht="21.75" customHeight="1">
      <c r="A194" s="141" t="s">
        <v>2115</v>
      </c>
      <c r="B194" s="3537" t="s">
        <v>2649</v>
      </c>
      <c r="C194" s="3537"/>
      <c r="D194" s="3537"/>
      <c r="E194" s="3537"/>
      <c r="F194" s="3537"/>
      <c r="G194" s="3537"/>
      <c r="H194" s="3537"/>
      <c r="I194" s="3537"/>
      <c r="J194" s="3537"/>
      <c r="K194" s="3537"/>
      <c r="L194" s="3537"/>
      <c r="M194" s="3537"/>
      <c r="N194" s="3537"/>
      <c r="O194" s="160" t="s">
        <v>2115</v>
      </c>
      <c r="P194" s="2681" t="s">
        <v>2990</v>
      </c>
      <c r="Q194" s="2299"/>
    </row>
    <row r="195" spans="1:32" ht="12" customHeight="1">
      <c r="A195" s="141" t="s">
        <v>1735</v>
      </c>
      <c r="B195" s="879" t="s">
        <v>2379</v>
      </c>
      <c r="D195" s="879"/>
      <c r="E195" s="879"/>
      <c r="F195" s="879"/>
      <c r="G195" s="879"/>
      <c r="H195" s="879"/>
      <c r="I195" s="879"/>
      <c r="J195" s="879"/>
      <c r="K195" s="879"/>
      <c r="L195" s="879"/>
      <c r="M195" s="879"/>
      <c r="O195" s="160" t="s">
        <v>1735</v>
      </c>
      <c r="P195" s="2673" t="s">
        <v>2990</v>
      </c>
      <c r="Q195" s="536"/>
    </row>
    <row r="196" spans="1:32" ht="12" customHeight="1">
      <c r="B196" s="140" t="s">
        <v>3749</v>
      </c>
      <c r="D196" s="140"/>
      <c r="E196" s="140"/>
      <c r="F196" s="140"/>
      <c r="G196" s="140"/>
      <c r="H196" s="39"/>
      <c r="I196" s="2307"/>
      <c r="J196" s="2307"/>
      <c r="K196" s="2307"/>
      <c r="L196" s="2293"/>
      <c r="M196" s="2293"/>
      <c r="N196" s="2293"/>
      <c r="O196" s="2293"/>
      <c r="P196" s="2293"/>
      <c r="Q196" s="896"/>
    </row>
    <row r="197" spans="1:32" ht="11.7" customHeight="1">
      <c r="A197" s="3508" t="s">
        <v>5202</v>
      </c>
      <c r="B197" s="3509"/>
      <c r="C197" s="3509"/>
      <c r="D197" s="3509"/>
      <c r="E197" s="3509"/>
      <c r="F197" s="3509"/>
      <c r="G197" s="3509"/>
      <c r="H197" s="3509"/>
      <c r="I197" s="3509"/>
      <c r="J197" s="3509"/>
      <c r="K197" s="3509"/>
      <c r="L197" s="3509"/>
      <c r="M197" s="3509"/>
      <c r="N197" s="3509"/>
      <c r="O197" s="3509"/>
      <c r="P197" s="3509"/>
      <c r="Q197" s="3510"/>
      <c r="U197" s="135"/>
      <c r="V197" s="135"/>
      <c r="W197" s="135"/>
      <c r="X197" s="135"/>
      <c r="Y197" s="135"/>
      <c r="Z197" s="135"/>
      <c r="AA197" s="135"/>
      <c r="AB197" s="135"/>
      <c r="AC197" s="135"/>
      <c r="AD197" s="135"/>
      <c r="AE197" s="465"/>
    </row>
    <row r="198" spans="1:32" ht="12" customHeight="1">
      <c r="B198" s="136" t="s">
        <v>1866</v>
      </c>
      <c r="C198" s="137"/>
      <c r="D198" s="2304"/>
      <c r="E198" s="2304"/>
      <c r="F198" s="2304"/>
      <c r="G198" s="2304"/>
      <c r="H198" s="2304"/>
      <c r="I198" s="2304"/>
      <c r="J198" s="2304"/>
      <c r="K198" s="2304"/>
      <c r="L198" s="2304"/>
      <c r="M198" s="2304"/>
      <c r="N198" s="2304"/>
      <c r="O198" s="2304"/>
      <c r="P198" s="2304"/>
      <c r="Q198" s="2304"/>
    </row>
    <row r="199" spans="1:32" ht="11.7" customHeight="1">
      <c r="A199" s="3489"/>
      <c r="B199" s="3490"/>
      <c r="C199" s="3490"/>
      <c r="D199" s="3490"/>
      <c r="E199" s="3490"/>
      <c r="F199" s="3490"/>
      <c r="G199" s="3490"/>
      <c r="H199" s="3490"/>
      <c r="I199" s="3490"/>
      <c r="J199" s="3490"/>
      <c r="K199" s="3490"/>
      <c r="L199" s="3490"/>
      <c r="M199" s="3490"/>
      <c r="N199" s="3490"/>
      <c r="O199" s="3490"/>
      <c r="P199" s="3490"/>
      <c r="Q199" s="3491"/>
    </row>
    <row r="200" spans="1:32" ht="3" customHeight="1">
      <c r="A200" s="2293"/>
      <c r="B200" s="2307"/>
      <c r="C200" s="2304"/>
      <c r="D200" s="2304"/>
      <c r="E200" s="2304"/>
      <c r="F200" s="2304"/>
      <c r="G200" s="2304"/>
      <c r="H200" s="2304"/>
      <c r="I200" s="2304"/>
      <c r="J200" s="2304"/>
      <c r="K200" s="2304"/>
      <c r="L200" s="2304"/>
      <c r="M200" s="2304"/>
      <c r="N200" s="2304"/>
      <c r="O200" s="2304"/>
      <c r="P200" s="2304"/>
      <c r="Q200" s="2293"/>
    </row>
    <row r="201" spans="1:32" ht="13.95" customHeight="1">
      <c r="A201" s="2290" t="s">
        <v>363</v>
      </c>
      <c r="B201" s="2290" t="s">
        <v>2659</v>
      </c>
      <c r="C201" s="2290"/>
      <c r="D201" s="2304"/>
      <c r="E201" s="146"/>
      <c r="F201" s="146"/>
      <c r="G201" s="2304"/>
      <c r="J201" s="898"/>
      <c r="K201" s="898"/>
      <c r="L201" s="898"/>
      <c r="M201" s="898"/>
      <c r="N201" s="898"/>
      <c r="O201" s="131" t="s">
        <v>1867</v>
      </c>
      <c r="P201" s="3513"/>
      <c r="Q201" s="3493"/>
    </row>
    <row r="202" spans="1:32" ht="22.5" customHeight="1">
      <c r="A202" s="3551" t="s">
        <v>5073</v>
      </c>
      <c r="B202" s="3551"/>
      <c r="C202" s="3551"/>
      <c r="D202" s="3551"/>
      <c r="E202" s="3551"/>
      <c r="F202" s="3551"/>
      <c r="G202" s="3551"/>
      <c r="H202" s="3551"/>
      <c r="I202" s="3551"/>
      <c r="J202" s="3551"/>
      <c r="K202" s="3551"/>
      <c r="L202" s="3551"/>
      <c r="M202" s="3551"/>
      <c r="N202" s="3551"/>
      <c r="O202" s="3551"/>
      <c r="P202" s="3551"/>
      <c r="Q202" s="3551"/>
    </row>
    <row r="203" spans="1:32" ht="11.25" customHeight="1">
      <c r="A203" s="138"/>
      <c r="B203" s="139" t="s">
        <v>97</v>
      </c>
      <c r="D203" s="139"/>
      <c r="E203" s="139"/>
      <c r="F203" s="139"/>
      <c r="G203" s="139"/>
      <c r="H203" s="65" t="s">
        <v>1737</v>
      </c>
      <c r="I203" s="51" t="s">
        <v>152</v>
      </c>
      <c r="J203" s="3548"/>
      <c r="K203" s="3549"/>
      <c r="L203" s="3549"/>
      <c r="M203" s="3549"/>
      <c r="N203" s="3550"/>
      <c r="O203" s="65" t="s">
        <v>1737</v>
      </c>
      <c r="P203" s="2671"/>
      <c r="Q203" s="534"/>
    </row>
    <row r="204" spans="1:32" ht="11.25" customHeight="1">
      <c r="A204" s="138"/>
      <c r="B204" s="140" t="s">
        <v>3749</v>
      </c>
      <c r="C204" s="104"/>
      <c r="D204" s="104"/>
      <c r="E204" s="104"/>
      <c r="F204" s="104"/>
      <c r="H204" s="65" t="s">
        <v>1738</v>
      </c>
      <c r="I204" s="51" t="s">
        <v>1596</v>
      </c>
      <c r="J204" s="3545" t="s">
        <v>5158</v>
      </c>
      <c r="K204" s="3546"/>
      <c r="L204" s="3546"/>
      <c r="M204" s="3546"/>
      <c r="N204" s="3547"/>
      <c r="O204" s="65" t="s">
        <v>1738</v>
      </c>
      <c r="P204" s="2673" t="s">
        <v>2990</v>
      </c>
      <c r="Q204" s="536"/>
    </row>
    <row r="205" spans="1:32" ht="11.7" customHeight="1">
      <c r="A205" s="3508" t="s">
        <v>5262</v>
      </c>
      <c r="B205" s="3509"/>
      <c r="C205" s="3509"/>
      <c r="D205" s="3509"/>
      <c r="E205" s="3509"/>
      <c r="F205" s="3509"/>
      <c r="G205" s="3509"/>
      <c r="H205" s="3509"/>
      <c r="I205" s="3509"/>
      <c r="J205" s="3509"/>
      <c r="K205" s="3509"/>
      <c r="L205" s="3509"/>
      <c r="M205" s="3509"/>
      <c r="N205" s="3509"/>
      <c r="O205" s="3509"/>
      <c r="P205" s="3509"/>
      <c r="Q205" s="3510"/>
      <c r="U205" s="135"/>
      <c r="V205" s="135"/>
      <c r="W205" s="135"/>
      <c r="X205" s="135"/>
      <c r="Y205" s="135"/>
      <c r="Z205" s="135"/>
      <c r="AA205" s="135"/>
      <c r="AB205" s="135"/>
      <c r="AC205" s="135"/>
      <c r="AD205" s="135"/>
      <c r="AE205" s="465"/>
    </row>
    <row r="206" spans="1:32" ht="11.25" customHeight="1">
      <c r="B206" s="136" t="s">
        <v>1866</v>
      </c>
      <c r="C206" s="137"/>
      <c r="D206" s="2304"/>
      <c r="E206" s="2304"/>
      <c r="F206" s="2304"/>
      <c r="G206" s="2304"/>
      <c r="H206" s="2304"/>
      <c r="I206" s="2304"/>
      <c r="J206" s="2304"/>
      <c r="K206" s="2304"/>
      <c r="L206" s="2304"/>
      <c r="M206" s="2304"/>
      <c r="N206" s="2304"/>
      <c r="O206" s="2304"/>
      <c r="P206" s="2304"/>
      <c r="Q206" s="2304"/>
    </row>
    <row r="207" spans="1:32" ht="11.7" customHeight="1">
      <c r="A207" s="3489"/>
      <c r="B207" s="3490"/>
      <c r="C207" s="3490"/>
      <c r="D207" s="3490"/>
      <c r="E207" s="3490"/>
      <c r="F207" s="3490"/>
      <c r="G207" s="3490"/>
      <c r="H207" s="3490"/>
      <c r="I207" s="3490"/>
      <c r="J207" s="3490"/>
      <c r="K207" s="3490"/>
      <c r="L207" s="3490"/>
      <c r="M207" s="3490"/>
      <c r="N207" s="3490"/>
      <c r="O207" s="3490"/>
      <c r="P207" s="3490"/>
      <c r="Q207" s="3491"/>
    </row>
    <row r="208" spans="1:32" ht="4.2" customHeight="1">
      <c r="B208" s="2307"/>
      <c r="C208" s="2304"/>
      <c r="D208" s="2304"/>
      <c r="E208" s="2304"/>
      <c r="F208" s="2304"/>
      <c r="G208" s="2304"/>
      <c r="H208" s="2304"/>
      <c r="I208" s="2304"/>
      <c r="J208" s="2304"/>
      <c r="K208" s="2304"/>
      <c r="L208" s="2304"/>
      <c r="M208" s="2304"/>
      <c r="Q208" s="896"/>
    </row>
    <row r="209" spans="1:32" ht="13.95" customHeight="1">
      <c r="A209" s="2290" t="s">
        <v>364</v>
      </c>
      <c r="B209" s="3" t="s">
        <v>2660</v>
      </c>
      <c r="C209" s="3"/>
      <c r="D209" s="86"/>
      <c r="E209" s="86"/>
      <c r="F209" s="86"/>
      <c r="G209" s="2304"/>
      <c r="H209" s="2304"/>
      <c r="I209" s="2304"/>
      <c r="J209" s="2304"/>
      <c r="K209" s="2304"/>
      <c r="L209" s="2304"/>
      <c r="M209" s="2304"/>
      <c r="O209" s="131" t="s">
        <v>1867</v>
      </c>
      <c r="P209" s="3513"/>
      <c r="Q209" s="3493"/>
    </row>
    <row r="210" spans="1:32" ht="11.7" customHeight="1">
      <c r="A210" s="141" t="s">
        <v>1983</v>
      </c>
      <c r="B210" s="3537" t="s">
        <v>1849</v>
      </c>
      <c r="C210" s="3537"/>
      <c r="D210" s="3537"/>
      <c r="E210" s="3537"/>
      <c r="F210" s="3537"/>
      <c r="G210" s="3537"/>
      <c r="H210" s="65" t="s">
        <v>1737</v>
      </c>
      <c r="I210" s="51" t="s">
        <v>635</v>
      </c>
      <c r="J210" s="3548" t="s">
        <v>5179</v>
      </c>
      <c r="K210" s="3549"/>
      <c r="L210" s="3549"/>
      <c r="M210" s="3549"/>
      <c r="N210" s="3550"/>
      <c r="O210" s="160" t="s">
        <v>1486</v>
      </c>
      <c r="P210" s="2685" t="s">
        <v>2990</v>
      </c>
      <c r="Q210" s="2249"/>
    </row>
    <row r="211" spans="1:32" ht="11.7" customHeight="1">
      <c r="A211" s="149"/>
      <c r="B211" s="3537"/>
      <c r="C211" s="3537"/>
      <c r="D211" s="3537"/>
      <c r="E211" s="3537"/>
      <c r="F211" s="3537"/>
      <c r="G211" s="3537"/>
      <c r="H211" s="65" t="s">
        <v>1738</v>
      </c>
      <c r="I211" s="51" t="s">
        <v>116</v>
      </c>
      <c r="J211" s="3545" t="s">
        <v>5179</v>
      </c>
      <c r="K211" s="3546"/>
      <c r="L211" s="3546"/>
      <c r="M211" s="3546"/>
      <c r="N211" s="3547"/>
      <c r="O211" s="160" t="s">
        <v>1738</v>
      </c>
      <c r="P211" s="2672" t="s">
        <v>2990</v>
      </c>
      <c r="Q211" s="535"/>
    </row>
    <row r="212" spans="1:32" ht="12" customHeight="1">
      <c r="A212" s="141" t="s">
        <v>1985</v>
      </c>
      <c r="B212" s="51" t="s">
        <v>3898</v>
      </c>
      <c r="D212" s="51"/>
      <c r="E212" s="51"/>
      <c r="F212" s="51"/>
      <c r="G212" s="51"/>
      <c r="H212" s="51"/>
      <c r="I212" s="51"/>
      <c r="J212" s="51"/>
      <c r="K212" s="41"/>
      <c r="L212" s="51"/>
      <c r="M212" s="51"/>
      <c r="O212" s="463" t="s">
        <v>1985</v>
      </c>
      <c r="P212" s="2672" t="s">
        <v>2993</v>
      </c>
      <c r="Q212" s="535"/>
    </row>
    <row r="213" spans="1:32" ht="12" customHeight="1">
      <c r="A213" s="46" t="s">
        <v>749</v>
      </c>
      <c r="B213" s="51" t="s">
        <v>3899</v>
      </c>
      <c r="D213" s="51"/>
      <c r="E213" s="51"/>
      <c r="F213" s="51"/>
      <c r="G213" s="51"/>
      <c r="H213" s="51"/>
      <c r="I213" s="51"/>
      <c r="J213" s="51"/>
      <c r="K213" s="41"/>
      <c r="L213" s="51"/>
      <c r="M213" s="51"/>
      <c r="O213" s="463" t="s">
        <v>749</v>
      </c>
      <c r="P213" s="2673" t="s">
        <v>2993</v>
      </c>
      <c r="Q213" s="536"/>
    </row>
    <row r="214" spans="1:32" ht="11.25" customHeight="1">
      <c r="B214" s="140" t="s">
        <v>3749</v>
      </c>
      <c r="D214" s="140"/>
      <c r="E214" s="140"/>
      <c r="F214" s="140"/>
      <c r="G214" s="140"/>
      <c r="H214" s="39"/>
      <c r="I214" s="2307"/>
      <c r="J214" s="2307"/>
      <c r="K214" s="2307"/>
      <c r="L214" s="2293"/>
      <c r="M214" s="2293"/>
      <c r="N214" s="2293"/>
      <c r="O214" s="2293"/>
      <c r="P214" s="2293"/>
      <c r="Q214" s="896"/>
    </row>
    <row r="215" spans="1:32" ht="11.7" customHeight="1">
      <c r="A215" s="3508" t="s">
        <v>5263</v>
      </c>
      <c r="B215" s="3509"/>
      <c r="C215" s="3509"/>
      <c r="D215" s="3509"/>
      <c r="E215" s="3509"/>
      <c r="F215" s="3509"/>
      <c r="G215" s="3509"/>
      <c r="H215" s="3509"/>
      <c r="I215" s="3509"/>
      <c r="J215" s="3509"/>
      <c r="K215" s="3509"/>
      <c r="L215" s="3509"/>
      <c r="M215" s="3509"/>
      <c r="N215" s="3509"/>
      <c r="O215" s="3509"/>
      <c r="P215" s="3509"/>
      <c r="Q215" s="3510"/>
      <c r="U215" s="135"/>
      <c r="V215" s="135"/>
      <c r="W215" s="135"/>
      <c r="X215" s="135"/>
      <c r="Y215" s="135"/>
      <c r="Z215" s="135"/>
      <c r="AA215" s="135"/>
      <c r="AB215" s="135"/>
      <c r="AC215" s="135"/>
      <c r="AD215" s="135"/>
      <c r="AE215" s="465"/>
    </row>
    <row r="216" spans="1:32" ht="11.25" customHeight="1">
      <c r="B216" s="136" t="s">
        <v>1866</v>
      </c>
      <c r="C216" s="137"/>
      <c r="D216" s="2304"/>
      <c r="E216" s="2304"/>
      <c r="F216" s="2304"/>
      <c r="G216" s="2304"/>
      <c r="H216" s="2304"/>
      <c r="I216" s="2304"/>
      <c r="J216" s="2304"/>
      <c r="K216" s="2304"/>
      <c r="L216" s="2304"/>
      <c r="M216" s="2304"/>
      <c r="N216" s="2304"/>
      <c r="O216" s="2304"/>
      <c r="P216" s="2304"/>
      <c r="Q216" s="2304"/>
    </row>
    <row r="217" spans="1:32" ht="11.7" customHeight="1">
      <c r="A217" s="3489"/>
      <c r="B217" s="3490"/>
      <c r="C217" s="3490"/>
      <c r="D217" s="3490"/>
      <c r="E217" s="3490"/>
      <c r="F217" s="3490"/>
      <c r="G217" s="3490"/>
      <c r="H217" s="3490"/>
      <c r="I217" s="3490"/>
      <c r="J217" s="3490"/>
      <c r="K217" s="3490"/>
      <c r="L217" s="3490"/>
      <c r="M217" s="3490"/>
      <c r="N217" s="3490"/>
      <c r="O217" s="3490"/>
      <c r="P217" s="3490"/>
      <c r="Q217" s="3491"/>
    </row>
    <row r="218" spans="1:32" ht="3" customHeight="1">
      <c r="A218" s="2293"/>
      <c r="B218" s="2307"/>
      <c r="C218" s="2304"/>
      <c r="D218" s="2304"/>
      <c r="E218" s="2304"/>
      <c r="F218" s="2304"/>
      <c r="G218" s="2304"/>
      <c r="H218" s="2304"/>
      <c r="I218" s="2304"/>
      <c r="J218" s="2304"/>
      <c r="K218" s="2304"/>
      <c r="L218" s="2304"/>
      <c r="M218" s="2304"/>
      <c r="Q218" s="2293"/>
    </row>
    <row r="219" spans="1:32" ht="13.95" customHeight="1">
      <c r="A219" s="2290" t="s">
        <v>1726</v>
      </c>
      <c r="B219" s="2290" t="s">
        <v>2661</v>
      </c>
      <c r="C219" s="113"/>
      <c r="D219" s="2304"/>
      <c r="E219" s="2304"/>
      <c r="F219" s="2304"/>
      <c r="G219" s="2304"/>
      <c r="H219" s="2304"/>
      <c r="I219" s="2304"/>
      <c r="J219" s="2304"/>
      <c r="K219" s="2304"/>
      <c r="L219" s="2304"/>
      <c r="M219" s="2304"/>
      <c r="O219" s="131" t="s">
        <v>1867</v>
      </c>
      <c r="P219" s="3513"/>
      <c r="Q219" s="3493"/>
    </row>
    <row r="220" spans="1:32" s="26" customFormat="1" ht="11.7" customHeight="1">
      <c r="B220" s="144" t="s">
        <v>1192</v>
      </c>
      <c r="N220" s="120"/>
      <c r="P220" s="2670" t="s">
        <v>2993</v>
      </c>
      <c r="Q220" s="532"/>
      <c r="AE220" s="116"/>
      <c r="AF220" s="116"/>
    </row>
    <row r="221" spans="1:32" ht="12" customHeight="1">
      <c r="A221" s="46" t="s">
        <v>1983</v>
      </c>
      <c r="B221" s="35" t="s">
        <v>3701</v>
      </c>
      <c r="D221" s="41"/>
      <c r="E221" s="41"/>
      <c r="F221" s="41"/>
      <c r="G221" s="41"/>
      <c r="H221" s="41"/>
      <c r="I221" s="41"/>
      <c r="J221" s="41"/>
      <c r="K221" s="41"/>
      <c r="L221" s="41"/>
      <c r="M221" s="41"/>
      <c r="O221" s="463" t="s">
        <v>1983</v>
      </c>
      <c r="P221" s="2670" t="s">
        <v>5151</v>
      </c>
      <c r="Q221" s="534"/>
    </row>
    <row r="222" spans="1:32" ht="11.7" customHeight="1">
      <c r="A222" s="46"/>
      <c r="B222" s="145" t="s">
        <v>1737</v>
      </c>
      <c r="C222" s="51" t="s">
        <v>1931</v>
      </c>
      <c r="E222" s="51"/>
      <c r="F222" s="51"/>
      <c r="G222" s="51"/>
      <c r="H222" s="51"/>
      <c r="I222" s="41"/>
      <c r="J222" s="65" t="s">
        <v>1486</v>
      </c>
      <c r="K222" s="3548" t="s">
        <v>532</v>
      </c>
      <c r="L222" s="3550"/>
      <c r="Q222" s="535"/>
    </row>
    <row r="223" spans="1:32" ht="11.7" customHeight="1">
      <c r="A223" s="46"/>
      <c r="B223" s="145" t="s">
        <v>1738</v>
      </c>
      <c r="C223" s="897" t="s">
        <v>4743</v>
      </c>
      <c r="E223" s="897"/>
      <c r="F223" s="897"/>
      <c r="G223" s="897"/>
      <c r="H223" s="897"/>
      <c r="I223" s="41"/>
      <c r="J223" s="65" t="s">
        <v>1487</v>
      </c>
      <c r="K223" s="3644" t="s">
        <v>5159</v>
      </c>
      <c r="L223" s="3645"/>
      <c r="M223" s="3641" t="s">
        <v>2724</v>
      </c>
      <c r="N223" s="3642"/>
      <c r="O223" s="3642"/>
      <c r="P223" s="3643"/>
      <c r="Q223" s="535"/>
    </row>
    <row r="224" spans="1:32" ht="11.7" customHeight="1">
      <c r="A224" s="46"/>
      <c r="B224" s="39" t="s">
        <v>1739</v>
      </c>
      <c r="C224" s="897" t="s">
        <v>4746</v>
      </c>
      <c r="D224" s="147"/>
      <c r="E224" s="897"/>
      <c r="F224" s="897"/>
      <c r="G224" s="897"/>
      <c r="H224" s="897"/>
      <c r="I224" s="94"/>
      <c r="J224" s="463" t="s">
        <v>1488</v>
      </c>
      <c r="K224" s="3649" t="s">
        <v>5160</v>
      </c>
      <c r="L224" s="3650"/>
      <c r="M224" s="3650"/>
      <c r="N224" s="3651"/>
      <c r="O224" s="2054"/>
      <c r="P224" s="1169"/>
      <c r="Q224" s="535"/>
      <c r="R224" s="41"/>
    </row>
    <row r="225" spans="1:32" ht="11.7" customHeight="1">
      <c r="A225" s="46"/>
      <c r="B225" s="39" t="s">
        <v>2365</v>
      </c>
      <c r="C225" s="897" t="s">
        <v>4745</v>
      </c>
      <c r="D225" s="147"/>
      <c r="E225" s="897"/>
      <c r="F225" s="897"/>
      <c r="G225" s="897"/>
      <c r="H225" s="897"/>
      <c r="I225" s="94"/>
      <c r="J225" s="463" t="s">
        <v>4744</v>
      </c>
      <c r="K225" s="3545" t="s">
        <v>5161</v>
      </c>
      <c r="L225" s="3546"/>
      <c r="M225" s="3546"/>
      <c r="N225" s="3547"/>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70" t="s">
        <v>5151</v>
      </c>
      <c r="Q226" s="532"/>
    </row>
    <row r="227" spans="1:32" ht="10.95" customHeight="1">
      <c r="A227" s="46"/>
      <c r="B227" s="51" t="s">
        <v>4971</v>
      </c>
      <c r="D227" s="51"/>
      <c r="E227" s="51"/>
      <c r="F227" s="51"/>
      <c r="G227" s="51"/>
      <c r="H227" s="51"/>
      <c r="I227" s="51"/>
      <c r="J227" s="51"/>
      <c r="K227" s="41"/>
      <c r="L227" s="41"/>
      <c r="M227" s="41"/>
      <c r="N227" s="463" t="s">
        <v>3603</v>
      </c>
      <c r="O227" s="2176">
        <f>'Part VI-Revenues &amp; Expenses'!$O$67</f>
        <v>48</v>
      </c>
      <c r="P227" s="3652" t="s">
        <v>4973</v>
      </c>
      <c r="Q227" s="3653"/>
    </row>
    <row r="228" spans="1:32" ht="10.95" customHeight="1">
      <c r="A228" s="46"/>
      <c r="B228" s="145" t="s">
        <v>1737</v>
      </c>
      <c r="C228" s="51" t="s">
        <v>4974</v>
      </c>
      <c r="D228" s="51"/>
      <c r="E228" s="51"/>
      <c r="F228" s="51"/>
      <c r="H228" s="463" t="s">
        <v>4975</v>
      </c>
      <c r="I228" s="51" t="s">
        <v>4984</v>
      </c>
      <c r="M228" s="41"/>
      <c r="N228" s="41"/>
      <c r="O228" s="293"/>
      <c r="P228" s="2160" t="s">
        <v>773</v>
      </c>
      <c r="Q228" s="2161" t="s">
        <v>4972</v>
      </c>
    </row>
    <row r="229" spans="1:32" s="42" customFormat="1" ht="11.7" customHeight="1">
      <c r="A229" s="50"/>
      <c r="B229" s="463" t="s">
        <v>2116</v>
      </c>
      <c r="C229" s="3654" t="s">
        <v>5067</v>
      </c>
      <c r="D229" s="3655"/>
      <c r="E229" s="3655"/>
      <c r="F229" s="3655"/>
      <c r="G229" s="3656"/>
      <c r="H229" s="463" t="s">
        <v>2116</v>
      </c>
      <c r="I229" s="3542" t="s">
        <v>4172</v>
      </c>
      <c r="J229" s="2976"/>
      <c r="K229" s="2976"/>
      <c r="L229" s="2976"/>
      <c r="M229" s="2976"/>
      <c r="N229" s="2976"/>
      <c r="O229" s="3543"/>
      <c r="P229" s="534"/>
      <c r="Q229" s="538"/>
      <c r="AE229" s="53"/>
      <c r="AF229" s="53"/>
    </row>
    <row r="230" spans="1:32" s="42" customFormat="1" ht="11.7" customHeight="1">
      <c r="A230" s="50"/>
      <c r="B230" s="463" t="s">
        <v>2117</v>
      </c>
      <c r="C230" s="3660" t="s">
        <v>4969</v>
      </c>
      <c r="D230" s="3661"/>
      <c r="E230" s="3661"/>
      <c r="F230" s="3661"/>
      <c r="G230" s="3662"/>
      <c r="H230" s="463" t="s">
        <v>2117</v>
      </c>
      <c r="I230" s="2996"/>
      <c r="J230" s="2947"/>
      <c r="K230" s="2947"/>
      <c r="L230" s="2947"/>
      <c r="M230" s="2947"/>
      <c r="N230" s="2947"/>
      <c r="O230" s="2948"/>
      <c r="P230" s="535"/>
      <c r="Q230" s="2139"/>
      <c r="AE230" s="53"/>
      <c r="AF230" s="53"/>
    </row>
    <row r="231" spans="1:32" s="42" customFormat="1" ht="11.7" customHeight="1">
      <c r="A231" s="50"/>
      <c r="B231" s="463" t="s">
        <v>1734</v>
      </c>
      <c r="C231" s="3660" t="s">
        <v>2103</v>
      </c>
      <c r="D231" s="3661"/>
      <c r="E231" s="3661"/>
      <c r="F231" s="3661"/>
      <c r="G231" s="3662"/>
      <c r="H231" s="463" t="s">
        <v>1734</v>
      </c>
      <c r="I231" s="2996" t="s">
        <v>4172</v>
      </c>
      <c r="J231" s="2947"/>
      <c r="K231" s="2947"/>
      <c r="L231" s="2947"/>
      <c r="M231" s="2947"/>
      <c r="N231" s="2947"/>
      <c r="O231" s="2948"/>
      <c r="P231" s="535"/>
      <c r="Q231" s="2139"/>
      <c r="AE231" s="53"/>
      <c r="AF231" s="53"/>
    </row>
    <row r="232" spans="1:32" s="42" customFormat="1" ht="11.7" customHeight="1">
      <c r="A232" s="50"/>
      <c r="B232" s="463" t="s">
        <v>4983</v>
      </c>
      <c r="C232" s="3646"/>
      <c r="D232" s="3647"/>
      <c r="E232" s="3647"/>
      <c r="F232" s="3647"/>
      <c r="G232" s="3648"/>
      <c r="H232" s="463" t="s">
        <v>4983</v>
      </c>
      <c r="I232" s="3034"/>
      <c r="J232" s="3000"/>
      <c r="K232" s="3000"/>
      <c r="L232" s="3000"/>
      <c r="M232" s="3000"/>
      <c r="N232" s="3000"/>
      <c r="O232" s="3001"/>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1" t="s">
        <v>5151</v>
      </c>
      <c r="Q233" s="534"/>
    </row>
    <row r="234" spans="1:32" ht="11.7" customHeight="1">
      <c r="A234" s="46"/>
      <c r="B234" s="145" t="s">
        <v>1737</v>
      </c>
      <c r="C234" s="51" t="s">
        <v>3465</v>
      </c>
      <c r="E234" s="51"/>
      <c r="F234" s="51"/>
      <c r="L234" s="32"/>
      <c r="M234" s="32"/>
      <c r="O234" s="65" t="s">
        <v>1737</v>
      </c>
      <c r="P234" s="2672" t="s">
        <v>2990</v>
      </c>
      <c r="Q234" s="535"/>
    </row>
    <row r="235" spans="1:32" ht="11.7" customHeight="1">
      <c r="B235" s="145" t="s">
        <v>1738</v>
      </c>
      <c r="C235" s="897" t="s">
        <v>2808</v>
      </c>
      <c r="E235" s="897"/>
      <c r="F235" s="897"/>
      <c r="L235" s="32"/>
      <c r="M235" s="32"/>
      <c r="O235" s="65" t="s">
        <v>1738</v>
      </c>
      <c r="P235" s="2672" t="s">
        <v>2990</v>
      </c>
      <c r="Q235" s="535"/>
    </row>
    <row r="236" spans="1:32" ht="11.7" customHeight="1">
      <c r="B236" s="145" t="s">
        <v>1739</v>
      </c>
      <c r="C236" s="897" t="s">
        <v>2809</v>
      </c>
      <c r="E236" s="897"/>
      <c r="F236" s="897"/>
      <c r="G236" s="897"/>
      <c r="H236" s="897"/>
      <c r="I236" s="41"/>
      <c r="J236" s="32"/>
      <c r="K236" s="41"/>
      <c r="L236" s="32"/>
      <c r="M236" s="32"/>
      <c r="O236" s="65" t="s">
        <v>1739</v>
      </c>
      <c r="P236" s="2672" t="s">
        <v>2990</v>
      </c>
      <c r="Q236" s="535"/>
    </row>
    <row r="237" spans="1:32" ht="11.7" customHeight="1">
      <c r="A237" s="46"/>
      <c r="B237" s="145" t="s">
        <v>2365</v>
      </c>
      <c r="C237" s="897" t="s">
        <v>2810</v>
      </c>
      <c r="E237" s="897"/>
      <c r="F237" s="897"/>
      <c r="G237" s="897"/>
      <c r="H237" s="897"/>
      <c r="I237" s="41"/>
      <c r="J237" s="32"/>
      <c r="K237" s="41"/>
      <c r="L237" s="32"/>
      <c r="M237" s="32"/>
      <c r="O237" s="65" t="s">
        <v>2365</v>
      </c>
      <c r="P237" s="2672" t="s">
        <v>2990</v>
      </c>
      <c r="Q237" s="535"/>
    </row>
    <row r="238" spans="1:32" ht="11.7" customHeight="1">
      <c r="A238" s="46"/>
      <c r="B238" s="145" t="s">
        <v>1549</v>
      </c>
      <c r="C238" s="897" t="s">
        <v>2811</v>
      </c>
      <c r="E238" s="897"/>
      <c r="F238" s="897"/>
      <c r="G238" s="897"/>
      <c r="H238" s="897"/>
      <c r="I238" s="41"/>
      <c r="J238" s="32"/>
      <c r="K238" s="41"/>
      <c r="L238" s="32"/>
      <c r="M238" s="32"/>
      <c r="O238" s="65" t="s">
        <v>1549</v>
      </c>
      <c r="P238" s="2672" t="s">
        <v>2990</v>
      </c>
      <c r="Q238" s="535"/>
    </row>
    <row r="239" spans="1:32" ht="11.7" customHeight="1">
      <c r="A239" s="46"/>
      <c r="B239" s="39" t="s">
        <v>1550</v>
      </c>
      <c r="C239" s="51" t="s">
        <v>775</v>
      </c>
      <c r="E239" s="51"/>
      <c r="F239" s="51"/>
      <c r="G239" s="51"/>
      <c r="H239" s="51"/>
      <c r="I239" s="41"/>
      <c r="J239" s="32"/>
      <c r="K239" s="41"/>
      <c r="L239" s="32"/>
      <c r="M239" s="32"/>
      <c r="O239" s="463" t="s">
        <v>2799</v>
      </c>
      <c r="P239" s="2672" t="s">
        <v>2990</v>
      </c>
      <c r="Q239" s="535"/>
    </row>
    <row r="240" spans="1:32" ht="11.7" customHeight="1">
      <c r="A240" s="46"/>
      <c r="B240" s="65"/>
      <c r="C240" s="51" t="s">
        <v>1489</v>
      </c>
      <c r="E240" s="51"/>
      <c r="F240" s="51"/>
      <c r="G240" s="51"/>
      <c r="H240" s="51"/>
      <c r="I240" s="41"/>
      <c r="J240" s="32"/>
      <c r="K240" s="41"/>
      <c r="L240" s="32"/>
      <c r="M240" s="32"/>
      <c r="O240" s="463" t="s">
        <v>2800</v>
      </c>
      <c r="P240" s="2673"/>
      <c r="Q240" s="536"/>
    </row>
    <row r="241" spans="1:32" ht="11.25" customHeight="1">
      <c r="A241" s="46" t="s">
        <v>2115</v>
      </c>
      <c r="B241" s="51" t="s">
        <v>3660</v>
      </c>
      <c r="C241" s="51"/>
      <c r="E241" s="51"/>
      <c r="F241" s="51"/>
      <c r="G241" s="51"/>
      <c r="H241" s="51"/>
      <c r="I241" s="51"/>
      <c r="J241" s="51"/>
      <c r="K241" s="41"/>
      <c r="M241" s="64" t="s">
        <v>4828</v>
      </c>
      <c r="N241" s="2128" t="str">
        <f>'Part I-Project Information'!$H$82</f>
        <v>HFOP</v>
      </c>
      <c r="O241" s="463" t="s">
        <v>2115</v>
      </c>
      <c r="P241" s="2671" t="s">
        <v>5151</v>
      </c>
      <c r="Q241" s="534"/>
    </row>
    <row r="242" spans="1:32" ht="11.7" customHeight="1">
      <c r="B242" s="65" t="s">
        <v>1737</v>
      </c>
      <c r="C242" s="38" t="s">
        <v>1255</v>
      </c>
      <c r="E242" s="41"/>
      <c r="F242" s="41"/>
      <c r="G242" s="38"/>
      <c r="H242" s="897"/>
      <c r="I242" s="41"/>
      <c r="J242" s="897"/>
      <c r="K242" s="41"/>
      <c r="L242" s="897"/>
      <c r="M242" s="897"/>
      <c r="O242" s="65" t="s">
        <v>1737</v>
      </c>
      <c r="P242" s="2672" t="s">
        <v>2993</v>
      </c>
      <c r="Q242" s="535"/>
    </row>
    <row r="243" spans="1:32" ht="11.7" customHeight="1">
      <c r="B243" s="65" t="s">
        <v>1738</v>
      </c>
      <c r="C243" s="35" t="s">
        <v>4759</v>
      </c>
      <c r="E243" s="41"/>
      <c r="F243" s="41"/>
      <c r="G243" s="897"/>
      <c r="H243" s="897"/>
      <c r="I243" s="41"/>
      <c r="J243" s="897"/>
      <c r="K243" s="41"/>
      <c r="L243" s="897"/>
      <c r="M243" s="897"/>
      <c r="O243" s="65" t="s">
        <v>1738</v>
      </c>
      <c r="P243" s="2673" t="s">
        <v>2993</v>
      </c>
      <c r="Q243" s="536"/>
    </row>
    <row r="244" spans="1:32" ht="11.25" customHeight="1">
      <c r="B244" s="140" t="s">
        <v>3749</v>
      </c>
      <c r="D244" s="140"/>
      <c r="E244" s="140"/>
      <c r="F244" s="140"/>
      <c r="G244" s="140"/>
      <c r="H244" s="39"/>
      <c r="I244" s="2307"/>
      <c r="J244" s="2307"/>
      <c r="K244" s="2307"/>
      <c r="L244" s="2293"/>
      <c r="M244" s="2293"/>
      <c r="N244" s="2293"/>
      <c r="O244" s="2293"/>
      <c r="P244" s="2293"/>
      <c r="Q244" s="896"/>
    </row>
    <row r="245" spans="1:32" ht="11.7" customHeight="1">
      <c r="A245" s="3508" t="s">
        <v>5278</v>
      </c>
      <c r="B245" s="3509"/>
      <c r="C245" s="3509"/>
      <c r="D245" s="3509"/>
      <c r="E245" s="3509"/>
      <c r="F245" s="3509"/>
      <c r="G245" s="3509"/>
      <c r="H245" s="3509"/>
      <c r="I245" s="3509"/>
      <c r="J245" s="3509"/>
      <c r="K245" s="3509"/>
      <c r="L245" s="3509"/>
      <c r="M245" s="3509"/>
      <c r="N245" s="3509"/>
      <c r="O245" s="3509"/>
      <c r="P245" s="3509"/>
      <c r="Q245" s="3510"/>
      <c r="R245" s="445" t="s">
        <v>1254</v>
      </c>
      <c r="S245" s="446"/>
      <c r="U245" s="135"/>
      <c r="V245" s="135"/>
      <c r="W245" s="135"/>
      <c r="X245" s="135"/>
      <c r="Y245" s="135"/>
      <c r="Z245" s="135"/>
      <c r="AA245" s="135"/>
      <c r="AB245" s="135"/>
      <c r="AC245" s="135"/>
      <c r="AD245" s="135"/>
      <c r="AE245" s="465"/>
    </row>
    <row r="246" spans="1:32" ht="11.25" customHeight="1">
      <c r="B246" s="136" t="s">
        <v>1866</v>
      </c>
      <c r="C246" s="137"/>
      <c r="D246" s="2304"/>
      <c r="E246" s="2304"/>
      <c r="F246" s="2304"/>
      <c r="G246" s="2304"/>
      <c r="H246" s="2304"/>
      <c r="I246" s="2304"/>
      <c r="J246" s="2304"/>
      <c r="K246" s="2304"/>
      <c r="L246" s="2304"/>
      <c r="M246" s="2304"/>
      <c r="N246" s="2304"/>
      <c r="O246" s="2304"/>
      <c r="P246" s="2304"/>
      <c r="Q246" s="2304"/>
    </row>
    <row r="247" spans="1:32" ht="11.25" customHeight="1">
      <c r="A247" s="3489"/>
      <c r="B247" s="3490"/>
      <c r="C247" s="3490"/>
      <c r="D247" s="3490"/>
      <c r="E247" s="3490"/>
      <c r="F247" s="3490"/>
      <c r="G247" s="3490"/>
      <c r="H247" s="3490"/>
      <c r="I247" s="3490"/>
      <c r="J247" s="3490"/>
      <c r="K247" s="3490"/>
      <c r="L247" s="3490"/>
      <c r="M247" s="3490"/>
      <c r="N247" s="3490"/>
      <c r="O247" s="3490"/>
      <c r="P247" s="3490"/>
      <c r="Q247" s="3491"/>
    </row>
    <row r="248" spans="1:32" ht="3" customHeight="1">
      <c r="A248" s="2293"/>
      <c r="B248" s="2307"/>
      <c r="C248" s="2304"/>
      <c r="D248" s="2304"/>
      <c r="E248" s="2304"/>
      <c r="F248" s="2304"/>
      <c r="G248" s="2304"/>
      <c r="H248" s="2304"/>
      <c r="I248" s="2304"/>
      <c r="J248" s="2304"/>
      <c r="K248" s="2304"/>
      <c r="L248" s="2304"/>
      <c r="M248" s="2304"/>
      <c r="Q248" s="2293"/>
    </row>
    <row r="249" spans="1:32" ht="13.95" customHeight="1">
      <c r="A249" s="2290" t="s">
        <v>2782</v>
      </c>
      <c r="B249" s="3" t="s">
        <v>2662</v>
      </c>
      <c r="C249" s="3"/>
      <c r="D249" s="86"/>
      <c r="E249" s="86"/>
      <c r="F249" s="86"/>
      <c r="G249" s="86"/>
      <c r="H249" s="2304"/>
      <c r="I249" s="2304"/>
      <c r="J249" s="2304"/>
      <c r="K249" s="2304"/>
      <c r="L249" s="2232"/>
      <c r="M249" s="2233"/>
      <c r="O249" s="131" t="s">
        <v>1867</v>
      </c>
      <c r="P249" s="3513"/>
      <c r="Q249" s="3493"/>
    </row>
    <row r="250" spans="1:32" ht="11.7" customHeight="1">
      <c r="A250" s="46" t="s">
        <v>1983</v>
      </c>
      <c r="B250" s="51" t="s">
        <v>1268</v>
      </c>
      <c r="D250" s="41"/>
      <c r="E250" s="51"/>
      <c r="F250" s="51"/>
      <c r="J250" s="463" t="s">
        <v>1983</v>
      </c>
      <c r="K250" s="3494" t="s">
        <v>1771</v>
      </c>
      <c r="L250" s="3495"/>
      <c r="M250" s="3495"/>
      <c r="N250" s="3495"/>
      <c r="O250" s="3496"/>
      <c r="P250" s="3663" t="s">
        <v>1771</v>
      </c>
      <c r="Q250" s="3664"/>
    </row>
    <row r="251" spans="1:32" ht="11.7" customHeight="1">
      <c r="A251" s="46" t="s">
        <v>1985</v>
      </c>
      <c r="B251" s="51" t="s">
        <v>2812</v>
      </c>
      <c r="D251" s="51"/>
      <c r="E251" s="51"/>
      <c r="F251" s="51"/>
      <c r="J251" s="463" t="s">
        <v>1985</v>
      </c>
      <c r="K251" s="3657"/>
      <c r="L251" s="3658"/>
      <c r="M251" s="3658"/>
      <c r="N251" s="3658"/>
      <c r="O251" s="3659"/>
      <c r="P251" s="3665"/>
      <c r="Q251" s="3666"/>
    </row>
    <row r="252" spans="1:32" s="147" customFormat="1" ht="11.7" customHeight="1">
      <c r="A252" s="46"/>
      <c r="B252" s="51" t="s">
        <v>1945</v>
      </c>
      <c r="D252" s="51"/>
      <c r="E252" s="51"/>
      <c r="F252" s="51"/>
      <c r="K252" s="3545"/>
      <c r="L252" s="3546"/>
      <c r="M252" s="3546"/>
      <c r="N252" s="3546"/>
      <c r="O252" s="3547"/>
      <c r="P252" s="3667"/>
      <c r="Q252" s="3668"/>
      <c r="AE252" s="467"/>
      <c r="AF252" s="467"/>
    </row>
    <row r="253" spans="1:32" s="147" customFormat="1" ht="11.7" customHeight="1">
      <c r="A253" s="46"/>
      <c r="B253" s="51" t="s">
        <v>2543</v>
      </c>
      <c r="D253" s="51"/>
      <c r="E253" s="51"/>
      <c r="F253" s="51"/>
      <c r="G253" s="51"/>
      <c r="H253" s="51"/>
      <c r="I253" s="94"/>
      <c r="J253" s="94"/>
      <c r="M253" s="35"/>
      <c r="N253" s="1021"/>
      <c r="O253" s="463"/>
      <c r="P253" s="2672"/>
      <c r="Q253" s="535"/>
      <c r="AE253" s="467"/>
      <c r="AF253" s="467"/>
    </row>
    <row r="254" spans="1:32" s="147" customFormat="1" ht="11.7" customHeight="1">
      <c r="A254" s="46" t="s">
        <v>749</v>
      </c>
      <c r="B254" s="51" t="s">
        <v>4903</v>
      </c>
      <c r="D254" s="51"/>
      <c r="E254" s="51"/>
      <c r="F254" s="51"/>
      <c r="J254" s="463" t="s">
        <v>749</v>
      </c>
      <c r="K254" s="3669"/>
      <c r="L254" s="3670"/>
      <c r="M254" s="3670"/>
      <c r="N254" s="3670"/>
      <c r="O254" s="3671"/>
      <c r="P254" s="3672"/>
      <c r="Q254" s="3673"/>
      <c r="AE254" s="467"/>
      <c r="AF254" s="467"/>
    </row>
    <row r="255" spans="1:32" s="147" customFormat="1" ht="11.7" customHeight="1">
      <c r="A255" s="46"/>
      <c r="B255" s="51" t="s">
        <v>4765</v>
      </c>
      <c r="D255" s="51"/>
      <c r="E255" s="51"/>
      <c r="F255" s="51"/>
      <c r="AE255" s="467"/>
      <c r="AF255" s="467"/>
    </row>
    <row r="256" spans="1:32" s="147" customFormat="1" ht="11.7" customHeight="1">
      <c r="A256" s="46"/>
      <c r="C256" s="51" t="s">
        <v>4762</v>
      </c>
      <c r="D256" s="51"/>
      <c r="E256" s="51"/>
      <c r="F256" s="51"/>
      <c r="K256" s="463" t="s">
        <v>4761</v>
      </c>
      <c r="L256" s="2686"/>
      <c r="M256" s="35"/>
      <c r="N256" s="1021"/>
      <c r="O256" s="1021"/>
      <c r="P256" s="2671"/>
      <c r="Q256" s="534"/>
      <c r="AE256" s="467"/>
      <c r="AF256" s="467"/>
    </row>
    <row r="257" spans="1:32" s="147" customFormat="1" ht="11.7" customHeight="1">
      <c r="A257" s="46"/>
      <c r="B257" s="51"/>
      <c r="C257" s="54" t="s">
        <v>4763</v>
      </c>
      <c r="D257" s="51"/>
      <c r="E257" s="51"/>
      <c r="F257" s="51"/>
      <c r="K257" s="463" t="s">
        <v>4764</v>
      </c>
      <c r="L257" s="2687"/>
      <c r="M257" s="35"/>
      <c r="N257" s="1021"/>
      <c r="O257" s="1021"/>
      <c r="P257" s="2673"/>
      <c r="Q257" s="536"/>
      <c r="AE257" s="467"/>
      <c r="AF257" s="467"/>
    </row>
    <row r="258" spans="1:32" s="147" customFormat="1" ht="11.7" customHeight="1">
      <c r="A258" s="46"/>
      <c r="B258" s="51" t="s">
        <v>4760</v>
      </c>
      <c r="D258" s="51"/>
      <c r="E258" s="51"/>
      <c r="F258" s="51"/>
      <c r="K258" s="3494"/>
      <c r="L258" s="3495"/>
      <c r="M258" s="3495"/>
      <c r="N258" s="3495"/>
      <c r="O258" s="3496"/>
      <c r="P258" s="3639"/>
      <c r="Q258" s="3640"/>
      <c r="AE258" s="467"/>
      <c r="AF258" s="467"/>
    </row>
    <row r="259" spans="1:32" s="147" customFormat="1" ht="11.7" customHeight="1">
      <c r="A259" s="46" t="s">
        <v>2115</v>
      </c>
      <c r="B259" s="51" t="s">
        <v>3901</v>
      </c>
      <c r="D259" s="51"/>
      <c r="E259" s="51"/>
      <c r="F259" s="51"/>
      <c r="G259" s="51"/>
      <c r="H259" s="51"/>
      <c r="I259" s="94"/>
      <c r="J259" s="94"/>
      <c r="K259" s="94"/>
      <c r="M259" s="35"/>
      <c r="N259" s="1021"/>
      <c r="O259" s="463" t="s">
        <v>2115</v>
      </c>
      <c r="P259" s="2671"/>
      <c r="Q259" s="534"/>
      <c r="AE259" s="467"/>
      <c r="AF259" s="467"/>
    </row>
    <row r="260" spans="1:32" s="147" customFormat="1" ht="11.7" customHeight="1">
      <c r="A260" s="46"/>
      <c r="B260" s="3537" t="s">
        <v>3757</v>
      </c>
      <c r="C260" s="3537"/>
      <c r="D260" s="3537"/>
      <c r="E260" s="3537"/>
      <c r="F260" s="3537"/>
      <c r="G260" s="3537"/>
      <c r="H260" s="431" t="s">
        <v>4110</v>
      </c>
      <c r="K260" s="94"/>
      <c r="M260" s="35"/>
      <c r="N260" s="1021"/>
      <c r="O260" s="65" t="s">
        <v>1737</v>
      </c>
      <c r="P260" s="2672"/>
      <c r="Q260" s="535"/>
      <c r="AE260" s="467"/>
      <c r="AF260" s="467"/>
    </row>
    <row r="261" spans="1:32" s="147" customFormat="1" ht="11.7" customHeight="1">
      <c r="A261" s="46"/>
      <c r="B261" s="3537"/>
      <c r="C261" s="3537"/>
      <c r="D261" s="3537"/>
      <c r="E261" s="3537"/>
      <c r="F261" s="3537"/>
      <c r="G261" s="3537"/>
      <c r="H261" s="54" t="s">
        <v>4111</v>
      </c>
      <c r="K261" s="94"/>
      <c r="M261" s="35"/>
      <c r="N261" s="1021"/>
      <c r="O261" s="65" t="s">
        <v>1738</v>
      </c>
      <c r="P261" s="2672"/>
      <c r="Q261" s="535"/>
      <c r="AE261" s="467"/>
      <c r="AF261" s="467"/>
    </row>
    <row r="262" spans="1:32" s="147" customFormat="1" ht="11.7" customHeight="1">
      <c r="A262" s="46"/>
      <c r="B262" s="51"/>
      <c r="D262" s="51"/>
      <c r="E262" s="51"/>
      <c r="F262" s="51"/>
      <c r="G262" s="51"/>
      <c r="H262" s="54" t="s">
        <v>4112</v>
      </c>
      <c r="K262" s="94"/>
      <c r="M262" s="35"/>
      <c r="N262" s="1021"/>
      <c r="O262" s="65" t="s">
        <v>1739</v>
      </c>
      <c r="P262" s="2672"/>
      <c r="Q262" s="535"/>
      <c r="AE262" s="467"/>
      <c r="AF262" s="467"/>
    </row>
    <row r="263" spans="1:32" s="147" customFormat="1" ht="11.7" customHeight="1">
      <c r="A263" s="46"/>
      <c r="B263" s="51"/>
      <c r="D263" s="51"/>
      <c r="E263" s="51"/>
      <c r="F263" s="51"/>
      <c r="G263" s="51"/>
      <c r="H263" s="54" t="s">
        <v>4113</v>
      </c>
      <c r="K263" s="94"/>
      <c r="M263" s="35"/>
      <c r="N263" s="1021"/>
      <c r="O263" s="463" t="s">
        <v>2365</v>
      </c>
      <c r="P263" s="2672"/>
      <c r="Q263" s="535"/>
      <c r="AE263" s="467"/>
      <c r="AF263" s="467"/>
    </row>
    <row r="264" spans="1:32" s="147" customFormat="1" ht="21.75" customHeight="1">
      <c r="B264" s="3537" t="s">
        <v>3902</v>
      </c>
      <c r="C264" s="3537"/>
      <c r="D264" s="3537"/>
      <c r="E264" s="3537"/>
      <c r="F264" s="3537"/>
      <c r="G264" s="3537"/>
      <c r="H264" s="3537"/>
      <c r="I264" s="3537"/>
      <c r="J264" s="3537"/>
      <c r="K264" s="3537"/>
      <c r="L264" s="3537"/>
      <c r="M264" s="3537"/>
      <c r="N264" s="3537"/>
      <c r="O264" s="160"/>
      <c r="P264" s="2684"/>
      <c r="Q264" s="2303"/>
      <c r="T264" s="467"/>
      <c r="AE264" s="467"/>
      <c r="AF264" s="467"/>
    </row>
    <row r="265" spans="1:32" s="147" customFormat="1" ht="33.75" customHeight="1">
      <c r="A265" s="141" t="s">
        <v>1735</v>
      </c>
      <c r="B265" s="3537" t="s">
        <v>5077</v>
      </c>
      <c r="C265" s="3537"/>
      <c r="D265" s="3537"/>
      <c r="E265" s="3537"/>
      <c r="F265" s="3537"/>
      <c r="G265" s="3537"/>
      <c r="H265" s="3537"/>
      <c r="I265" s="3537"/>
      <c r="J265" s="3537"/>
      <c r="K265" s="3537"/>
      <c r="L265" s="3537"/>
      <c r="M265" s="3537"/>
      <c r="N265" s="3537"/>
      <c r="O265" s="160" t="s">
        <v>1735</v>
      </c>
      <c r="P265" s="2688"/>
      <c r="Q265" s="2298"/>
      <c r="T265" s="467"/>
      <c r="AE265" s="467"/>
      <c r="AF265" s="467"/>
    </row>
    <row r="266" spans="1:32" s="147" customFormat="1" ht="21.75" customHeight="1">
      <c r="B266" s="3537" t="s">
        <v>5076</v>
      </c>
      <c r="C266" s="3537"/>
      <c r="D266" s="3537"/>
      <c r="E266" s="3537"/>
      <c r="F266" s="3537"/>
      <c r="G266" s="3537"/>
      <c r="H266" s="3537"/>
      <c r="I266" s="3537"/>
      <c r="J266" s="3537"/>
      <c r="K266" s="3537"/>
      <c r="L266" s="3537"/>
      <c r="M266" s="3537"/>
      <c r="N266" s="3537"/>
      <c r="O266" s="160"/>
      <c r="P266" s="2681"/>
      <c r="Q266" s="2299"/>
      <c r="T266" s="467"/>
      <c r="AE266" s="467"/>
      <c r="AF266" s="467"/>
    </row>
    <row r="267" spans="1:32" ht="11.7" customHeight="1">
      <c r="B267" s="65" t="s">
        <v>1737</v>
      </c>
      <c r="C267" s="897" t="s">
        <v>5074</v>
      </c>
      <c r="E267" s="897"/>
      <c r="F267" s="897"/>
      <c r="L267" s="32"/>
      <c r="M267" s="32"/>
      <c r="O267" s="65" t="s">
        <v>1737</v>
      </c>
      <c r="P267" s="2689"/>
      <c r="Q267" s="2152"/>
    </row>
    <row r="268" spans="1:32" ht="11.7" customHeight="1">
      <c r="B268" s="65"/>
      <c r="D268" s="54" t="s">
        <v>3859</v>
      </c>
      <c r="E268" s="3353"/>
      <c r="F268" s="3354"/>
      <c r="G268" s="3355"/>
      <c r="H268" s="897" t="s">
        <v>4944</v>
      </c>
      <c r="I268" s="3353" t="s">
        <v>4945</v>
      </c>
      <c r="J268" s="3354"/>
      <c r="K268" s="3355"/>
      <c r="L268" s="134" t="s">
        <v>4946</v>
      </c>
      <c r="M268" s="3353"/>
      <c r="N268" s="3354"/>
      <c r="O268" s="3354"/>
      <c r="P268" s="3354"/>
      <c r="Q268" s="3355"/>
      <c r="U268" s="391"/>
    </row>
    <row r="269" spans="1:32" ht="11.7" customHeight="1">
      <c r="A269" s="46"/>
      <c r="B269" s="65" t="s">
        <v>1738</v>
      </c>
      <c r="C269" s="897" t="s">
        <v>5075</v>
      </c>
      <c r="E269" s="897"/>
      <c r="F269" s="897"/>
      <c r="G269" s="897"/>
      <c r="H269" s="897"/>
      <c r="I269" s="41"/>
      <c r="J269" s="32"/>
      <c r="K269" s="41"/>
      <c r="L269" s="32"/>
      <c r="M269" s="32"/>
      <c r="O269" s="65" t="s">
        <v>1738</v>
      </c>
      <c r="P269" s="2674"/>
      <c r="Q269" s="533"/>
      <c r="S269" s="65"/>
      <c r="U269" s="391"/>
    </row>
    <row r="270" spans="1:32" ht="11.7" customHeight="1">
      <c r="A270" s="46"/>
      <c r="B270" s="65"/>
      <c r="D270" s="54" t="s">
        <v>2301</v>
      </c>
      <c r="E270" s="3353"/>
      <c r="F270" s="3354"/>
      <c r="G270" s="3355"/>
      <c r="H270" s="134" t="s">
        <v>1800</v>
      </c>
      <c r="I270" s="3353"/>
      <c r="J270" s="3354"/>
      <c r="K270" s="3354"/>
      <c r="L270" s="3354"/>
      <c r="M270" s="3355"/>
      <c r="S270" s="65"/>
      <c r="U270" s="391"/>
    </row>
    <row r="271" spans="1:32" ht="11.25" customHeight="1">
      <c r="B271" s="140" t="s">
        <v>3749</v>
      </c>
      <c r="D271" s="140"/>
      <c r="E271" s="140"/>
      <c r="F271" s="140"/>
      <c r="G271" s="140"/>
      <c r="H271" s="39"/>
      <c r="I271" s="2307"/>
      <c r="J271" s="2307"/>
      <c r="K271" s="2307"/>
      <c r="L271" s="2293"/>
      <c r="M271" s="2293"/>
      <c r="N271" s="2293"/>
      <c r="O271" s="2293"/>
      <c r="P271" s="2293"/>
      <c r="Q271" s="896"/>
    </row>
    <row r="272" spans="1:32" ht="13.2" customHeight="1">
      <c r="A272" s="3508" t="s">
        <v>970</v>
      </c>
      <c r="B272" s="3509"/>
      <c r="C272" s="3509"/>
      <c r="D272" s="3509"/>
      <c r="E272" s="3509"/>
      <c r="F272" s="3509"/>
      <c r="G272" s="3509"/>
      <c r="H272" s="3509"/>
      <c r="I272" s="3509"/>
      <c r="J272" s="3509"/>
      <c r="K272" s="3509"/>
      <c r="L272" s="3509"/>
      <c r="M272" s="3509"/>
      <c r="N272" s="3509"/>
      <c r="O272" s="3509"/>
      <c r="P272" s="3509"/>
      <c r="Q272" s="3510"/>
      <c r="R272" s="445" t="s">
        <v>1254</v>
      </c>
      <c r="S272" s="446"/>
      <c r="U272" s="135"/>
      <c r="V272" s="135"/>
      <c r="W272" s="135"/>
      <c r="X272" s="135"/>
      <c r="Y272" s="135"/>
      <c r="Z272" s="135"/>
      <c r="AA272" s="135"/>
      <c r="AB272" s="135"/>
      <c r="AC272" s="135"/>
      <c r="AD272" s="135"/>
      <c r="AE272" s="465"/>
    </row>
    <row r="273" spans="1:32" ht="10.95" customHeight="1">
      <c r="B273" s="136" t="s">
        <v>1866</v>
      </c>
      <c r="C273" s="137"/>
      <c r="D273" s="2304"/>
      <c r="E273" s="2304"/>
      <c r="F273" s="2304"/>
      <c r="G273" s="2304"/>
      <c r="H273" s="2304"/>
      <c r="I273" s="2304"/>
      <c r="J273" s="2304"/>
      <c r="K273" s="2304"/>
      <c r="L273" s="2304"/>
      <c r="M273" s="2304"/>
      <c r="N273" s="2304"/>
      <c r="O273" s="2304"/>
      <c r="P273" s="2304"/>
      <c r="Q273" s="2304"/>
    </row>
    <row r="274" spans="1:32" ht="13.2" customHeight="1">
      <c r="A274" s="3489"/>
      <c r="B274" s="3490"/>
      <c r="C274" s="3490"/>
      <c r="D274" s="3490"/>
      <c r="E274" s="3490"/>
      <c r="F274" s="3490"/>
      <c r="G274" s="3490"/>
      <c r="H274" s="3490"/>
      <c r="I274" s="3490"/>
      <c r="J274" s="3490"/>
      <c r="K274" s="3490"/>
      <c r="L274" s="3490"/>
      <c r="M274" s="3490"/>
      <c r="N274" s="3490"/>
      <c r="O274" s="3490"/>
      <c r="P274" s="3490"/>
      <c r="Q274" s="3491"/>
    </row>
    <row r="275" spans="1:32" ht="3" customHeight="1">
      <c r="A275" s="2293"/>
      <c r="B275" s="2307"/>
      <c r="C275" s="2304"/>
      <c r="D275" s="2304"/>
      <c r="E275" s="2304"/>
      <c r="F275" s="2304"/>
      <c r="G275" s="2304"/>
      <c r="H275" s="2304"/>
      <c r="I275" s="2304"/>
      <c r="J275" s="2304"/>
      <c r="K275" s="2304"/>
      <c r="L275" s="2304"/>
      <c r="M275" s="2304"/>
      <c r="Q275" s="2293"/>
    </row>
    <row r="276" spans="1:32" ht="13.95" customHeight="1">
      <c r="A276" s="2290" t="s">
        <v>2251</v>
      </c>
      <c r="B276" s="3" t="s">
        <v>2663</v>
      </c>
      <c r="C276" s="3"/>
      <c r="D276" s="86"/>
      <c r="E276" s="86"/>
      <c r="F276" s="86"/>
      <c r="G276" s="86"/>
      <c r="H276" s="2304"/>
      <c r="I276" s="2304"/>
      <c r="J276" s="2304"/>
      <c r="K276" s="2304"/>
      <c r="L276" s="2304"/>
      <c r="M276" s="2304"/>
      <c r="O276" s="131" t="s">
        <v>1867</v>
      </c>
      <c r="P276" s="3513"/>
      <c r="Q276" s="3493"/>
    </row>
    <row r="277" spans="1:32" s="414" customFormat="1" ht="21.75" customHeight="1">
      <c r="A277" s="141" t="s">
        <v>1983</v>
      </c>
      <c r="B277" s="3537" t="s">
        <v>4957</v>
      </c>
      <c r="C277" s="3537"/>
      <c r="D277" s="3537"/>
      <c r="E277" s="3537"/>
      <c r="F277" s="3537"/>
      <c r="G277" s="3537"/>
      <c r="H277" s="3537"/>
      <c r="I277" s="3537"/>
      <c r="J277" s="3537"/>
      <c r="K277" s="3537"/>
      <c r="L277" s="3537"/>
      <c r="M277" s="3537"/>
      <c r="N277" s="3537"/>
      <c r="O277" s="160" t="s">
        <v>1983</v>
      </c>
      <c r="P277" s="2683" t="s">
        <v>2990</v>
      </c>
      <c r="Q277" s="1149"/>
      <c r="AE277" s="468"/>
      <c r="AF277" s="468"/>
    </row>
    <row r="278" spans="1:32" s="147" customFormat="1" ht="11.7" customHeight="1">
      <c r="A278" s="46"/>
      <c r="B278" s="51" t="s">
        <v>3752</v>
      </c>
      <c r="D278" s="51"/>
      <c r="E278" s="51"/>
      <c r="F278" s="51"/>
      <c r="G278" s="51"/>
      <c r="H278" s="51"/>
      <c r="I278" s="51"/>
      <c r="J278" s="51"/>
      <c r="K278" s="51"/>
      <c r="L278" s="51"/>
      <c r="M278" s="51"/>
      <c r="O278" s="463"/>
      <c r="P278" s="2673" t="s">
        <v>2990</v>
      </c>
      <c r="Q278" s="536"/>
      <c r="AE278" s="467"/>
      <c r="AF278" s="467"/>
    </row>
    <row r="279" spans="1:32" s="147" customFormat="1" ht="11.7" customHeight="1">
      <c r="A279" s="46" t="s">
        <v>1985</v>
      </c>
      <c r="B279" s="51" t="s">
        <v>3753</v>
      </c>
      <c r="D279" s="51"/>
      <c r="E279" s="51"/>
      <c r="F279" s="51"/>
      <c r="G279" s="51"/>
      <c r="H279" s="51"/>
      <c r="I279" s="51"/>
      <c r="J279" s="51"/>
      <c r="K279" s="51"/>
      <c r="L279" s="51"/>
      <c r="M279" s="51"/>
      <c r="O279" s="463" t="s">
        <v>1985</v>
      </c>
      <c r="P279" s="2673" t="s">
        <v>2990</v>
      </c>
      <c r="Q279" s="536"/>
      <c r="AE279" s="467"/>
      <c r="AF279" s="467"/>
    </row>
    <row r="280" spans="1:32" s="147" customFormat="1" ht="11.7" customHeight="1">
      <c r="A280" s="46" t="s">
        <v>749</v>
      </c>
      <c r="B280" s="51" t="s">
        <v>4114</v>
      </c>
      <c r="D280" s="51"/>
      <c r="E280" s="51"/>
      <c r="F280" s="51"/>
      <c r="G280" s="51"/>
      <c r="H280" s="51"/>
      <c r="I280" s="51"/>
      <c r="J280" s="51"/>
      <c r="K280" s="51"/>
      <c r="L280" s="51"/>
      <c r="M280" s="51"/>
      <c r="O280" s="463" t="s">
        <v>749</v>
      </c>
      <c r="P280" s="2671" t="s">
        <v>2990</v>
      </c>
      <c r="Q280" s="534"/>
      <c r="AE280" s="467"/>
      <c r="AF280" s="467"/>
    </row>
    <row r="281" spans="1:32" s="147" customFormat="1" ht="11.7" customHeight="1">
      <c r="A281" s="46"/>
      <c r="B281" s="51" t="s">
        <v>3754</v>
      </c>
      <c r="D281" s="51"/>
      <c r="E281" s="51"/>
      <c r="F281" s="51"/>
      <c r="G281" s="51"/>
      <c r="H281" s="51"/>
      <c r="I281" s="51"/>
      <c r="J281" s="51"/>
      <c r="K281" s="51"/>
      <c r="L281" s="51"/>
      <c r="M281" s="51"/>
      <c r="O281" s="463"/>
      <c r="P281" s="2673" t="s">
        <v>2990</v>
      </c>
      <c r="Q281" s="536"/>
      <c r="AE281" s="467"/>
      <c r="AF281" s="467"/>
    </row>
    <row r="282" spans="1:32" s="147" customFormat="1" ht="22.5" customHeight="1">
      <c r="A282" s="141" t="s">
        <v>2115</v>
      </c>
      <c r="B282" s="3537" t="s">
        <v>4960</v>
      </c>
      <c r="C282" s="3537"/>
      <c r="D282" s="3537"/>
      <c r="E282" s="3537"/>
      <c r="F282" s="3537"/>
      <c r="G282" s="3537"/>
      <c r="H282" s="3537"/>
      <c r="I282" s="3537"/>
      <c r="J282" s="3537"/>
      <c r="K282" s="3537"/>
      <c r="L282" s="3537"/>
      <c r="M282" s="3537"/>
      <c r="N282" s="3537"/>
      <c r="O282" s="463" t="s">
        <v>2115</v>
      </c>
      <c r="P282" s="2684" t="s">
        <v>2990</v>
      </c>
      <c r="Q282" s="2303"/>
      <c r="AE282" s="467"/>
      <c r="AF282" s="467"/>
    </row>
    <row r="283" spans="1:32" ht="11.25" customHeight="1">
      <c r="B283" s="140" t="s">
        <v>3749</v>
      </c>
      <c r="D283" s="140"/>
      <c r="E283" s="140"/>
      <c r="F283" s="140"/>
      <c r="G283" s="140"/>
      <c r="H283" s="39"/>
      <c r="I283" s="2307"/>
      <c r="J283" s="2307"/>
      <c r="K283" s="2307"/>
      <c r="L283" s="2293"/>
      <c r="M283" s="2293"/>
      <c r="N283" s="2293"/>
      <c r="O283" s="2293"/>
      <c r="P283" s="2293"/>
      <c r="Q283" s="896"/>
    </row>
    <row r="284" spans="1:32" ht="13.2" customHeight="1">
      <c r="A284" s="3508" t="s">
        <v>5264</v>
      </c>
      <c r="B284" s="3509"/>
      <c r="C284" s="3509"/>
      <c r="D284" s="3509"/>
      <c r="E284" s="3509"/>
      <c r="F284" s="3509"/>
      <c r="G284" s="3509"/>
      <c r="H284" s="3509"/>
      <c r="I284" s="3509"/>
      <c r="J284" s="3509"/>
      <c r="K284" s="3509"/>
      <c r="L284" s="3509"/>
      <c r="M284" s="3509"/>
      <c r="N284" s="3509"/>
      <c r="O284" s="3509"/>
      <c r="P284" s="3509"/>
      <c r="Q284" s="3510"/>
      <c r="R284" s="445" t="s">
        <v>1254</v>
      </c>
      <c r="S284" s="446"/>
      <c r="U284" s="135"/>
      <c r="V284" s="135"/>
      <c r="W284" s="135"/>
      <c r="X284" s="135"/>
      <c r="Y284" s="135"/>
      <c r="Z284" s="135"/>
      <c r="AA284" s="135"/>
      <c r="AB284" s="135"/>
      <c r="AC284" s="135"/>
      <c r="AD284" s="135"/>
      <c r="AE284" s="465"/>
    </row>
    <row r="285" spans="1:32" ht="11.25" customHeight="1">
      <c r="B285" s="136" t="s">
        <v>1866</v>
      </c>
      <c r="C285" s="137"/>
      <c r="D285" s="2304"/>
      <c r="E285" s="2304"/>
      <c r="F285" s="2304"/>
      <c r="G285" s="2304"/>
      <c r="H285" s="2304"/>
      <c r="I285" s="2304"/>
      <c r="J285" s="2304"/>
      <c r="K285" s="2304"/>
      <c r="L285" s="2304"/>
      <c r="M285" s="2304"/>
      <c r="N285" s="2304"/>
      <c r="O285" s="2304"/>
      <c r="P285" s="2304"/>
      <c r="Q285" s="2304"/>
    </row>
    <row r="286" spans="1:32" ht="13.2" customHeight="1">
      <c r="A286" s="3489"/>
      <c r="B286" s="3490"/>
      <c r="C286" s="3490"/>
      <c r="D286" s="3490"/>
      <c r="E286" s="3490"/>
      <c r="F286" s="3490"/>
      <c r="G286" s="3490"/>
      <c r="H286" s="3490"/>
      <c r="I286" s="3490"/>
      <c r="J286" s="3490"/>
      <c r="K286" s="3490"/>
      <c r="L286" s="3490"/>
      <c r="M286" s="3490"/>
      <c r="N286" s="3490"/>
      <c r="O286" s="3490"/>
      <c r="P286" s="3490"/>
      <c r="Q286" s="3491"/>
    </row>
    <row r="287" spans="1:32" ht="3" customHeight="1"/>
    <row r="288" spans="1:32" ht="13.95" customHeight="1">
      <c r="A288" s="2290" t="s">
        <v>4096</v>
      </c>
      <c r="B288" s="2290" t="s">
        <v>2664</v>
      </c>
      <c r="C288" s="2290"/>
      <c r="D288" s="2304"/>
      <c r="E288" s="2304"/>
      <c r="F288" s="2304"/>
      <c r="G288" s="2304"/>
      <c r="H288" s="2304"/>
      <c r="I288" s="2304"/>
      <c r="J288" s="2304"/>
      <c r="K288" s="2304"/>
      <c r="L288" s="2304"/>
      <c r="M288" s="2304"/>
      <c r="O288" s="131" t="s">
        <v>1867</v>
      </c>
      <c r="P288" s="3513"/>
      <c r="Q288" s="3493"/>
    </row>
    <row r="289" spans="1:32" s="414" customFormat="1" ht="33" customHeight="1">
      <c r="A289" s="141" t="s">
        <v>1983</v>
      </c>
      <c r="B289" s="3537" t="s">
        <v>4959</v>
      </c>
      <c r="C289" s="3537"/>
      <c r="D289" s="3537"/>
      <c r="E289" s="3537"/>
      <c r="F289" s="3537"/>
      <c r="G289" s="3537"/>
      <c r="H289" s="3537"/>
      <c r="I289" s="3537"/>
      <c r="J289" s="3537"/>
      <c r="K289" s="3537"/>
      <c r="L289" s="3537"/>
      <c r="M289" s="3537"/>
      <c r="N289" s="3537"/>
      <c r="O289" s="160" t="s">
        <v>1983</v>
      </c>
      <c r="P289" s="2683" t="s">
        <v>5151</v>
      </c>
      <c r="Q289" s="1149"/>
      <c r="AE289" s="468"/>
      <c r="AF289" s="468"/>
    </row>
    <row r="290" spans="1:32" s="414" customFormat="1" ht="21.75" customHeight="1">
      <c r="A290" s="141"/>
      <c r="B290" s="3537" t="s">
        <v>2814</v>
      </c>
      <c r="C290" s="3537"/>
      <c r="D290" s="3537"/>
      <c r="E290" s="3537"/>
      <c r="F290" s="3537"/>
      <c r="G290" s="3537"/>
      <c r="H290" s="3537"/>
      <c r="I290" s="3537"/>
      <c r="J290" s="3537"/>
      <c r="K290" s="3537"/>
      <c r="L290" s="3537"/>
      <c r="M290" s="3537"/>
      <c r="N290" s="3537"/>
      <c r="O290" s="160"/>
      <c r="P290" s="2684" t="s">
        <v>5151</v>
      </c>
      <c r="Q290" s="2303"/>
      <c r="AE290" s="468"/>
      <c r="AF290" s="468"/>
    </row>
    <row r="291" spans="1:32" s="26" customFormat="1" ht="11.7" customHeight="1">
      <c r="A291" s="138" t="s">
        <v>1985</v>
      </c>
      <c r="B291" s="177" t="s">
        <v>310</v>
      </c>
      <c r="C291" s="158"/>
      <c r="D291" s="572"/>
      <c r="E291" s="572"/>
      <c r="F291" s="158"/>
      <c r="H291" s="158"/>
      <c r="I291" s="158"/>
      <c r="J291" s="2094" t="s">
        <v>4780</v>
      </c>
      <c r="K291" s="3679" t="s">
        <v>3766</v>
      </c>
      <c r="L291" s="3680"/>
      <c r="M291" s="3680"/>
      <c r="N291" s="3681"/>
      <c r="O291" s="463" t="s">
        <v>1985</v>
      </c>
      <c r="P291" s="2684" t="s">
        <v>5151</v>
      </c>
      <c r="Q291" s="2303"/>
      <c r="R291" s="1020"/>
      <c r="S291" s="1134"/>
    </row>
    <row r="292" spans="1:32" s="26" customFormat="1" ht="11.7" customHeight="1">
      <c r="A292" s="138"/>
      <c r="B292" s="177"/>
      <c r="C292" s="158"/>
      <c r="D292" s="572"/>
      <c r="E292" s="572"/>
      <c r="F292" s="158"/>
      <c r="H292" s="158"/>
      <c r="I292" s="158"/>
      <c r="J292" s="2094" t="s">
        <v>4961</v>
      </c>
      <c r="K292" s="3679" t="s">
        <v>4768</v>
      </c>
      <c r="L292" s="3680"/>
      <c r="M292" s="3680"/>
      <c r="N292" s="3681"/>
      <c r="O292" s="463"/>
      <c r="P292" s="463"/>
      <c r="Q292" s="463"/>
      <c r="R292" s="463"/>
      <c r="S292" s="1134"/>
    </row>
    <row r="293" spans="1:32" s="102" customFormat="1" ht="11.7" customHeight="1">
      <c r="A293" s="41"/>
      <c r="B293" s="140" t="s">
        <v>3749</v>
      </c>
      <c r="C293" s="41"/>
      <c r="D293" s="47"/>
      <c r="E293" s="47"/>
      <c r="F293" s="47"/>
      <c r="G293" s="47"/>
      <c r="K293" s="35"/>
      <c r="M293" s="45"/>
      <c r="N293" s="5"/>
      <c r="O293" s="2"/>
      <c r="P293" s="2292"/>
    </row>
    <row r="294" spans="1:32" s="42" customFormat="1" ht="21.75" customHeight="1">
      <c r="A294" s="3508" t="s">
        <v>5265</v>
      </c>
      <c r="B294" s="3509"/>
      <c r="C294" s="3509"/>
      <c r="D294" s="3509"/>
      <c r="E294" s="3509"/>
      <c r="F294" s="3509"/>
      <c r="G294" s="3509"/>
      <c r="H294" s="3509"/>
      <c r="I294" s="3509"/>
      <c r="J294" s="3509"/>
      <c r="K294" s="3509"/>
      <c r="L294" s="3509"/>
      <c r="M294" s="3509"/>
      <c r="N294" s="3509"/>
      <c r="O294" s="3509"/>
      <c r="P294" s="3509"/>
      <c r="Q294" s="3510"/>
      <c r="R294" s="445" t="s">
        <v>1254</v>
      </c>
    </row>
    <row r="295" spans="1:32" s="42" customFormat="1" ht="11.25" customHeight="1">
      <c r="A295" s="34"/>
      <c r="B295" s="136" t="s">
        <v>1866</v>
      </c>
      <c r="C295" s="137"/>
      <c r="D295" s="2304"/>
      <c r="E295" s="2304"/>
      <c r="F295" s="2304"/>
      <c r="G295" s="2304"/>
      <c r="H295" s="2304"/>
      <c r="I295" s="2304"/>
      <c r="J295" s="2304"/>
      <c r="K295" s="2304"/>
      <c r="L295" s="2304"/>
      <c r="M295" s="2304"/>
      <c r="N295" s="2304"/>
      <c r="O295" s="2304"/>
      <c r="P295" s="2304"/>
      <c r="Q295" s="2304"/>
      <c r="R295" s="34"/>
    </row>
    <row r="296" spans="1:32" s="42" customFormat="1" ht="11.25" customHeight="1">
      <c r="A296" s="3489"/>
      <c r="B296" s="3490"/>
      <c r="C296" s="3490"/>
      <c r="D296" s="3490"/>
      <c r="E296" s="3490"/>
      <c r="F296" s="3490"/>
      <c r="G296" s="3490"/>
      <c r="H296" s="3490"/>
      <c r="I296" s="3490"/>
      <c r="J296" s="3490"/>
      <c r="K296" s="3490"/>
      <c r="L296" s="3490"/>
      <c r="M296" s="3490"/>
      <c r="N296" s="3490"/>
      <c r="O296" s="3490"/>
      <c r="P296" s="3490"/>
      <c r="Q296" s="3491"/>
      <c r="R296" s="34"/>
    </row>
    <row r="297" spans="1:32" s="42" customFormat="1" ht="3" customHeight="1">
      <c r="A297" s="41"/>
      <c r="D297" s="38"/>
      <c r="E297" s="35"/>
      <c r="F297" s="887"/>
      <c r="G297" s="887"/>
      <c r="H297" s="887"/>
      <c r="I297" s="887"/>
      <c r="J297" s="897"/>
      <c r="K297" s="897"/>
      <c r="L297" s="897"/>
      <c r="M297" s="59"/>
      <c r="N297" s="887"/>
      <c r="O297" s="2295"/>
      <c r="P297" s="2"/>
    </row>
    <row r="298" spans="1:32" ht="13.95" customHeight="1">
      <c r="A298" s="2290" t="s">
        <v>4097</v>
      </c>
      <c r="B298" s="2290" t="s">
        <v>2665</v>
      </c>
      <c r="C298" s="2294"/>
      <c r="D298" s="2309"/>
      <c r="E298" s="2304"/>
      <c r="F298" s="2304"/>
      <c r="G298" s="2304"/>
      <c r="H298" s="2304"/>
      <c r="I298" s="2304"/>
      <c r="J298" s="2304"/>
      <c r="K298" s="2304"/>
      <c r="L298" s="2304"/>
      <c r="M298" s="2304"/>
      <c r="O298" s="131" t="s">
        <v>1867</v>
      </c>
      <c r="P298" s="3513"/>
      <c r="Q298" s="3493"/>
    </row>
    <row r="299" spans="1:32" ht="12.75" customHeight="1">
      <c r="A299" s="13" t="s">
        <v>1983</v>
      </c>
      <c r="B299" s="2290" t="s">
        <v>4116</v>
      </c>
    </row>
    <row r="300" spans="1:32" s="147" customFormat="1" ht="44.25" customHeight="1">
      <c r="A300" s="141"/>
      <c r="B300" s="2162" t="s">
        <v>1737</v>
      </c>
      <c r="C300" s="3537" t="s">
        <v>3905</v>
      </c>
      <c r="D300" s="3537"/>
      <c r="E300" s="3537"/>
      <c r="F300" s="3537"/>
      <c r="G300" s="3537"/>
      <c r="H300" s="3537"/>
      <c r="I300" s="3537"/>
      <c r="J300" s="3537"/>
      <c r="K300" s="3537"/>
      <c r="L300" s="3537"/>
      <c r="M300" s="3537"/>
      <c r="N300" s="3537"/>
      <c r="O300" s="160" t="s">
        <v>2726</v>
      </c>
      <c r="P300" s="2683" t="s">
        <v>2990</v>
      </c>
      <c r="Q300" s="1149"/>
      <c r="AE300" s="467"/>
      <c r="AF300" s="467"/>
    </row>
    <row r="301" spans="1:32" s="414" customFormat="1" ht="12" customHeight="1">
      <c r="A301" s="141"/>
      <c r="B301" s="2162" t="s">
        <v>1738</v>
      </c>
      <c r="C301" s="3537" t="s">
        <v>3906</v>
      </c>
      <c r="D301" s="3537"/>
      <c r="E301" s="3537"/>
      <c r="F301" s="3537"/>
      <c r="G301" s="3537"/>
      <c r="H301" s="3537"/>
      <c r="I301" s="3537"/>
      <c r="J301" s="3537"/>
      <c r="K301" s="3537"/>
      <c r="L301" s="3537"/>
      <c r="M301" s="3537"/>
      <c r="N301" s="3537"/>
      <c r="O301" s="148" t="s">
        <v>1738</v>
      </c>
      <c r="P301" s="2681" t="s">
        <v>2990</v>
      </c>
      <c r="Q301" s="2299"/>
      <c r="AE301" s="468"/>
      <c r="AF301" s="468"/>
    </row>
    <row r="302" spans="1:32" s="414" customFormat="1" ht="21.75" customHeight="1">
      <c r="A302" s="141"/>
      <c r="B302" s="477" t="s">
        <v>1739</v>
      </c>
      <c r="C302" s="3537" t="s">
        <v>3904</v>
      </c>
      <c r="D302" s="3537"/>
      <c r="E302" s="3537"/>
      <c r="F302" s="3537"/>
      <c r="G302" s="3537"/>
      <c r="H302" s="3537"/>
      <c r="I302" s="3537"/>
      <c r="J302" s="3537"/>
      <c r="K302" s="3537"/>
      <c r="L302" s="3537"/>
      <c r="M302" s="3537"/>
      <c r="N302" s="3537"/>
      <c r="O302" s="160" t="s">
        <v>1739</v>
      </c>
      <c r="P302" s="2684" t="s">
        <v>2990</v>
      </c>
      <c r="Q302" s="2303"/>
      <c r="AE302" s="468"/>
      <c r="AF302" s="468"/>
    </row>
    <row r="303" spans="1:32" s="94" customFormat="1" ht="12.75" customHeight="1">
      <c r="A303" s="13" t="s">
        <v>1985</v>
      </c>
      <c r="B303" s="2290" t="s">
        <v>3872</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537" t="s">
        <v>3746</v>
      </c>
      <c r="D304" s="3537"/>
      <c r="E304" s="3537"/>
      <c r="F304" s="3537"/>
      <c r="G304" s="3537"/>
      <c r="H304" s="3537"/>
      <c r="I304" s="139"/>
      <c r="J304" s="3689" t="s">
        <v>3789</v>
      </c>
      <c r="K304" s="3690"/>
      <c r="L304" s="3690"/>
      <c r="M304" s="3674" t="s">
        <v>3759</v>
      </c>
      <c r="N304" s="3674"/>
      <c r="AE304" s="469"/>
      <c r="AF304" s="469"/>
    </row>
    <row r="305" spans="1:33" s="294" customFormat="1" ht="10.5" customHeight="1">
      <c r="A305" s="305"/>
      <c r="B305" s="2266"/>
      <c r="C305" s="3537"/>
      <c r="D305" s="3537"/>
      <c r="E305" s="3537"/>
      <c r="F305" s="3537"/>
      <c r="G305" s="3537"/>
      <c r="H305" s="3537"/>
      <c r="I305" s="2277"/>
      <c r="J305" s="3690"/>
      <c r="K305" s="3690"/>
      <c r="L305" s="3690"/>
      <c r="M305" s="35" t="s">
        <v>3760</v>
      </c>
      <c r="N305" s="2307" t="s">
        <v>3788</v>
      </c>
      <c r="P305" s="303"/>
    </row>
    <row r="306" spans="1:33" s="294" customFormat="1" ht="13.2" customHeight="1">
      <c r="A306" s="305"/>
      <c r="B306" s="2266"/>
      <c r="C306" s="3537"/>
      <c r="D306" s="3537"/>
      <c r="E306" s="3537"/>
      <c r="F306" s="3537"/>
      <c r="G306" s="3537"/>
      <c r="H306" s="3537"/>
      <c r="I306" s="51" t="s">
        <v>4117</v>
      </c>
      <c r="K306" s="2690">
        <v>3</v>
      </c>
      <c r="L306" s="1016" t="str">
        <f>IF(K306&lt;M306,"Check!!!","")</f>
        <v/>
      </c>
      <c r="M306" s="1017">
        <f>ROUNDUP('Part VI-Revenues &amp; Expenses'!$O$67*'Part VIII-Threshold Criteria'!N306,0)</f>
        <v>3</v>
      </c>
      <c r="N306" s="2127">
        <f>'DCA Underwriting Assumptions'!$Q$139</f>
        <v>0.05</v>
      </c>
      <c r="O306" s="463" t="s">
        <v>3636</v>
      </c>
      <c r="P306" s="2671" t="s">
        <v>2990</v>
      </c>
      <c r="Q306" s="534"/>
      <c r="V306" s="35"/>
      <c r="X306" s="35"/>
      <c r="Z306" s="1016" t="str">
        <f>IF(AA306="","",IF(AA306&lt;AC306,"Check!!!",""))</f>
        <v/>
      </c>
      <c r="AA306" s="1016" t="str">
        <f t="shared" ref="AA306:AG306" si="0">IF(AB306="","",IF(AB306&lt;AD306,"Check!!!",""))</f>
        <v/>
      </c>
      <c r="AB306" s="1016" t="str">
        <f t="shared" si="0"/>
        <v/>
      </c>
      <c r="AC306" s="1016" t="str">
        <f t="shared" si="0"/>
        <v/>
      </c>
      <c r="AD306" s="1016" t="str">
        <f t="shared" si="0"/>
        <v/>
      </c>
      <c r="AE306" s="1016" t="str">
        <f t="shared" si="0"/>
        <v/>
      </c>
      <c r="AF306" s="1016" t="str">
        <f t="shared" si="0"/>
        <v/>
      </c>
      <c r="AG306" s="1016" t="str">
        <f t="shared" si="0"/>
        <v/>
      </c>
    </row>
    <row r="307" spans="1:33" s="94" customFormat="1" ht="12.75" customHeight="1">
      <c r="A307" s="141"/>
      <c r="B307" s="2162"/>
      <c r="C307" s="3537" t="s">
        <v>3747</v>
      </c>
      <c r="D307" s="3537"/>
      <c r="E307" s="3537"/>
      <c r="F307" s="3537"/>
      <c r="G307" s="3537"/>
      <c r="H307" s="3537"/>
      <c r="I307" s="884" t="s">
        <v>4118</v>
      </c>
      <c r="J307" s="294"/>
      <c r="K307" s="2690">
        <v>2</v>
      </c>
      <c r="L307" s="1016" t="str">
        <f>IF(K307&lt;M307,"Check!!!","")</f>
        <v/>
      </c>
      <c r="M307" s="1017">
        <f>ROUNDUP(K306*'Part VIII-Threshold Criteria'!N307,0)</f>
        <v>2</v>
      </c>
      <c r="N307" s="2127">
        <f>'DCA Underwriting Assumptions'!$Q$140</f>
        <v>0.4</v>
      </c>
      <c r="O307" s="463" t="s">
        <v>2117</v>
      </c>
      <c r="P307" s="3501" t="s">
        <v>2990</v>
      </c>
      <c r="Q307" s="3499"/>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3537"/>
      <c r="D308" s="3537"/>
      <c r="E308" s="3537"/>
      <c r="F308" s="3537"/>
      <c r="G308" s="3537"/>
      <c r="H308" s="3537"/>
      <c r="O308" s="39"/>
      <c r="P308" s="3501"/>
      <c r="Q308" s="3499"/>
      <c r="V308" s="35"/>
      <c r="W308" s="884"/>
      <c r="X308" s="35"/>
      <c r="Z308" s="1016" t="str">
        <f>IF(AA308="","",IF(AA308&lt;AC308,"Check!!!",""))</f>
        <v/>
      </c>
      <c r="AA308" s="1016" t="str">
        <f t="shared" ref="AA308:AG308" si="1">IF(AB308="","",IF(AB308&lt;AD308,"Check!!!",""))</f>
        <v/>
      </c>
      <c r="AB308" s="1016" t="str">
        <f t="shared" si="1"/>
        <v/>
      </c>
      <c r="AC308" s="1016" t="str">
        <f t="shared" si="1"/>
        <v/>
      </c>
      <c r="AD308" s="1016" t="str">
        <f t="shared" si="1"/>
        <v/>
      </c>
      <c r="AE308" s="1016" t="str">
        <f t="shared" si="1"/>
        <v/>
      </c>
      <c r="AF308" s="1016" t="str">
        <f t="shared" si="1"/>
        <v/>
      </c>
      <c r="AG308" s="1016" t="str">
        <f t="shared" si="1"/>
        <v/>
      </c>
    </row>
    <row r="309" spans="1:33" s="94" customFormat="1" ht="12.75" customHeight="1">
      <c r="A309" s="141"/>
      <c r="B309" s="2162" t="s">
        <v>1738</v>
      </c>
      <c r="C309" s="3537" t="s">
        <v>3748</v>
      </c>
      <c r="D309" s="3537"/>
      <c r="E309" s="3537"/>
      <c r="F309" s="3537"/>
      <c r="G309" s="3537"/>
      <c r="H309" s="3537"/>
      <c r="I309" s="51" t="s">
        <v>4119</v>
      </c>
      <c r="J309" s="294"/>
      <c r="K309" s="2690">
        <v>1</v>
      </c>
      <c r="L309" s="1016" t="str">
        <f>IF(K309&lt;M309,"Check!!!","")</f>
        <v/>
      </c>
      <c r="M309" s="1017">
        <f>ROUNDUP('Part VI-Revenues &amp; Expenses'!$O$67*'Part VIII-Threshold Criteria'!N309,0)</f>
        <v>1</v>
      </c>
      <c r="N309" s="2127">
        <f>'DCA Underwriting Assumptions'!$Q$141</f>
        <v>0.02</v>
      </c>
      <c r="O309" s="463" t="s">
        <v>1738</v>
      </c>
      <c r="P309" s="2673"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37"/>
      <c r="D310" s="3537"/>
      <c r="E310" s="3537"/>
      <c r="F310" s="3537"/>
      <c r="G310" s="3537"/>
      <c r="H310" s="3537"/>
      <c r="J310" s="35"/>
      <c r="K310" s="35"/>
      <c r="L310" s="897"/>
      <c r="M310" s="2300"/>
      <c r="O310" s="35"/>
      <c r="P310" s="2307"/>
      <c r="Q310" s="35"/>
      <c r="T310" s="35"/>
      <c r="U310" s="884"/>
      <c r="V310" s="35"/>
      <c r="W310" s="884"/>
      <c r="X310" s="35"/>
      <c r="Y310" s="35"/>
      <c r="Z310" s="35"/>
      <c r="AA310" s="35"/>
      <c r="AB310" s="35"/>
      <c r="AC310" s="35"/>
      <c r="AD310" s="35"/>
      <c r="AE310" s="35"/>
      <c r="AF310" s="35"/>
      <c r="AG310" s="35"/>
    </row>
    <row r="311" spans="1:33" s="294" customFormat="1" ht="10.5" customHeight="1">
      <c r="A311" s="305"/>
      <c r="C311" s="3537"/>
      <c r="D311" s="3537"/>
      <c r="E311" s="3537"/>
      <c r="F311" s="3537"/>
      <c r="G311" s="3537"/>
      <c r="H311" s="3537"/>
      <c r="O311" s="39"/>
      <c r="P311" s="463"/>
      <c r="V311" s="35"/>
      <c r="W311" s="884"/>
      <c r="X311" s="35"/>
      <c r="Z311" s="1016" t="str">
        <f>IF(AA311="","",IF(AA311&lt;AC311,"Check!!!",""))</f>
        <v/>
      </c>
      <c r="AA311" s="1016" t="str">
        <f t="shared" ref="AA311:AG311" si="2">IF(AB311="","",IF(AB311&lt;AD311,"Check!!!",""))</f>
        <v/>
      </c>
      <c r="AB311" s="1016" t="str">
        <f t="shared" si="2"/>
        <v/>
      </c>
      <c r="AC311" s="1016" t="str">
        <f t="shared" si="2"/>
        <v/>
      </c>
      <c r="AD311" s="1016" t="str">
        <f t="shared" si="2"/>
        <v/>
      </c>
      <c r="AE311" s="1016" t="str">
        <f t="shared" si="2"/>
        <v/>
      </c>
      <c r="AF311" s="1016" t="str">
        <f t="shared" si="2"/>
        <v/>
      </c>
      <c r="AG311" s="1016" t="str">
        <f t="shared" si="2"/>
        <v/>
      </c>
    </row>
    <row r="312" spans="1:33" s="294" customFormat="1" ht="10.5" customHeight="1">
      <c r="A312" s="13" t="s">
        <v>749</v>
      </c>
      <c r="B312" s="2290" t="s">
        <v>3873</v>
      </c>
      <c r="D312" s="2304"/>
      <c r="E312" s="2304"/>
      <c r="F312" s="2304"/>
      <c r="G312" s="2304"/>
      <c r="H312" s="2304"/>
      <c r="O312" s="39"/>
      <c r="P312" s="463"/>
      <c r="V312" s="35"/>
      <c r="W312" s="884"/>
      <c r="X312" s="35"/>
      <c r="Z312" s="1016"/>
      <c r="AA312" s="1016"/>
      <c r="AB312" s="1016"/>
      <c r="AC312" s="1016"/>
      <c r="AD312" s="1016"/>
      <c r="AE312" s="1016"/>
      <c r="AF312" s="1016"/>
      <c r="AG312" s="1016"/>
    </row>
    <row r="313" spans="1:33" s="94" customFormat="1" ht="21.75" customHeight="1">
      <c r="B313" s="3497" t="s">
        <v>3638</v>
      </c>
      <c r="C313" s="3497"/>
      <c r="D313" s="3497"/>
      <c r="E313" s="3497"/>
      <c r="F313" s="3497"/>
      <c r="G313" s="3497"/>
      <c r="H313" s="3497"/>
      <c r="I313" s="3497"/>
      <c r="J313" s="3497"/>
      <c r="K313" s="3497"/>
      <c r="L313" s="3497"/>
      <c r="M313" s="3497"/>
      <c r="N313" s="3497"/>
      <c r="O313" s="160" t="s">
        <v>749</v>
      </c>
      <c r="P313" s="2691" t="s">
        <v>2990</v>
      </c>
      <c r="Q313" s="1150"/>
      <c r="AE313" s="469"/>
      <c r="AF313" s="469"/>
    </row>
    <row r="314" spans="1:33" s="94" customFormat="1" ht="11.25" customHeight="1">
      <c r="B314" s="391" t="s">
        <v>3639</v>
      </c>
      <c r="D314" s="391"/>
      <c r="E314" s="391"/>
      <c r="F314" s="391"/>
      <c r="G314" s="391"/>
      <c r="H314" s="391"/>
      <c r="I314" s="391" t="s">
        <v>3758</v>
      </c>
      <c r="J314" s="391"/>
      <c r="K314" s="391"/>
      <c r="L314" s="3686" t="s">
        <v>5162</v>
      </c>
      <c r="M314" s="3687"/>
      <c r="N314" s="3687"/>
      <c r="O314" s="3688"/>
      <c r="P314" s="391"/>
      <c r="Q314" s="391"/>
      <c r="R314" s="391"/>
      <c r="AE314" s="469"/>
      <c r="AF314" s="469"/>
    </row>
    <row r="315" spans="1:33" s="414" customFormat="1" ht="44.25" customHeight="1">
      <c r="B315" s="2162" t="s">
        <v>1737</v>
      </c>
      <c r="C315" s="3537" t="s">
        <v>3637</v>
      </c>
      <c r="D315" s="3537"/>
      <c r="E315" s="3537"/>
      <c r="F315" s="3537"/>
      <c r="G315" s="3537"/>
      <c r="H315" s="3537"/>
      <c r="I315" s="3537"/>
      <c r="J315" s="3537"/>
      <c r="K315" s="3537"/>
      <c r="L315" s="3537"/>
      <c r="M315" s="3537"/>
      <c r="N315" s="3537"/>
      <c r="O315" s="160" t="s">
        <v>3642</v>
      </c>
      <c r="P315" s="2683" t="s">
        <v>2990</v>
      </c>
      <c r="Q315" s="1149"/>
      <c r="AE315" s="468"/>
      <c r="AF315" s="468"/>
    </row>
    <row r="316" spans="1:33" s="414" customFormat="1" ht="34.5" customHeight="1">
      <c r="B316" s="2162" t="s">
        <v>1738</v>
      </c>
      <c r="C316" s="3537" t="s">
        <v>4904</v>
      </c>
      <c r="D316" s="3537"/>
      <c r="E316" s="3537"/>
      <c r="F316" s="3537"/>
      <c r="G316" s="3537"/>
      <c r="H316" s="3537"/>
      <c r="I316" s="3537"/>
      <c r="J316" s="3537"/>
      <c r="K316" s="3537"/>
      <c r="L316" s="3537"/>
      <c r="M316" s="3537"/>
      <c r="N316" s="3537"/>
      <c r="O316" s="160" t="s">
        <v>3643</v>
      </c>
      <c r="P316" s="2681" t="s">
        <v>2990</v>
      </c>
      <c r="Q316" s="2299"/>
      <c r="AE316" s="468"/>
      <c r="AF316" s="468"/>
    </row>
    <row r="317" spans="1:33" s="414" customFormat="1" ht="22.5" customHeight="1">
      <c r="B317" s="477" t="s">
        <v>1739</v>
      </c>
      <c r="C317" s="3537" t="s">
        <v>3640</v>
      </c>
      <c r="D317" s="3537"/>
      <c r="E317" s="3537"/>
      <c r="F317" s="3537"/>
      <c r="G317" s="3537"/>
      <c r="H317" s="3537"/>
      <c r="I317" s="3537"/>
      <c r="J317" s="3537"/>
      <c r="K317" s="3537"/>
      <c r="L317" s="3537"/>
      <c r="M317" s="3537"/>
      <c r="N317" s="3537"/>
      <c r="O317" s="160" t="s">
        <v>3644</v>
      </c>
      <c r="P317" s="2681" t="s">
        <v>2990</v>
      </c>
      <c r="Q317" s="2299"/>
      <c r="AE317" s="468"/>
      <c r="AF317" s="468"/>
    </row>
    <row r="318" spans="1:33" s="414" customFormat="1" ht="32.25" customHeight="1">
      <c r="B318" s="477" t="s">
        <v>2365</v>
      </c>
      <c r="C318" s="3537" t="s">
        <v>3641</v>
      </c>
      <c r="D318" s="3537"/>
      <c r="E318" s="3537"/>
      <c r="F318" s="3537"/>
      <c r="G318" s="3537"/>
      <c r="H318" s="3537"/>
      <c r="I318" s="3537"/>
      <c r="J318" s="3537"/>
      <c r="K318" s="3537"/>
      <c r="L318" s="3537"/>
      <c r="M318" s="3537"/>
      <c r="N318" s="3537"/>
      <c r="O318" s="160" t="s">
        <v>3645</v>
      </c>
      <c r="P318" s="2684" t="s">
        <v>2990</v>
      </c>
      <c r="Q318" s="2303"/>
      <c r="AE318" s="468"/>
      <c r="AF318" s="468"/>
    </row>
    <row r="319" spans="1:33" ht="11.25" customHeight="1">
      <c r="B319" s="140" t="s">
        <v>3749</v>
      </c>
      <c r="D319" s="140"/>
      <c r="E319" s="140"/>
      <c r="F319" s="140"/>
      <c r="G319" s="140"/>
      <c r="H319" s="39"/>
      <c r="I319" s="2307"/>
      <c r="J319" s="2307"/>
      <c r="K319" s="2307"/>
      <c r="L319" s="2293"/>
      <c r="M319" s="2293"/>
      <c r="N319" s="2293"/>
      <c r="O319" s="2293"/>
      <c r="P319" s="2293"/>
      <c r="Q319" s="896"/>
    </row>
    <row r="320" spans="1:33" ht="32.25" customHeight="1">
      <c r="A320" s="3508" t="s">
        <v>5203</v>
      </c>
      <c r="B320" s="3509"/>
      <c r="C320" s="3509"/>
      <c r="D320" s="3509"/>
      <c r="E320" s="3509"/>
      <c r="F320" s="3509"/>
      <c r="G320" s="3509"/>
      <c r="H320" s="3509"/>
      <c r="I320" s="3509"/>
      <c r="J320" s="3509"/>
      <c r="K320" s="3509"/>
      <c r="L320" s="3509"/>
      <c r="M320" s="3509"/>
      <c r="N320" s="3509"/>
      <c r="O320" s="3509"/>
      <c r="P320" s="3509"/>
      <c r="Q320" s="3510"/>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304"/>
      <c r="E321" s="2304"/>
      <c r="F321" s="2304"/>
      <c r="G321" s="2304"/>
      <c r="H321" s="2304"/>
      <c r="I321" s="2304"/>
      <c r="J321" s="2304"/>
      <c r="K321" s="2304"/>
      <c r="L321" s="2304"/>
      <c r="M321" s="2304"/>
      <c r="N321" s="2304"/>
      <c r="O321" s="2304"/>
      <c r="P321" s="2304"/>
      <c r="Q321" s="2304"/>
    </row>
    <row r="322" spans="1:256 1523:1523" ht="45.75" customHeight="1">
      <c r="A322" s="3691"/>
      <c r="B322" s="3692"/>
      <c r="C322" s="3692"/>
      <c r="D322" s="3692"/>
      <c r="E322" s="3692"/>
      <c r="F322" s="3692"/>
      <c r="G322" s="3692"/>
      <c r="H322" s="3692"/>
      <c r="I322" s="3692"/>
      <c r="J322" s="3692"/>
      <c r="K322" s="3692"/>
      <c r="L322" s="3692"/>
      <c r="M322" s="3692"/>
      <c r="N322" s="3692"/>
      <c r="O322" s="3692"/>
      <c r="P322" s="3692"/>
      <c r="Q322" s="3693"/>
    </row>
    <row r="323" spans="1:256 1523:1523" ht="13.95" customHeight="1">
      <c r="A323" s="2290" t="s">
        <v>4095</v>
      </c>
      <c r="B323" s="9" t="s">
        <v>2666</v>
      </c>
      <c r="C323" s="9"/>
      <c r="D323" s="9"/>
      <c r="E323" s="9"/>
      <c r="F323" s="9"/>
      <c r="G323" s="9"/>
      <c r="H323" s="2304"/>
      <c r="I323" s="2304"/>
      <c r="J323" s="2304"/>
      <c r="K323" s="2304"/>
      <c r="L323" s="2304"/>
      <c r="M323" s="2304"/>
      <c r="O323" s="131" t="s">
        <v>1867</v>
      </c>
      <c r="P323" s="3694"/>
      <c r="Q323" s="3695"/>
    </row>
    <row r="324" spans="1:256 1523:1523" ht="11.7" customHeight="1">
      <c r="B324" s="144" t="s">
        <v>2252</v>
      </c>
      <c r="P324" s="2671" t="s">
        <v>2993</v>
      </c>
      <c r="Q324" s="534"/>
    </row>
    <row r="325" spans="1:256 1523:1523" ht="12" customHeight="1">
      <c r="B325" s="879" t="s">
        <v>2211</v>
      </c>
      <c r="C325" s="879"/>
      <c r="D325" s="879"/>
      <c r="E325" s="879"/>
      <c r="F325" s="879"/>
      <c r="G325" s="879"/>
      <c r="H325" s="879"/>
      <c r="I325" s="879"/>
      <c r="J325" s="879"/>
      <c r="K325" s="879"/>
      <c r="L325" s="879"/>
      <c r="P325" s="2673" t="s">
        <v>2990</v>
      </c>
      <c r="Q325" s="536"/>
    </row>
    <row r="326" spans="1:256 1523:1523" ht="11.7" customHeight="1">
      <c r="A326" s="141" t="s">
        <v>1983</v>
      </c>
      <c r="B326" s="180" t="s">
        <v>459</v>
      </c>
      <c r="D326" s="897"/>
      <c r="E326" s="897"/>
      <c r="F326" s="897"/>
      <c r="G326" s="897"/>
      <c r="H326" s="897"/>
      <c r="I326" s="897"/>
      <c r="J326" s="897"/>
      <c r="K326" s="897"/>
      <c r="L326" s="897"/>
      <c r="M326" s="897"/>
      <c r="N326" s="160"/>
    </row>
    <row r="327" spans="1:256 1523:1523" ht="22.5" customHeight="1">
      <c r="B327" s="3537" t="s">
        <v>2881</v>
      </c>
      <c r="C327" s="3537"/>
      <c r="D327" s="3537"/>
      <c r="E327" s="3537"/>
      <c r="F327" s="3537"/>
      <c r="G327" s="3537"/>
      <c r="H327" s="3537"/>
      <c r="I327" s="3537"/>
      <c r="J327" s="3537"/>
      <c r="K327" s="3537"/>
      <c r="L327" s="3537"/>
      <c r="M327" s="3537"/>
      <c r="N327" s="3537"/>
      <c r="O327" s="160" t="s">
        <v>1983</v>
      </c>
      <c r="P327" s="2692"/>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93"/>
      <c r="Q328" s="896"/>
    </row>
    <row r="329" spans="1:256 1523:1523" ht="36" customHeight="1">
      <c r="B329" s="879" t="s">
        <v>1737</v>
      </c>
      <c r="C329" s="213" t="s">
        <v>1131</v>
      </c>
      <c r="E329" s="132"/>
      <c r="F329" s="132"/>
      <c r="G329" s="3702" t="s">
        <v>4917</v>
      </c>
      <c r="H329" s="3703"/>
      <c r="I329" s="3703"/>
      <c r="J329" s="3703"/>
      <c r="K329" s="3703"/>
      <c r="L329" s="3703"/>
      <c r="M329" s="3703"/>
      <c r="N329" s="3704"/>
      <c r="O329" s="216" t="s">
        <v>1737</v>
      </c>
      <c r="P329" s="2683" t="s">
        <v>2990</v>
      </c>
      <c r="Q329" s="1149"/>
      <c r="BFO329" s="147" t="s">
        <v>2727</v>
      </c>
    </row>
    <row r="330" spans="1:256 1523:1523" ht="23.25" customHeight="1">
      <c r="B330" s="879" t="s">
        <v>1738</v>
      </c>
      <c r="C330" s="3537" t="s">
        <v>1132</v>
      </c>
      <c r="D330" s="3537"/>
      <c r="E330" s="3537"/>
      <c r="F330" s="3696"/>
      <c r="G330" s="3034" t="s">
        <v>3761</v>
      </c>
      <c r="H330" s="3705"/>
      <c r="I330" s="3705"/>
      <c r="J330" s="3705"/>
      <c r="K330" s="3705"/>
      <c r="L330" s="3705"/>
      <c r="M330" s="3705"/>
      <c r="N330" s="3706"/>
      <c r="O330" s="216" t="s">
        <v>1738</v>
      </c>
      <c r="P330" s="2684" t="s">
        <v>2990</v>
      </c>
      <c r="Q330" s="2303"/>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678" t="s">
        <v>2672</v>
      </c>
      <c r="C332" s="3678"/>
      <c r="D332" s="3678"/>
      <c r="E332" s="3678"/>
      <c r="F332" s="3678"/>
      <c r="G332" s="3678"/>
      <c r="H332" s="3678"/>
      <c r="I332" s="3678"/>
      <c r="J332" s="3678"/>
      <c r="K332" s="3678"/>
      <c r="L332" s="3678"/>
      <c r="M332" s="3678"/>
      <c r="N332" s="3678"/>
      <c r="O332" s="443" t="s">
        <v>749</v>
      </c>
      <c r="P332" s="2293"/>
      <c r="Q332" s="896"/>
      <c r="AE332" s="466"/>
      <c r="AF332" s="466"/>
    </row>
    <row r="333" spans="1:256 1523:1523" s="132" customFormat="1" ht="11.25" customHeight="1">
      <c r="A333" s="143"/>
      <c r="B333" s="879" t="s">
        <v>1737</v>
      </c>
      <c r="C333" s="3682"/>
      <c r="D333" s="3683"/>
      <c r="E333" s="3683"/>
      <c r="F333" s="3683"/>
      <c r="G333" s="3683"/>
      <c r="H333" s="3683"/>
      <c r="I333" s="3683"/>
      <c r="J333" s="3683"/>
      <c r="K333" s="3683"/>
      <c r="L333" s="3683"/>
      <c r="M333" s="3683"/>
      <c r="N333" s="3684"/>
      <c r="O333" s="216" t="s">
        <v>1737</v>
      </c>
      <c r="P333" s="2683"/>
      <c r="Q333" s="1149"/>
      <c r="AE333" s="466"/>
      <c r="AF333" s="466"/>
    </row>
    <row r="334" spans="1:256 1523:1523" s="132" customFormat="1" ht="11.25" customHeight="1">
      <c r="A334" s="143"/>
      <c r="B334" s="879" t="s">
        <v>1738</v>
      </c>
      <c r="C334" s="3646"/>
      <c r="D334" s="3647"/>
      <c r="E334" s="3647"/>
      <c r="F334" s="3647"/>
      <c r="G334" s="3647"/>
      <c r="H334" s="3647"/>
      <c r="I334" s="3647"/>
      <c r="J334" s="3647"/>
      <c r="K334" s="3647"/>
      <c r="L334" s="3647"/>
      <c r="M334" s="3647"/>
      <c r="N334" s="3648"/>
      <c r="O334" s="216" t="s">
        <v>1738</v>
      </c>
      <c r="P334" s="2684"/>
      <c r="Q334" s="2303"/>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3749</v>
      </c>
      <c r="D336" s="140"/>
      <c r="E336" s="140"/>
      <c r="F336" s="140"/>
      <c r="G336" s="140"/>
      <c r="H336" s="39"/>
      <c r="I336" s="2307"/>
      <c r="J336" s="2307"/>
      <c r="K336" s="2307"/>
      <c r="L336" s="2293"/>
      <c r="M336" s="2293"/>
      <c r="N336" s="2293"/>
      <c r="O336" s="2293"/>
      <c r="P336" s="2293"/>
      <c r="Q336" s="896"/>
    </row>
    <row r="337" spans="1:31" ht="11.7" customHeight="1">
      <c r="A337" s="3508" t="s">
        <v>5266</v>
      </c>
      <c r="B337" s="3509"/>
      <c r="C337" s="3509"/>
      <c r="D337" s="3509"/>
      <c r="E337" s="3509"/>
      <c r="F337" s="3509"/>
      <c r="G337" s="3509"/>
      <c r="H337" s="3509"/>
      <c r="I337" s="3509"/>
      <c r="J337" s="3509"/>
      <c r="K337" s="3509"/>
      <c r="L337" s="3509"/>
      <c r="M337" s="3509"/>
      <c r="N337" s="3509"/>
      <c r="O337" s="3509"/>
      <c r="P337" s="3509"/>
      <c r="Q337" s="3510"/>
      <c r="R337" s="464" t="s">
        <v>1254</v>
      </c>
      <c r="S337" s="121"/>
      <c r="U337" s="135"/>
      <c r="V337" s="135"/>
      <c r="W337" s="135"/>
      <c r="X337" s="135"/>
      <c r="Y337" s="135"/>
      <c r="Z337" s="135"/>
      <c r="AA337" s="135"/>
      <c r="AB337" s="135"/>
      <c r="AC337" s="135"/>
      <c r="AD337" s="135"/>
      <c r="AE337" s="465"/>
    </row>
    <row r="338" spans="1:31" ht="11.25" customHeight="1">
      <c r="B338" s="136" t="s">
        <v>1866</v>
      </c>
      <c r="C338" s="137"/>
      <c r="D338" s="2304"/>
      <c r="E338" s="2304"/>
      <c r="F338" s="2304"/>
      <c r="G338" s="2304"/>
      <c r="H338" s="2304"/>
      <c r="I338" s="2304"/>
      <c r="J338" s="2304"/>
      <c r="K338" s="2304"/>
      <c r="L338" s="2304"/>
      <c r="M338" s="2304"/>
      <c r="N338" s="2304"/>
      <c r="O338" s="2304"/>
      <c r="P338" s="2304"/>
      <c r="Q338" s="2304"/>
    </row>
    <row r="339" spans="1:31" ht="11.7" customHeight="1">
      <c r="A339" s="3489"/>
      <c r="B339" s="3490"/>
      <c r="C339" s="3490"/>
      <c r="D339" s="3490"/>
      <c r="E339" s="3490"/>
      <c r="F339" s="3490"/>
      <c r="G339" s="3490"/>
      <c r="H339" s="3490"/>
      <c r="I339" s="3490"/>
      <c r="J339" s="3490"/>
      <c r="K339" s="3490"/>
      <c r="L339" s="3490"/>
      <c r="M339" s="3490"/>
      <c r="N339" s="3490"/>
      <c r="O339" s="3490"/>
      <c r="P339" s="3490"/>
      <c r="Q339" s="3491"/>
    </row>
    <row r="340" spans="1:31" ht="13.95" customHeight="1">
      <c r="A340" s="2290" t="s">
        <v>4098</v>
      </c>
      <c r="B340" s="2290" t="s">
        <v>4136</v>
      </c>
      <c r="C340" s="2290"/>
      <c r="D340" s="2304"/>
      <c r="E340" s="2304"/>
      <c r="F340" s="2304"/>
      <c r="G340" s="2304"/>
      <c r="H340" s="2304"/>
      <c r="O340" s="131" t="s">
        <v>1867</v>
      </c>
      <c r="P340" s="3513"/>
      <c r="Q340" s="3493"/>
    </row>
    <row r="341" spans="1:31" ht="11.7" customHeight="1">
      <c r="A341" s="46" t="s">
        <v>1983</v>
      </c>
      <c r="B341" s="54" t="s">
        <v>4991</v>
      </c>
      <c r="O341" s="160" t="s">
        <v>1983</v>
      </c>
      <c r="P341" s="2671" t="s">
        <v>2990</v>
      </c>
      <c r="Q341" s="534"/>
    </row>
    <row r="342" spans="1:31" ht="11.7" customHeight="1">
      <c r="A342" s="141" t="s">
        <v>1985</v>
      </c>
      <c r="B342" s="54" t="s">
        <v>4084</v>
      </c>
      <c r="O342" s="160" t="s">
        <v>1985</v>
      </c>
      <c r="P342" s="2672" t="s">
        <v>2990</v>
      </c>
      <c r="Q342" s="535"/>
    </row>
    <row r="343" spans="1:31" ht="11.7" customHeight="1">
      <c r="A343" s="141" t="s">
        <v>749</v>
      </c>
      <c r="B343" s="144" t="s">
        <v>2350</v>
      </c>
      <c r="O343" s="160" t="s">
        <v>749</v>
      </c>
      <c r="P343" s="2672" t="s">
        <v>2993</v>
      </c>
      <c r="Q343" s="535"/>
    </row>
    <row r="344" spans="1:31" ht="11.7" customHeight="1">
      <c r="A344" s="46" t="s">
        <v>2115</v>
      </c>
      <c r="B344" s="54" t="s">
        <v>3837</v>
      </c>
      <c r="O344" s="463" t="s">
        <v>2115</v>
      </c>
      <c r="P344" s="2673" t="s">
        <v>2993</v>
      </c>
      <c r="Q344" s="536"/>
    </row>
    <row r="345" spans="1:31" ht="11.7" customHeight="1">
      <c r="A345" s="141" t="s">
        <v>1735</v>
      </c>
      <c r="B345" s="54" t="s">
        <v>2884</v>
      </c>
      <c r="N345" s="160" t="s">
        <v>1735</v>
      </c>
      <c r="O345" s="3675" t="s">
        <v>3835</v>
      </c>
      <c r="P345" s="3676"/>
      <c r="Q345" s="3677"/>
    </row>
    <row r="346" spans="1:31" ht="11.7" customHeight="1">
      <c r="A346" s="141" t="s">
        <v>1736</v>
      </c>
      <c r="B346" s="410" t="s">
        <v>2351</v>
      </c>
      <c r="N346" s="160" t="s">
        <v>1736</v>
      </c>
      <c r="O346" s="3699" t="s">
        <v>2885</v>
      </c>
      <c r="P346" s="3700"/>
      <c r="Q346" s="3701"/>
    </row>
    <row r="347" spans="1:31" ht="11.25" customHeight="1">
      <c r="B347" s="140" t="s">
        <v>3749</v>
      </c>
      <c r="D347" s="140"/>
      <c r="E347" s="140"/>
      <c r="F347" s="140"/>
      <c r="G347" s="140"/>
      <c r="H347" s="39"/>
      <c r="I347" s="2307"/>
      <c r="J347" s="2307"/>
      <c r="K347" s="2307"/>
      <c r="L347" s="2293"/>
      <c r="M347" s="2293"/>
      <c r="N347" s="2293"/>
      <c r="O347" s="2293"/>
      <c r="P347" s="2293"/>
      <c r="Q347" s="896"/>
    </row>
    <row r="348" spans="1:31" ht="13.2" customHeight="1">
      <c r="A348" s="3508" t="s">
        <v>5267</v>
      </c>
      <c r="B348" s="3509"/>
      <c r="C348" s="3509"/>
      <c r="D348" s="3509"/>
      <c r="E348" s="3509"/>
      <c r="F348" s="3509"/>
      <c r="G348" s="3509"/>
      <c r="H348" s="3509"/>
      <c r="I348" s="3509"/>
      <c r="J348" s="3509"/>
      <c r="K348" s="3509"/>
      <c r="L348" s="3509"/>
      <c r="M348" s="3509"/>
      <c r="N348" s="3509"/>
      <c r="O348" s="3509"/>
      <c r="P348" s="3509"/>
      <c r="Q348" s="3510"/>
      <c r="R348" s="445" t="s">
        <v>1254</v>
      </c>
      <c r="S348" s="446"/>
      <c r="U348" s="135"/>
      <c r="V348" s="135"/>
      <c r="W348" s="135"/>
      <c r="X348" s="135"/>
      <c r="Y348" s="135"/>
      <c r="Z348" s="135"/>
      <c r="AA348" s="135"/>
      <c r="AB348" s="135"/>
      <c r="AC348" s="135"/>
      <c r="AD348" s="135"/>
      <c r="AE348" s="465"/>
    </row>
    <row r="349" spans="1:31" ht="11.25" customHeight="1">
      <c r="B349" s="136" t="s">
        <v>1866</v>
      </c>
      <c r="C349" s="137"/>
      <c r="D349" s="2304"/>
      <c r="E349" s="2304"/>
      <c r="F349" s="2304"/>
      <c r="G349" s="2304"/>
      <c r="H349" s="2304"/>
      <c r="I349" s="2304"/>
      <c r="J349" s="2304"/>
      <c r="K349" s="2304"/>
      <c r="L349" s="2304"/>
      <c r="M349" s="2304"/>
      <c r="N349" s="2304"/>
      <c r="O349" s="2304"/>
      <c r="P349" s="2304"/>
      <c r="Q349" s="2304"/>
    </row>
    <row r="350" spans="1:31" ht="13.2" customHeight="1">
      <c r="A350" s="3489"/>
      <c r="B350" s="3490"/>
      <c r="C350" s="3490"/>
      <c r="D350" s="3490"/>
      <c r="E350" s="3490"/>
      <c r="F350" s="3490"/>
      <c r="G350" s="3490"/>
      <c r="H350" s="3490"/>
      <c r="I350" s="3490"/>
      <c r="J350" s="3490"/>
      <c r="K350" s="3490"/>
      <c r="L350" s="3490"/>
      <c r="M350" s="3490"/>
      <c r="N350" s="3490"/>
      <c r="O350" s="3490"/>
      <c r="P350" s="3490"/>
      <c r="Q350" s="3491"/>
    </row>
    <row r="351" spans="1:31" ht="13.95" customHeight="1">
      <c r="A351" s="2290" t="s">
        <v>4099</v>
      </c>
      <c r="B351" s="3" t="s">
        <v>2667</v>
      </c>
      <c r="C351" s="3"/>
      <c r="D351" s="86"/>
      <c r="E351" s="2304"/>
      <c r="F351" s="2304"/>
      <c r="G351" s="2304"/>
      <c r="H351" s="2304"/>
      <c r="I351" s="2304"/>
      <c r="J351" s="2304"/>
      <c r="K351" s="2304"/>
      <c r="L351" s="2304"/>
      <c r="M351" s="2304"/>
      <c r="O351" s="131" t="s">
        <v>1867</v>
      </c>
      <c r="P351" s="3513"/>
      <c r="Q351" s="3493"/>
    </row>
    <row r="352" spans="1:31" ht="12.75" customHeight="1">
      <c r="A352" s="141" t="s">
        <v>1983</v>
      </c>
      <c r="B352" s="139" t="s">
        <v>3654</v>
      </c>
      <c r="D352" s="139"/>
      <c r="E352" s="139"/>
      <c r="F352" s="139"/>
      <c r="G352" s="139"/>
      <c r="H352" s="139"/>
      <c r="I352" s="139"/>
      <c r="J352" s="139"/>
      <c r="K352" s="139"/>
      <c r="L352" s="139"/>
      <c r="M352" s="139"/>
      <c r="N352" s="139"/>
      <c r="O352" s="160" t="s">
        <v>1983</v>
      </c>
      <c r="P352" s="2671" t="s">
        <v>2990</v>
      </c>
      <c r="Q352" s="534"/>
    </row>
    <row r="353" spans="1:32" ht="12.75" customHeight="1">
      <c r="A353" s="141" t="s">
        <v>1985</v>
      </c>
      <c r="B353" s="139" t="s">
        <v>3846</v>
      </c>
      <c r="D353" s="139"/>
      <c r="E353" s="139"/>
      <c r="F353" s="139"/>
      <c r="G353" s="139"/>
      <c r="H353" s="139"/>
      <c r="I353" s="139"/>
      <c r="J353" s="139"/>
      <c r="K353" s="139"/>
      <c r="L353" s="139"/>
      <c r="M353" s="139"/>
      <c r="N353" s="139"/>
      <c r="O353" s="160" t="s">
        <v>1985</v>
      </c>
      <c r="P353" s="2672" t="s">
        <v>2993</v>
      </c>
      <c r="Q353" s="535"/>
    </row>
    <row r="354" spans="1:32" ht="22.5" customHeight="1">
      <c r="A354" s="141" t="s">
        <v>749</v>
      </c>
      <c r="B354" s="3537" t="s">
        <v>4085</v>
      </c>
      <c r="C354" s="3537"/>
      <c r="D354" s="3537"/>
      <c r="E354" s="3537"/>
      <c r="F354" s="3537"/>
      <c r="G354" s="3537"/>
      <c r="H354" s="3537"/>
      <c r="I354" s="3537"/>
      <c r="J354" s="3537"/>
      <c r="K354" s="3537"/>
      <c r="L354" s="3537"/>
      <c r="M354" s="3537"/>
      <c r="N354" s="3537"/>
      <c r="O354" s="160" t="s">
        <v>749</v>
      </c>
      <c r="P354" s="2673" t="s">
        <v>2990</v>
      </c>
      <c r="Q354" s="536"/>
    </row>
    <row r="355" spans="1:32" ht="11.25" customHeight="1">
      <c r="B355" s="140" t="s">
        <v>3749</v>
      </c>
      <c r="D355" s="140"/>
      <c r="E355" s="140"/>
      <c r="F355" s="140"/>
      <c r="G355" s="140"/>
      <c r="H355" s="39"/>
      <c r="I355" s="2307"/>
      <c r="J355" s="2307"/>
      <c r="K355" s="2307"/>
      <c r="L355" s="2293"/>
      <c r="M355" s="2293"/>
      <c r="N355" s="2293"/>
      <c r="O355" s="2293"/>
      <c r="P355" s="2293"/>
      <c r="Q355" s="896"/>
    </row>
    <row r="356" spans="1:32" ht="11.7" customHeight="1">
      <c r="A356" s="3508" t="s">
        <v>5279</v>
      </c>
      <c r="B356" s="3509"/>
      <c r="C356" s="3509"/>
      <c r="D356" s="3509"/>
      <c r="E356" s="3509"/>
      <c r="F356" s="3509"/>
      <c r="G356" s="3509"/>
      <c r="H356" s="3509"/>
      <c r="I356" s="3509"/>
      <c r="J356" s="3509"/>
      <c r="K356" s="3509"/>
      <c r="L356" s="3509"/>
      <c r="M356" s="3509"/>
      <c r="N356" s="3509"/>
      <c r="O356" s="3509"/>
      <c r="P356" s="3509"/>
      <c r="Q356" s="3510"/>
      <c r="U356" s="135"/>
      <c r="V356" s="135"/>
      <c r="W356" s="135"/>
      <c r="X356" s="135"/>
      <c r="Y356" s="135"/>
      <c r="Z356" s="135"/>
      <c r="AA356" s="135"/>
      <c r="AB356" s="135"/>
      <c r="AC356" s="135"/>
      <c r="AD356" s="135"/>
      <c r="AE356" s="465"/>
    </row>
    <row r="357" spans="1:32" ht="11.25" customHeight="1">
      <c r="B357" s="136" t="s">
        <v>1866</v>
      </c>
      <c r="C357" s="137"/>
      <c r="D357" s="2304"/>
      <c r="E357" s="2304"/>
      <c r="F357" s="2304"/>
      <c r="G357" s="2304"/>
      <c r="H357" s="2304"/>
      <c r="I357" s="2304"/>
      <c r="J357" s="2304"/>
      <c r="K357" s="2304"/>
      <c r="L357" s="2304"/>
      <c r="M357" s="2304"/>
      <c r="N357" s="2304"/>
      <c r="O357" s="2304"/>
      <c r="P357" s="2304"/>
      <c r="Q357" s="2304"/>
    </row>
    <row r="358" spans="1:32" ht="11.7" customHeight="1">
      <c r="A358" s="3489"/>
      <c r="B358" s="3490"/>
      <c r="C358" s="3490"/>
      <c r="D358" s="3490"/>
      <c r="E358" s="3490"/>
      <c r="F358" s="3490"/>
      <c r="G358" s="3490"/>
      <c r="H358" s="3490"/>
      <c r="I358" s="3490"/>
      <c r="J358" s="3490"/>
      <c r="K358" s="3490"/>
      <c r="L358" s="3490"/>
      <c r="M358" s="3490"/>
      <c r="N358" s="3490"/>
      <c r="O358" s="3490"/>
      <c r="P358" s="3490"/>
      <c r="Q358" s="3491"/>
    </row>
    <row r="359" spans="1:32" ht="2.25" customHeight="1">
      <c r="A359" s="2293"/>
      <c r="B359" s="2307"/>
      <c r="C359" s="2304"/>
      <c r="D359" s="2304"/>
      <c r="E359" s="2304"/>
      <c r="F359" s="2304"/>
      <c r="G359" s="2304"/>
      <c r="H359" s="2304"/>
      <c r="I359" s="2304"/>
      <c r="J359" s="2304"/>
      <c r="K359" s="2304"/>
      <c r="L359" s="2304"/>
      <c r="M359" s="2304"/>
      <c r="N359" s="2304"/>
      <c r="O359" s="2304"/>
      <c r="P359" s="2304"/>
      <c r="Q359" s="896"/>
      <c r="R359" s="7"/>
      <c r="S359" s="7"/>
    </row>
    <row r="360" spans="1:32" ht="13.95" customHeight="1">
      <c r="A360" s="2290" t="s">
        <v>4102</v>
      </c>
      <c r="B360" s="3" t="s">
        <v>4075</v>
      </c>
      <c r="C360" s="3"/>
      <c r="D360" s="3"/>
      <c r="E360" s="3"/>
      <c r="F360" s="3"/>
      <c r="G360" s="3"/>
      <c r="H360" s="2304"/>
      <c r="I360" s="2304"/>
      <c r="J360" s="2304"/>
      <c r="K360" s="2304"/>
      <c r="L360" s="2304"/>
      <c r="M360" s="2304"/>
      <c r="O360" s="131" t="s">
        <v>1867</v>
      </c>
      <c r="P360" s="3492"/>
      <c r="Q360" s="3493"/>
    </row>
    <row r="361" spans="1:32" ht="10.5" customHeight="1">
      <c r="A361" s="46" t="s">
        <v>1983</v>
      </c>
      <c r="B361" s="134" t="s">
        <v>4076</v>
      </c>
      <c r="D361" s="149"/>
      <c r="E361" s="149"/>
      <c r="F361" s="149"/>
      <c r="G361" s="149"/>
      <c r="H361" s="463" t="s">
        <v>1983</v>
      </c>
      <c r="I361" s="3494"/>
      <c r="J361" s="3495"/>
      <c r="K361" s="3495"/>
      <c r="L361" s="3495"/>
      <c r="M361" s="3495"/>
      <c r="N361" s="3495"/>
      <c r="O361" s="3495"/>
      <c r="P361" s="3496"/>
      <c r="Q361" s="532"/>
    </row>
    <row r="362" spans="1:32" ht="10.5" customHeight="1">
      <c r="A362" s="141" t="s">
        <v>1985</v>
      </c>
      <c r="B362" s="134" t="s">
        <v>4077</v>
      </c>
      <c r="D362" s="149"/>
      <c r="E362" s="149"/>
      <c r="F362" s="149"/>
      <c r="G362" s="149"/>
      <c r="H362" s="160" t="s">
        <v>1985</v>
      </c>
      <c r="I362" s="3494"/>
      <c r="J362" s="3495"/>
      <c r="K362" s="3495"/>
      <c r="L362" s="3495"/>
      <c r="M362" s="3495"/>
      <c r="N362" s="3495"/>
      <c r="O362" s="3495"/>
      <c r="P362" s="3496"/>
      <c r="Q362" s="532"/>
    </row>
    <row r="363" spans="1:32" ht="21.75" customHeight="1">
      <c r="A363" s="141" t="s">
        <v>749</v>
      </c>
      <c r="B363" s="3685" t="s">
        <v>4067</v>
      </c>
      <c r="C363" s="3685"/>
      <c r="D363" s="3685"/>
      <c r="E363" s="3685"/>
      <c r="F363" s="3685"/>
      <c r="G363" s="3685"/>
      <c r="H363" s="3685"/>
      <c r="I363" s="3685"/>
      <c r="J363" s="3685"/>
      <c r="K363" s="3685"/>
      <c r="L363" s="3685"/>
      <c r="M363" s="3685"/>
      <c r="N363" s="3685"/>
      <c r="O363" s="160" t="s">
        <v>749</v>
      </c>
      <c r="P363" s="2693"/>
      <c r="Q363" s="1149"/>
    </row>
    <row r="364" spans="1:32" ht="21.75" customHeight="1">
      <c r="A364" s="141" t="s">
        <v>2115</v>
      </c>
      <c r="B364" s="3537" t="s">
        <v>4068</v>
      </c>
      <c r="C364" s="3537"/>
      <c r="D364" s="3537"/>
      <c r="E364" s="3537"/>
      <c r="F364" s="3537"/>
      <c r="G364" s="3537"/>
      <c r="H364" s="3537"/>
      <c r="I364" s="3537"/>
      <c r="J364" s="3537"/>
      <c r="K364" s="3537"/>
      <c r="L364" s="3537"/>
      <c r="M364" s="3537"/>
      <c r="N364" s="3537"/>
      <c r="O364" s="463" t="s">
        <v>2115</v>
      </c>
      <c r="P364" s="2681"/>
      <c r="Q364" s="2299"/>
    </row>
    <row r="365" spans="1:32" ht="10.5" customHeight="1">
      <c r="A365" s="141" t="s">
        <v>1735</v>
      </c>
      <c r="B365" s="51" t="s">
        <v>4069</v>
      </c>
      <c r="D365" s="51"/>
      <c r="E365" s="51"/>
      <c r="F365" s="51"/>
      <c r="G365" s="51"/>
      <c r="H365" s="51"/>
      <c r="I365" s="51"/>
      <c r="J365" s="51"/>
      <c r="K365" s="51"/>
      <c r="L365" s="51"/>
      <c r="M365" s="51"/>
      <c r="O365" s="160" t="s">
        <v>1735</v>
      </c>
      <c r="P365" s="2672"/>
      <c r="Q365" s="535"/>
    </row>
    <row r="366" spans="1:32" s="132" customFormat="1" ht="21.75" customHeight="1">
      <c r="A366" s="141" t="s">
        <v>1736</v>
      </c>
      <c r="B366" s="3537" t="s">
        <v>4070</v>
      </c>
      <c r="C366" s="3537"/>
      <c r="D366" s="3537"/>
      <c r="E366" s="3537"/>
      <c r="F366" s="3537"/>
      <c r="G366" s="3537"/>
      <c r="H366" s="3537"/>
      <c r="I366" s="3537"/>
      <c r="J366" s="3537"/>
      <c r="K366" s="3537"/>
      <c r="L366" s="3537"/>
      <c r="M366" s="3537"/>
      <c r="N366" s="3537"/>
      <c r="O366" s="160" t="s">
        <v>1736</v>
      </c>
      <c r="P366" s="2694"/>
      <c r="Q366" s="880"/>
      <c r="AE366" s="466"/>
      <c r="AF366" s="466"/>
    </row>
    <row r="367" spans="1:32" s="132" customFormat="1" ht="10.5" customHeight="1">
      <c r="A367" s="141" t="s">
        <v>1947</v>
      </c>
      <c r="B367" s="139" t="s">
        <v>4071</v>
      </c>
      <c r="D367" s="898"/>
      <c r="E367" s="898"/>
      <c r="F367" s="898"/>
      <c r="G367" s="898"/>
      <c r="H367" s="898"/>
      <c r="I367" s="898"/>
      <c r="J367" s="898"/>
      <c r="K367" s="898"/>
      <c r="L367" s="898"/>
      <c r="M367" s="898"/>
      <c r="N367" s="898"/>
      <c r="O367" s="160" t="s">
        <v>1947</v>
      </c>
      <c r="P367" s="2683"/>
      <c r="Q367" s="1149"/>
      <c r="AE367" s="466"/>
      <c r="AF367" s="466"/>
    </row>
    <row r="368" spans="1:32" s="132" customFormat="1" ht="10.5" customHeight="1">
      <c r="C368" s="879" t="s">
        <v>4990</v>
      </c>
      <c r="E368" s="2304"/>
      <c r="F368" s="2304"/>
      <c r="G368" s="2304"/>
      <c r="H368" s="2304"/>
      <c r="I368" s="2304"/>
      <c r="J368" s="2304"/>
      <c r="K368" s="2304"/>
      <c r="L368" s="2304"/>
      <c r="M368" s="2304"/>
      <c r="N368" s="2304"/>
      <c r="P368" s="2684"/>
      <c r="Q368" s="2303"/>
      <c r="AE368" s="466"/>
      <c r="AF368" s="466"/>
    </row>
    <row r="369" spans="1:32" ht="21.75" customHeight="1">
      <c r="A369" s="141" t="s">
        <v>3370</v>
      </c>
      <c r="B369" s="3537" t="s">
        <v>4072</v>
      </c>
      <c r="C369" s="3537"/>
      <c r="D369" s="3537"/>
      <c r="E369" s="3537"/>
      <c r="F369" s="3537"/>
      <c r="G369" s="3537"/>
      <c r="H369" s="3537"/>
      <c r="I369" s="3537"/>
      <c r="J369" s="3537"/>
      <c r="K369" s="3537"/>
      <c r="L369" s="3537"/>
      <c r="M369" s="3537"/>
      <c r="N369" s="3537"/>
      <c r="O369" s="160" t="s">
        <v>3370</v>
      </c>
      <c r="P369" s="2683"/>
      <c r="Q369" s="1149"/>
    </row>
    <row r="370" spans="1:32" ht="33" customHeight="1">
      <c r="A370" s="141" t="s">
        <v>616</v>
      </c>
      <c r="B370" s="3537" t="s">
        <v>4073</v>
      </c>
      <c r="C370" s="3537"/>
      <c r="D370" s="3537"/>
      <c r="E370" s="3537"/>
      <c r="F370" s="3537"/>
      <c r="G370" s="3537"/>
      <c r="H370" s="3537"/>
      <c r="I370" s="3537"/>
      <c r="J370" s="3537"/>
      <c r="K370" s="3537"/>
      <c r="L370" s="3537"/>
      <c r="M370" s="3537"/>
      <c r="N370" s="3537"/>
      <c r="O370" s="160" t="s">
        <v>616</v>
      </c>
      <c r="P370" s="2684"/>
      <c r="Q370" s="2303"/>
    </row>
    <row r="371" spans="1:32" ht="10.5" customHeight="1">
      <c r="B371" s="140" t="s">
        <v>3749</v>
      </c>
      <c r="D371" s="140"/>
      <c r="E371" s="140"/>
      <c r="F371" s="140"/>
      <c r="G371" s="140"/>
      <c r="H371" s="39"/>
      <c r="I371" s="2307"/>
      <c r="J371" s="2307"/>
      <c r="K371" s="2307"/>
      <c r="L371" s="2293"/>
      <c r="M371" s="2293"/>
      <c r="N371" s="2293"/>
      <c r="O371" s="2293"/>
      <c r="P371" s="2293"/>
      <c r="Q371" s="896"/>
    </row>
    <row r="372" spans="1:32" ht="31.5" customHeight="1">
      <c r="A372" s="3508" t="s">
        <v>970</v>
      </c>
      <c r="B372" s="3509"/>
      <c r="C372" s="3509"/>
      <c r="D372" s="3509"/>
      <c r="E372" s="3509"/>
      <c r="F372" s="3509"/>
      <c r="G372" s="3509"/>
      <c r="H372" s="3509"/>
      <c r="I372" s="3509"/>
      <c r="J372" s="3509"/>
      <c r="K372" s="3509"/>
      <c r="L372" s="3509"/>
      <c r="M372" s="3509"/>
      <c r="N372" s="3509"/>
      <c r="O372" s="3509"/>
      <c r="P372" s="3509"/>
      <c r="Q372" s="3510"/>
      <c r="U372" s="135"/>
      <c r="V372" s="135"/>
      <c r="W372" s="135"/>
      <c r="X372" s="135"/>
      <c r="Y372" s="135"/>
      <c r="Z372" s="135"/>
      <c r="AA372" s="135"/>
      <c r="AB372" s="135"/>
      <c r="AC372" s="135"/>
      <c r="AD372" s="135"/>
      <c r="AE372" s="465"/>
    </row>
    <row r="373" spans="1:32" ht="10.5" customHeight="1">
      <c r="B373" s="136" t="s">
        <v>1866</v>
      </c>
      <c r="C373" s="137"/>
      <c r="D373" s="2304"/>
      <c r="E373" s="2304"/>
      <c r="F373" s="2304"/>
      <c r="G373" s="2304"/>
      <c r="H373" s="2304"/>
      <c r="I373" s="2304"/>
      <c r="J373" s="2304"/>
      <c r="K373" s="2304"/>
      <c r="L373" s="2304"/>
      <c r="M373" s="2304"/>
      <c r="N373" s="2304"/>
      <c r="O373" s="2304"/>
      <c r="P373" s="2304"/>
      <c r="Q373" s="2304"/>
    </row>
    <row r="374" spans="1:32" ht="23.25" customHeight="1">
      <c r="A374" s="3489"/>
      <c r="B374" s="3490"/>
      <c r="C374" s="3490"/>
      <c r="D374" s="3490"/>
      <c r="E374" s="3490"/>
      <c r="F374" s="3490"/>
      <c r="G374" s="3490"/>
      <c r="H374" s="3490"/>
      <c r="I374" s="3490"/>
      <c r="J374" s="3490"/>
      <c r="K374" s="3490"/>
      <c r="L374" s="3490"/>
      <c r="M374" s="3490"/>
      <c r="N374" s="3490"/>
      <c r="O374" s="3490"/>
      <c r="P374" s="3490"/>
      <c r="Q374" s="3491"/>
    </row>
    <row r="375" spans="1:32" ht="3" customHeight="1">
      <c r="A375" s="2293"/>
      <c r="B375" s="2307"/>
      <c r="C375" s="2304"/>
      <c r="D375" s="2304"/>
      <c r="E375" s="2304"/>
      <c r="F375" s="2304"/>
      <c r="G375" s="2304"/>
      <c r="H375" s="2304"/>
      <c r="I375" s="2304"/>
      <c r="J375" s="2304"/>
      <c r="K375" s="2304"/>
      <c r="L375" s="2304"/>
      <c r="M375" s="2304"/>
      <c r="Q375" s="896"/>
    </row>
    <row r="376" spans="1:32" ht="13.95" customHeight="1">
      <c r="A376" s="2290" t="s">
        <v>4103</v>
      </c>
      <c r="B376" s="3" t="s">
        <v>3909</v>
      </c>
      <c r="C376" s="3"/>
      <c r="D376" s="3"/>
      <c r="E376" s="3"/>
      <c r="F376" s="3"/>
      <c r="G376" s="3"/>
      <c r="H376" s="2304"/>
      <c r="I376" s="2304"/>
      <c r="J376" s="2304"/>
      <c r="O376" s="131" t="s">
        <v>1867</v>
      </c>
      <c r="P376" s="3513"/>
      <c r="Q376" s="3493"/>
    </row>
    <row r="377" spans="1:32" s="41" customFormat="1" ht="10.5" customHeight="1">
      <c r="A377" s="46" t="s">
        <v>1983</v>
      </c>
      <c r="B377" s="615" t="s">
        <v>3911</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12" t="s">
        <v>4916</v>
      </c>
      <c r="D378" s="3512"/>
      <c r="E378" s="3512"/>
      <c r="F378" s="3512"/>
      <c r="G378" s="49"/>
      <c r="H378" s="35" t="s">
        <v>617</v>
      </c>
      <c r="J378" s="3721"/>
      <c r="K378" s="3722"/>
      <c r="L378" s="3722"/>
      <c r="M378" s="3723"/>
      <c r="N378" s="3620" t="s">
        <v>3910</v>
      </c>
      <c r="O378" s="3529"/>
      <c r="P378" s="3709"/>
      <c r="Q378" s="3710"/>
      <c r="AE378" s="49"/>
      <c r="AF378" s="49"/>
    </row>
    <row r="379" spans="1:32" s="41" customFormat="1" ht="11.25" customHeight="1">
      <c r="A379" s="46"/>
      <c r="B379" s="39"/>
      <c r="C379" s="2301"/>
      <c r="D379" s="2301"/>
      <c r="E379" s="2301"/>
      <c r="F379" s="2301"/>
      <c r="G379" s="2301"/>
      <c r="H379" s="39" t="s">
        <v>4909</v>
      </c>
      <c r="I379" s="2301"/>
      <c r="J379" s="3494"/>
      <c r="K379" s="3495"/>
      <c r="L379" s="3495"/>
      <c r="M379" s="3495"/>
      <c r="N379" s="3495"/>
      <c r="O379" s="3495"/>
      <c r="P379" s="3495"/>
      <c r="Q379" s="3496"/>
      <c r="AE379" s="49"/>
      <c r="AF379" s="49"/>
    </row>
    <row r="380" spans="1:32" s="41" customFormat="1" ht="11.25" customHeight="1">
      <c r="B380" s="39" t="s">
        <v>1738</v>
      </c>
      <c r="C380" s="51" t="s">
        <v>3912</v>
      </c>
      <c r="J380" s="3713"/>
      <c r="K380" s="3714"/>
      <c r="O380" s="463"/>
      <c r="AE380" s="49"/>
      <c r="AF380" s="49"/>
    </row>
    <row r="381" spans="1:32" s="41" customFormat="1" ht="11.25" customHeight="1">
      <c r="A381" s="46"/>
      <c r="B381" s="39" t="s">
        <v>1739</v>
      </c>
      <c r="C381" s="51" t="s">
        <v>3913</v>
      </c>
      <c r="D381" s="45"/>
      <c r="E381" s="133"/>
      <c r="I381" s="133"/>
      <c r="J381" s="3724" t="str">
        <f>'Part I-Project Information'!K40</f>
        <v>Rural</v>
      </c>
      <c r="K381" s="3725"/>
      <c r="L381" s="2310" t="s">
        <v>3914</v>
      </c>
      <c r="M381" s="133"/>
      <c r="N381" s="133"/>
      <c r="O381" s="463" t="s">
        <v>1739</v>
      </c>
      <c r="P381" s="2674"/>
      <c r="Q381" s="533"/>
      <c r="AE381" s="49"/>
      <c r="AF381" s="49"/>
    </row>
    <row r="382" spans="1:32" s="41" customFormat="1" ht="11.25" customHeight="1">
      <c r="A382" s="46"/>
      <c r="B382" s="39" t="s">
        <v>2365</v>
      </c>
      <c r="C382" s="51" t="s">
        <v>4905</v>
      </c>
      <c r="E382" s="133"/>
      <c r="F382" s="133"/>
      <c r="G382" s="133"/>
      <c r="H382" s="51" t="s">
        <v>4906</v>
      </c>
      <c r="I382" s="133"/>
      <c r="J382" s="3711"/>
      <c r="K382" s="3712"/>
      <c r="L382" s="3730"/>
      <c r="M382" s="3731"/>
      <c r="O382" s="463"/>
      <c r="AE382" s="49"/>
      <c r="AF382" s="49"/>
    </row>
    <row r="383" spans="1:32" s="41" customFormat="1" ht="11.25" customHeight="1">
      <c r="A383" s="46"/>
      <c r="B383" s="39"/>
      <c r="C383" s="51"/>
      <c r="E383" s="133"/>
      <c r="F383" s="133"/>
      <c r="G383" s="133"/>
      <c r="H383" s="51" t="s">
        <v>4907</v>
      </c>
      <c r="I383" s="133"/>
      <c r="J383" s="3545"/>
      <c r="K383" s="3547"/>
      <c r="L383" s="3719"/>
      <c r="M383" s="3720"/>
      <c r="N383" s="51"/>
      <c r="O383" s="463"/>
      <c r="AE383" s="49"/>
      <c r="AF383" s="49"/>
    </row>
    <row r="384" spans="1:32" s="41" customFormat="1" ht="11.25" customHeight="1">
      <c r="A384" s="46"/>
      <c r="B384" s="39" t="s">
        <v>1549</v>
      </c>
      <c r="C384" s="51" t="s">
        <v>3916</v>
      </c>
      <c r="E384" s="51"/>
      <c r="F384" s="3715">
        <f>'Part IV-A-Uses of Funds'!J173</f>
        <v>741000</v>
      </c>
      <c r="G384" s="3716"/>
      <c r="H384" s="51" t="s">
        <v>3917</v>
      </c>
      <c r="I384" s="51"/>
      <c r="J384" s="2128" t="str">
        <f>IF(F384&gt;'DCA Underwriting Assumptions'!$Q$131, "Request exceeds DCA per project maximum for set aside!!!","")</f>
        <v>Request exceeds DCA per project maximum for set aside!!!</v>
      </c>
      <c r="K384" s="897"/>
      <c r="L384" s="51"/>
      <c r="O384" s="463" t="s">
        <v>1549</v>
      </c>
      <c r="P384" s="2674"/>
      <c r="Q384" s="533"/>
      <c r="AE384" s="49"/>
      <c r="AF384" s="49"/>
    </row>
    <row r="385" spans="1:32" s="41" customFormat="1" ht="11.25" customHeight="1">
      <c r="A385" s="46"/>
      <c r="B385" s="39" t="s">
        <v>1550</v>
      </c>
      <c r="C385" s="51" t="s">
        <v>3919</v>
      </c>
      <c r="E385" s="51"/>
      <c r="F385" s="51"/>
      <c r="G385" s="51"/>
      <c r="H385" s="51" t="s">
        <v>4908</v>
      </c>
      <c r="I385" s="51"/>
      <c r="J385" s="3726"/>
      <c r="K385" s="3727"/>
      <c r="L385" s="3728"/>
      <c r="M385" s="3729"/>
      <c r="AE385" s="49"/>
      <c r="AF385" s="49"/>
    </row>
    <row r="386" spans="1:32" s="41" customFormat="1" ht="11.25" customHeight="1">
      <c r="B386" s="39" t="s">
        <v>98</v>
      </c>
      <c r="C386" s="51" t="s">
        <v>3921</v>
      </c>
      <c r="E386" s="133"/>
      <c r="F386" s="133"/>
      <c r="G386" s="133"/>
      <c r="H386" s="133"/>
      <c r="I386" s="133"/>
      <c r="J386" s="133"/>
      <c r="K386" s="133"/>
      <c r="L386" s="133"/>
      <c r="O386" s="463" t="s">
        <v>98</v>
      </c>
      <c r="P386" s="2674"/>
      <c r="Q386" s="533"/>
      <c r="AE386" s="49"/>
      <c r="AF386" s="49"/>
    </row>
    <row r="387" spans="1:32" s="41" customFormat="1" ht="11.25" customHeight="1">
      <c r="A387" s="46" t="s">
        <v>1985</v>
      </c>
      <c r="B387" s="615" t="s">
        <v>3922</v>
      </c>
      <c r="D387" s="133"/>
      <c r="E387" s="133"/>
      <c r="F387" s="133"/>
      <c r="G387" s="133"/>
      <c r="H387" s="133"/>
      <c r="P387" s="133"/>
      <c r="Q387" s="133"/>
      <c r="R387" s="133"/>
      <c r="AE387" s="49"/>
      <c r="AF387" s="49"/>
    </row>
    <row r="388" spans="1:32" s="41" customFormat="1" ht="11.25" customHeight="1">
      <c r="B388" s="39" t="s">
        <v>1737</v>
      </c>
      <c r="C388" s="897" t="s">
        <v>4962</v>
      </c>
      <c r="E388" s="2310"/>
      <c r="F388" s="2310"/>
      <c r="G388" s="2310"/>
      <c r="H388" s="2310"/>
      <c r="P388" s="2674"/>
      <c r="Q388" s="533"/>
      <c r="AE388" s="49"/>
      <c r="AF388" s="49"/>
    </row>
    <row r="389" spans="1:32" s="41" customFormat="1" ht="11.25" customHeight="1">
      <c r="B389" s="39"/>
      <c r="C389" s="897"/>
      <c r="E389" s="2310"/>
      <c r="F389" s="2310"/>
      <c r="G389" s="2310"/>
      <c r="H389" s="2310"/>
      <c r="J389" s="3511" t="s">
        <v>3927</v>
      </c>
      <c r="K389" s="3511"/>
      <c r="L389" s="3511"/>
      <c r="M389" s="3511"/>
      <c r="N389" s="3488" t="s">
        <v>3924</v>
      </c>
      <c r="O389" s="3488"/>
      <c r="AE389" s="49"/>
      <c r="AF389" s="49"/>
    </row>
    <row r="390" spans="1:32" s="41" customFormat="1" ht="11.25" customHeight="1">
      <c r="A390" s="2146"/>
      <c r="B390" s="39" t="s">
        <v>1738</v>
      </c>
      <c r="C390" s="897" t="s">
        <v>3923</v>
      </c>
      <c r="E390" s="133"/>
      <c r="F390" s="133"/>
      <c r="G390" s="133"/>
      <c r="H390" s="133"/>
      <c r="I390" s="463" t="s">
        <v>1738</v>
      </c>
      <c r="J390" s="3717"/>
      <c r="K390" s="3718"/>
      <c r="L390" s="3486"/>
      <c r="M390" s="3487"/>
      <c r="N390" s="1105" t="str">
        <f>IF(J390="","",J382/J390)</f>
        <v/>
      </c>
      <c r="O390" s="1106" t="str">
        <f>IF(L390="","",L382/L390)</f>
        <v/>
      </c>
      <c r="P390" s="2695"/>
      <c r="Q390" s="2147"/>
      <c r="AE390" s="49"/>
      <c r="AF390" s="49"/>
    </row>
    <row r="391" spans="1:32" s="41" customFormat="1" ht="11.25" customHeight="1">
      <c r="A391" s="2146"/>
      <c r="B391" s="39" t="s">
        <v>1739</v>
      </c>
      <c r="C391" s="51" t="s">
        <v>3926</v>
      </c>
      <c r="E391" s="133"/>
      <c r="F391" s="133"/>
      <c r="G391" s="133"/>
      <c r="H391" s="133"/>
      <c r="N391" s="133"/>
      <c r="O391" s="463" t="s">
        <v>1739</v>
      </c>
      <c r="P391" s="2696"/>
      <c r="Q391" s="1310"/>
      <c r="AE391" s="49"/>
      <c r="AF391" s="49"/>
    </row>
    <row r="392" spans="1:32" s="41" customFormat="1" ht="11.25" customHeight="1">
      <c r="B392" s="39" t="s">
        <v>2365</v>
      </c>
      <c r="C392" s="51" t="s">
        <v>3928</v>
      </c>
      <c r="E392" s="133"/>
      <c r="F392" s="133"/>
      <c r="G392" s="133"/>
      <c r="H392" s="133"/>
      <c r="M392" s="133"/>
      <c r="N392" s="133"/>
      <c r="O392" s="463" t="s">
        <v>2365</v>
      </c>
      <c r="P392" s="2673"/>
      <c r="Q392" s="536"/>
      <c r="AE392" s="49"/>
      <c r="AF392" s="49"/>
    </row>
    <row r="393" spans="1:32" ht="10.5" customHeight="1">
      <c r="B393" s="140" t="s">
        <v>3749</v>
      </c>
      <c r="D393" s="140"/>
      <c r="E393" s="140"/>
      <c r="F393" s="140"/>
      <c r="G393" s="140"/>
      <c r="H393" s="39"/>
      <c r="I393" s="2307"/>
      <c r="J393" s="2307"/>
      <c r="K393" s="2307"/>
      <c r="L393" s="2293"/>
      <c r="M393" s="2293"/>
      <c r="N393" s="2293"/>
      <c r="O393" s="2293"/>
      <c r="P393" s="2293"/>
      <c r="Q393" s="896"/>
    </row>
    <row r="394" spans="1:32" ht="31.5" customHeight="1">
      <c r="A394" s="3508" t="s">
        <v>970</v>
      </c>
      <c r="B394" s="3509"/>
      <c r="C394" s="3509"/>
      <c r="D394" s="3509"/>
      <c r="E394" s="3509"/>
      <c r="F394" s="3509"/>
      <c r="G394" s="3509"/>
      <c r="H394" s="3509"/>
      <c r="I394" s="3509"/>
      <c r="J394" s="3509"/>
      <c r="K394" s="3509"/>
      <c r="L394" s="3509"/>
      <c r="M394" s="3509"/>
      <c r="N394" s="3509"/>
      <c r="O394" s="3509"/>
      <c r="P394" s="3509"/>
      <c r="Q394" s="3510"/>
      <c r="U394" s="135"/>
      <c r="V394" s="135"/>
      <c r="W394" s="135"/>
      <c r="X394" s="135"/>
      <c r="Y394" s="135"/>
      <c r="Z394" s="135"/>
      <c r="AA394" s="135"/>
      <c r="AB394" s="135"/>
      <c r="AC394" s="135"/>
      <c r="AD394" s="135"/>
      <c r="AE394" s="465"/>
    </row>
    <row r="395" spans="1:32" ht="11.25" customHeight="1">
      <c r="B395" s="136" t="s">
        <v>1866</v>
      </c>
      <c r="C395" s="137"/>
      <c r="D395" s="2304"/>
      <c r="E395" s="2304"/>
      <c r="F395" s="2304"/>
      <c r="G395" s="2304"/>
      <c r="H395" s="2304"/>
      <c r="I395" s="2304"/>
      <c r="J395" s="2304"/>
      <c r="K395" s="2304"/>
      <c r="L395" s="2304"/>
      <c r="M395" s="2304"/>
      <c r="N395" s="2304"/>
      <c r="O395" s="2304"/>
      <c r="P395" s="2304"/>
      <c r="Q395" s="2304"/>
    </row>
    <row r="396" spans="1:32" ht="23.25" customHeight="1">
      <c r="A396" s="3489"/>
      <c r="B396" s="3490"/>
      <c r="C396" s="3490"/>
      <c r="D396" s="3490"/>
      <c r="E396" s="3490"/>
      <c r="F396" s="3490"/>
      <c r="G396" s="3490"/>
      <c r="H396" s="3490"/>
      <c r="I396" s="3490"/>
      <c r="J396" s="3490"/>
      <c r="K396" s="3490"/>
      <c r="L396" s="3490"/>
      <c r="M396" s="3490"/>
      <c r="N396" s="3490"/>
      <c r="O396" s="3490"/>
      <c r="P396" s="3490"/>
      <c r="Q396" s="3491"/>
    </row>
    <row r="397" spans="1:32" ht="3.6" customHeight="1">
      <c r="A397" s="2293"/>
      <c r="B397" s="2307"/>
      <c r="C397" s="2304"/>
      <c r="D397" s="2304"/>
      <c r="E397" s="2304"/>
      <c r="F397" s="2304"/>
      <c r="G397" s="2304"/>
      <c r="H397" s="2304"/>
      <c r="I397" s="2304"/>
      <c r="J397" s="2304"/>
      <c r="K397" s="2304"/>
      <c r="L397" s="2304"/>
      <c r="M397" s="2304"/>
      <c r="Q397" s="896"/>
    </row>
    <row r="398" spans="1:32" ht="3" customHeight="1">
      <c r="A398" s="2293"/>
      <c r="B398" s="2307"/>
      <c r="C398" s="2304"/>
      <c r="D398" s="2304"/>
      <c r="E398" s="2304"/>
      <c r="F398" s="2304"/>
      <c r="G398" s="2304"/>
      <c r="H398" s="2304"/>
      <c r="I398" s="2304"/>
      <c r="J398" s="2304"/>
      <c r="K398" s="2304"/>
      <c r="L398" s="2304"/>
      <c r="M398" s="2304"/>
      <c r="Q398" s="896"/>
    </row>
    <row r="399" spans="1:32" ht="13.95" customHeight="1">
      <c r="A399" s="2290" t="s">
        <v>4104</v>
      </c>
      <c r="B399" s="3" t="s">
        <v>2684</v>
      </c>
      <c r="C399" s="3"/>
      <c r="D399" s="3"/>
      <c r="E399" s="3"/>
      <c r="F399" s="3"/>
      <c r="G399" s="3"/>
      <c r="H399" s="2304"/>
      <c r="I399" s="2304"/>
      <c r="J399" s="2304"/>
      <c r="O399" s="131" t="s">
        <v>1867</v>
      </c>
      <c r="P399" s="3513"/>
      <c r="Q399" s="3493"/>
    </row>
    <row r="400" spans="1:32" ht="11.7" customHeight="1">
      <c r="A400" s="46" t="s">
        <v>1983</v>
      </c>
      <c r="B400" s="117" t="s">
        <v>1034</v>
      </c>
      <c r="E400" s="3524"/>
      <c r="F400" s="3525"/>
      <c r="G400" s="3525"/>
      <c r="H400" s="3525"/>
      <c r="I400" s="3526"/>
      <c r="J400" s="3527" t="s">
        <v>2671</v>
      </c>
      <c r="K400" s="3528"/>
      <c r="L400" s="3529"/>
      <c r="M400" s="3524"/>
      <c r="N400" s="3525"/>
      <c r="O400" s="3525"/>
      <c r="P400" s="3525"/>
      <c r="Q400" s="3526"/>
    </row>
    <row r="401" spans="1:31" ht="11.7" customHeight="1">
      <c r="A401" s="46" t="s">
        <v>1985</v>
      </c>
      <c r="B401" s="51" t="s">
        <v>3464</v>
      </c>
      <c r="D401" s="51"/>
      <c r="E401" s="51"/>
      <c r="F401" s="51"/>
      <c r="G401" s="51"/>
      <c r="H401" s="51"/>
      <c r="I401" s="51"/>
      <c r="J401" s="51"/>
      <c r="K401" s="51"/>
      <c r="L401" s="897"/>
      <c r="M401" s="897"/>
      <c r="O401" s="463" t="s">
        <v>1985</v>
      </c>
      <c r="P401" s="2671"/>
      <c r="Q401" s="534"/>
    </row>
    <row r="402" spans="1:31" ht="22.5" customHeight="1">
      <c r="A402" s="141" t="s">
        <v>749</v>
      </c>
      <c r="B402" s="3537" t="s">
        <v>3474</v>
      </c>
      <c r="C402" s="3537"/>
      <c r="D402" s="3537"/>
      <c r="E402" s="3537"/>
      <c r="F402" s="3537"/>
      <c r="G402" s="3537"/>
      <c r="H402" s="3537"/>
      <c r="I402" s="3537"/>
      <c r="J402" s="3537"/>
      <c r="K402" s="3537"/>
      <c r="L402" s="3537"/>
      <c r="M402" s="3537"/>
      <c r="N402" s="3537"/>
      <c r="O402" s="160" t="s">
        <v>749</v>
      </c>
      <c r="P402" s="2681"/>
      <c r="Q402" s="2299"/>
    </row>
    <row r="403" spans="1:31">
      <c r="A403" s="46" t="s">
        <v>2115</v>
      </c>
      <c r="B403" s="54" t="s">
        <v>3695</v>
      </c>
      <c r="G403" s="2310"/>
      <c r="H403" s="2310"/>
      <c r="I403" s="2310"/>
      <c r="J403" s="897" t="s">
        <v>3696</v>
      </c>
      <c r="L403" s="2310"/>
      <c r="M403" s="3697">
        <f>'Part III-Sources of Funds'!H5</f>
        <v>0</v>
      </c>
      <c r="N403" s="3698"/>
      <c r="O403" s="463" t="s">
        <v>2115</v>
      </c>
      <c r="P403" s="2673"/>
      <c r="Q403" s="536"/>
    </row>
    <row r="404" spans="1:31" ht="11.25" customHeight="1">
      <c r="B404" s="140" t="s">
        <v>3749</v>
      </c>
      <c r="D404" s="140"/>
      <c r="E404" s="140"/>
      <c r="F404" s="140"/>
      <c r="G404" s="140"/>
      <c r="H404" s="39"/>
      <c r="I404" s="2307"/>
      <c r="J404" s="2307"/>
      <c r="K404" s="2307"/>
      <c r="L404" s="2293"/>
      <c r="M404" s="2293"/>
      <c r="N404" s="2293"/>
      <c r="O404" s="2293"/>
      <c r="P404" s="2293"/>
      <c r="Q404" s="896"/>
    </row>
    <row r="405" spans="1:31" ht="11.7" customHeight="1">
      <c r="A405" s="3508" t="s">
        <v>970</v>
      </c>
      <c r="B405" s="3509"/>
      <c r="C405" s="3509"/>
      <c r="D405" s="3509"/>
      <c r="E405" s="3509"/>
      <c r="F405" s="3509"/>
      <c r="G405" s="3509"/>
      <c r="H405" s="3509"/>
      <c r="I405" s="3509"/>
      <c r="J405" s="3509"/>
      <c r="K405" s="3509"/>
      <c r="L405" s="3509"/>
      <c r="M405" s="3509"/>
      <c r="N405" s="3509"/>
      <c r="O405" s="3509"/>
      <c r="P405" s="3509"/>
      <c r="Q405" s="3510"/>
      <c r="U405" s="135"/>
      <c r="V405" s="135"/>
      <c r="W405" s="135"/>
      <c r="X405" s="135"/>
      <c r="Y405" s="135"/>
      <c r="Z405" s="135"/>
      <c r="AA405" s="135"/>
      <c r="AB405" s="135"/>
      <c r="AC405" s="135"/>
      <c r="AD405" s="135"/>
      <c r="AE405" s="465"/>
    </row>
    <row r="406" spans="1:31" ht="11.25" customHeight="1">
      <c r="B406" s="136" t="s">
        <v>1866</v>
      </c>
      <c r="C406" s="137"/>
      <c r="D406" s="2304"/>
      <c r="E406" s="2304"/>
      <c r="F406" s="2304"/>
      <c r="G406" s="2304"/>
      <c r="H406" s="2304"/>
      <c r="I406" s="2304"/>
      <c r="J406" s="2304"/>
      <c r="K406" s="2304"/>
      <c r="L406" s="2304"/>
      <c r="M406" s="2304"/>
      <c r="N406" s="2304"/>
      <c r="O406" s="2304"/>
      <c r="P406" s="2304"/>
      <c r="Q406" s="2304"/>
    </row>
    <row r="407" spans="1:31" ht="11.7" customHeight="1">
      <c r="A407" s="3489"/>
      <c r="B407" s="3490"/>
      <c r="C407" s="3490"/>
      <c r="D407" s="3490"/>
      <c r="E407" s="3490"/>
      <c r="F407" s="3490"/>
      <c r="G407" s="3490"/>
      <c r="H407" s="3490"/>
      <c r="I407" s="3490"/>
      <c r="J407" s="3490"/>
      <c r="K407" s="3490"/>
      <c r="L407" s="3490"/>
      <c r="M407" s="3490"/>
      <c r="N407" s="3490"/>
      <c r="O407" s="3490"/>
      <c r="P407" s="3490"/>
      <c r="Q407" s="3491"/>
    </row>
    <row r="408" spans="1:31" ht="3.6" customHeight="1">
      <c r="A408" s="2293"/>
      <c r="B408" s="2307"/>
      <c r="C408" s="2304"/>
      <c r="D408" s="2304"/>
      <c r="E408" s="2304"/>
      <c r="F408" s="2304"/>
      <c r="G408" s="2304"/>
      <c r="H408" s="2304"/>
      <c r="I408" s="2304"/>
      <c r="J408" s="2304"/>
      <c r="K408" s="2304"/>
      <c r="L408" s="2304"/>
      <c r="M408" s="2304"/>
      <c r="Q408" s="896"/>
    </row>
    <row r="409" spans="1:31" ht="13.95" customHeight="1">
      <c r="A409" s="2290" t="s">
        <v>4105</v>
      </c>
      <c r="B409" s="3" t="s">
        <v>2668</v>
      </c>
      <c r="C409" s="3"/>
      <c r="D409" s="3"/>
      <c r="E409" s="2304"/>
      <c r="G409" s="139" t="s">
        <v>701</v>
      </c>
      <c r="H409" s="2304"/>
      <c r="I409" s="2304"/>
      <c r="J409" s="2304"/>
      <c r="K409" s="2304"/>
      <c r="L409" s="2304"/>
      <c r="M409" s="2304"/>
      <c r="O409" s="131" t="s">
        <v>1867</v>
      </c>
      <c r="P409" s="3513"/>
      <c r="Q409" s="3514"/>
    </row>
    <row r="410" spans="1:31" ht="12" customHeight="1">
      <c r="A410" s="46" t="s">
        <v>1983</v>
      </c>
      <c r="B410" s="51" t="s">
        <v>2673</v>
      </c>
      <c r="D410" s="898"/>
      <c r="E410" s="898"/>
      <c r="H410" s="139"/>
      <c r="O410" s="463" t="s">
        <v>1983</v>
      </c>
      <c r="P410" s="2671"/>
      <c r="Q410" s="534"/>
    </row>
    <row r="411" spans="1:31" ht="12" customHeight="1">
      <c r="A411" s="46" t="s">
        <v>1985</v>
      </c>
      <c r="B411" s="51" t="s">
        <v>3582</v>
      </c>
      <c r="D411" s="898"/>
      <c r="E411" s="898"/>
      <c r="O411" s="463" t="s">
        <v>1985</v>
      </c>
      <c r="P411" s="2672"/>
      <c r="Q411" s="535"/>
    </row>
    <row r="412" spans="1:31" ht="12" customHeight="1">
      <c r="A412" s="46" t="s">
        <v>749</v>
      </c>
      <c r="B412" s="51" t="s">
        <v>4074</v>
      </c>
      <c r="D412" s="898"/>
      <c r="E412" s="898"/>
      <c r="O412" s="463" t="s">
        <v>749</v>
      </c>
      <c r="P412" s="2672"/>
      <c r="Q412" s="535"/>
    </row>
    <row r="413" spans="1:31" ht="12" customHeight="1">
      <c r="A413" s="46" t="s">
        <v>2115</v>
      </c>
      <c r="B413" s="51" t="s">
        <v>3583</v>
      </c>
      <c r="E413" s="139"/>
      <c r="O413" s="463" t="s">
        <v>2115</v>
      </c>
      <c r="P413" s="2672"/>
      <c r="Q413" s="535"/>
    </row>
    <row r="414" spans="1:31" ht="12" customHeight="1">
      <c r="A414" s="46" t="s">
        <v>1735</v>
      </c>
      <c r="B414" s="51" t="s">
        <v>2079</v>
      </c>
      <c r="E414" s="139"/>
      <c r="G414" s="463" t="s">
        <v>1735</v>
      </c>
      <c r="H414" s="3515"/>
      <c r="I414" s="3516"/>
      <c r="J414" s="3516"/>
      <c r="K414" s="3516"/>
      <c r="L414" s="3516"/>
      <c r="M414" s="3516"/>
      <c r="N414" s="3516"/>
      <c r="O414" s="3517"/>
      <c r="P414" s="2673"/>
      <c r="Q414" s="536"/>
    </row>
    <row r="415" spans="1:31" ht="11.25" customHeight="1">
      <c r="B415" s="140" t="s">
        <v>3749</v>
      </c>
      <c r="D415" s="140"/>
      <c r="E415" s="140"/>
      <c r="F415" s="140"/>
      <c r="G415" s="140"/>
      <c r="H415" s="39"/>
      <c r="I415" s="2307"/>
      <c r="J415" s="2307"/>
      <c r="K415" s="2307"/>
      <c r="L415" s="2293"/>
      <c r="M415" s="2293"/>
      <c r="N415" s="2293"/>
      <c r="O415" s="2293"/>
      <c r="P415" s="2293"/>
      <c r="Q415" s="896"/>
    </row>
    <row r="416" spans="1:31" ht="11.7" customHeight="1">
      <c r="A416" s="3508" t="s">
        <v>970</v>
      </c>
      <c r="B416" s="3509"/>
      <c r="C416" s="3509"/>
      <c r="D416" s="3509"/>
      <c r="E416" s="3509"/>
      <c r="F416" s="3509"/>
      <c r="G416" s="3509"/>
      <c r="H416" s="3509"/>
      <c r="I416" s="3509"/>
      <c r="J416" s="3509"/>
      <c r="K416" s="3509"/>
      <c r="L416" s="3509"/>
      <c r="M416" s="3509"/>
      <c r="N416" s="3509"/>
      <c r="O416" s="3509"/>
      <c r="P416" s="3509"/>
      <c r="Q416" s="3510"/>
      <c r="U416" s="135"/>
      <c r="V416" s="135"/>
      <c r="W416" s="135"/>
      <c r="X416" s="135"/>
      <c r="Y416" s="135"/>
      <c r="Z416" s="135"/>
      <c r="AA416" s="135"/>
      <c r="AB416" s="135"/>
      <c r="AC416" s="135"/>
      <c r="AD416" s="135"/>
      <c r="AE416" s="465"/>
    </row>
    <row r="417" spans="1:32" ht="11.25" customHeight="1">
      <c r="B417" s="136" t="s">
        <v>1866</v>
      </c>
      <c r="C417" s="137"/>
      <c r="D417" s="2304"/>
      <c r="E417" s="2304"/>
      <c r="F417" s="2304"/>
      <c r="G417" s="2304"/>
      <c r="H417" s="2304"/>
      <c r="I417" s="2304"/>
      <c r="J417" s="2304"/>
      <c r="K417" s="2304"/>
      <c r="L417" s="2304"/>
      <c r="M417" s="2304"/>
      <c r="N417" s="2304"/>
      <c r="O417" s="2304"/>
      <c r="P417" s="2304"/>
      <c r="Q417" s="2304"/>
    </row>
    <row r="418" spans="1:32" ht="11.7" customHeight="1">
      <c r="A418" s="3489"/>
      <c r="B418" s="3490"/>
      <c r="C418" s="3490"/>
      <c r="D418" s="3490"/>
      <c r="E418" s="3490"/>
      <c r="F418" s="3490"/>
      <c r="G418" s="3490"/>
      <c r="H418" s="3490"/>
      <c r="I418" s="3490"/>
      <c r="J418" s="3490"/>
      <c r="K418" s="3490"/>
      <c r="L418" s="3490"/>
      <c r="M418" s="3490"/>
      <c r="N418" s="3490"/>
      <c r="O418" s="3490"/>
      <c r="P418" s="3490"/>
      <c r="Q418" s="3491"/>
    </row>
    <row r="419" spans="1:32" ht="3" customHeight="1">
      <c r="A419" s="2293"/>
      <c r="B419" s="2307"/>
      <c r="C419" s="2304"/>
      <c r="D419" s="2304"/>
      <c r="E419" s="2304"/>
      <c r="F419" s="2304"/>
      <c r="G419" s="2304"/>
      <c r="H419" s="2304"/>
      <c r="I419" s="2304"/>
      <c r="J419" s="2304"/>
      <c r="K419" s="2304"/>
      <c r="L419" s="2304"/>
      <c r="M419" s="2304"/>
      <c r="N419" s="2304"/>
      <c r="O419" s="2304"/>
      <c r="P419" s="2304"/>
      <c r="Q419" s="2293"/>
    </row>
    <row r="420" spans="1:32" ht="13.95" customHeight="1">
      <c r="A420" s="2290" t="s">
        <v>4106</v>
      </c>
      <c r="B420" s="3" t="s">
        <v>2669</v>
      </c>
      <c r="C420" s="3"/>
      <c r="D420" s="3"/>
      <c r="E420" s="3"/>
      <c r="F420" s="3"/>
      <c r="G420" s="3"/>
      <c r="H420" s="2304"/>
      <c r="I420" s="2304"/>
      <c r="J420" s="2304"/>
      <c r="K420" s="2304"/>
      <c r="L420" s="2304"/>
      <c r="M420" s="2304"/>
      <c r="O420" s="131" t="s">
        <v>1867</v>
      </c>
      <c r="P420" s="3513"/>
      <c r="Q420" s="3514"/>
    </row>
    <row r="421" spans="1:32" ht="12" customHeight="1">
      <c r="A421" s="46" t="s">
        <v>1983</v>
      </c>
      <c r="B421" s="38" t="s">
        <v>752</v>
      </c>
      <c r="D421" s="41"/>
      <c r="E421" s="41"/>
      <c r="F421" s="41"/>
      <c r="G421" s="41"/>
      <c r="H421" s="41"/>
      <c r="I421" s="41"/>
      <c r="J421" s="41"/>
      <c r="K421" s="41"/>
      <c r="L421" s="41"/>
      <c r="M421" s="41"/>
      <c r="N421" s="41"/>
      <c r="O421" s="463" t="s">
        <v>1983</v>
      </c>
      <c r="P421" s="2671" t="s">
        <v>2993</v>
      </c>
      <c r="Q421" s="534"/>
    </row>
    <row r="422" spans="1:32" ht="12" customHeight="1">
      <c r="A422" s="46" t="s">
        <v>1985</v>
      </c>
      <c r="B422" s="35" t="s">
        <v>3476</v>
      </c>
      <c r="D422" s="41"/>
      <c r="E422" s="41"/>
      <c r="F422" s="41"/>
      <c r="G422" s="41"/>
      <c r="H422" s="41"/>
      <c r="I422" s="41"/>
      <c r="J422" s="41"/>
      <c r="K422" s="41"/>
      <c r="L422" s="41"/>
      <c r="M422" s="41"/>
      <c r="N422" s="41"/>
      <c r="O422" s="463" t="s">
        <v>1446</v>
      </c>
      <c r="P422" s="2673"/>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71"/>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72"/>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72"/>
      <c r="Q426" s="535"/>
    </row>
    <row r="427" spans="1:32" ht="12" customHeight="1">
      <c r="A427" s="46" t="s">
        <v>2115</v>
      </c>
      <c r="B427" s="3537" t="s">
        <v>2815</v>
      </c>
      <c r="C427" s="3537"/>
      <c r="D427" s="3537"/>
      <c r="E427" s="3537"/>
      <c r="F427" s="897"/>
      <c r="G427" s="134" t="s">
        <v>2202</v>
      </c>
      <c r="J427" s="2697"/>
      <c r="K427" s="540"/>
      <c r="M427" s="134" t="s">
        <v>2205</v>
      </c>
      <c r="P427" s="2698"/>
      <c r="Q427" s="541"/>
    </row>
    <row r="428" spans="1:32" ht="12" customHeight="1">
      <c r="A428" s="46"/>
      <c r="B428" s="3537"/>
      <c r="C428" s="3537"/>
      <c r="D428" s="3537"/>
      <c r="E428" s="3537"/>
      <c r="F428" s="897"/>
      <c r="G428" s="134" t="s">
        <v>2203</v>
      </c>
      <c r="J428" s="2698"/>
      <c r="K428" s="541"/>
      <c r="M428" s="134" t="s">
        <v>2206</v>
      </c>
      <c r="P428" s="2699"/>
      <c r="Q428" s="542"/>
    </row>
    <row r="429" spans="1:32" ht="12" customHeight="1">
      <c r="A429" s="46"/>
      <c r="B429" s="3537"/>
      <c r="C429" s="3537"/>
      <c r="D429" s="3537"/>
      <c r="E429" s="3537"/>
      <c r="F429" s="897"/>
      <c r="G429" s="134" t="s">
        <v>2204</v>
      </c>
      <c r="J429" s="2699"/>
      <c r="K429" s="542"/>
      <c r="L429" s="897"/>
      <c r="M429" s="41"/>
      <c r="N429" s="463"/>
    </row>
    <row r="430" spans="1:32" ht="12" customHeight="1">
      <c r="A430" s="46" t="s">
        <v>1735</v>
      </c>
      <c r="B430" s="897" t="s">
        <v>4923</v>
      </c>
      <c r="C430" s="897"/>
      <c r="E430" s="897"/>
      <c r="F430" s="897"/>
      <c r="G430" s="897"/>
      <c r="J430" s="41"/>
      <c r="K430" s="897"/>
      <c r="L430" s="897"/>
      <c r="M430" s="41"/>
      <c r="N430" s="463"/>
      <c r="P430" s="463"/>
      <c r="Q430" s="463"/>
    </row>
    <row r="431" spans="1:32" ht="12" customHeight="1">
      <c r="A431" s="46"/>
      <c r="B431" s="431" t="s">
        <v>1737</v>
      </c>
      <c r="C431" s="897" t="s">
        <v>4774</v>
      </c>
      <c r="E431" s="897"/>
      <c r="G431" s="431" t="s">
        <v>4769</v>
      </c>
      <c r="H431" s="897"/>
      <c r="I431" s="897"/>
      <c r="J431" s="2671"/>
      <c r="K431" s="534"/>
      <c r="L431" s="897"/>
      <c r="M431" s="431" t="s">
        <v>4772</v>
      </c>
    </row>
    <row r="432" spans="1:32" ht="12" customHeight="1">
      <c r="A432" s="41"/>
      <c r="G432" s="431" t="s">
        <v>4770</v>
      </c>
      <c r="H432" s="897"/>
      <c r="I432" s="897"/>
      <c r="J432" s="2672"/>
      <c r="K432" s="535"/>
      <c r="M432" s="3502"/>
      <c r="N432" s="3503"/>
      <c r="O432" s="3503"/>
      <c r="P432" s="3503"/>
      <c r="Q432" s="3504"/>
    </row>
    <row r="433" spans="1:32" ht="12" customHeight="1">
      <c r="A433" s="41"/>
      <c r="G433" s="431" t="s">
        <v>4771</v>
      </c>
      <c r="H433" s="897"/>
      <c r="J433" s="2673"/>
      <c r="K433" s="536"/>
      <c r="M433" s="3505"/>
      <c r="N433" s="3506"/>
      <c r="O433" s="3506"/>
      <c r="P433" s="3506"/>
      <c r="Q433" s="3507"/>
    </row>
    <row r="434" spans="1:32" ht="12" customHeight="1">
      <c r="A434" s="46"/>
      <c r="B434" s="431" t="s">
        <v>1738</v>
      </c>
      <c r="C434" s="897" t="s">
        <v>4773</v>
      </c>
      <c r="D434" s="147"/>
      <c r="E434" s="897"/>
      <c r="F434" s="897"/>
      <c r="L434" s="897"/>
      <c r="M434" s="897"/>
      <c r="O434" s="463" t="s">
        <v>1738</v>
      </c>
      <c r="P434" s="2674" t="s">
        <v>1771</v>
      </c>
      <c r="Q434" s="533" t="s">
        <v>1771</v>
      </c>
    </row>
    <row r="435" spans="1:32" ht="12" customHeight="1">
      <c r="A435" s="41"/>
      <c r="B435" s="147"/>
      <c r="C435" s="431" t="s">
        <v>2435</v>
      </c>
      <c r="D435" s="431" t="s">
        <v>4781</v>
      </c>
      <c r="E435" s="897"/>
      <c r="F435" s="897"/>
      <c r="G435" s="3518"/>
      <c r="H435" s="3519"/>
      <c r="I435" s="3519"/>
      <c r="J435" s="3519"/>
      <c r="K435" s="3520"/>
      <c r="L435" s="2094"/>
    </row>
    <row r="436" spans="1:32" ht="12" customHeight="1">
      <c r="A436" s="41"/>
      <c r="B436" s="147"/>
      <c r="C436" s="431" t="s">
        <v>2436</v>
      </c>
      <c r="D436" s="431" t="s">
        <v>4782</v>
      </c>
      <c r="E436" s="897"/>
      <c r="F436" s="2094"/>
      <c r="G436" s="3521" t="s">
        <v>3698</v>
      </c>
      <c r="H436" s="3522"/>
      <c r="I436" s="3523"/>
      <c r="J436" s="431" t="s">
        <v>4783</v>
      </c>
      <c r="K436" s="147"/>
      <c r="M436" s="3518"/>
      <c r="N436" s="3519"/>
      <c r="O436" s="3519"/>
      <c r="P436" s="3519"/>
      <c r="Q436" s="3520"/>
    </row>
    <row r="437" spans="1:32" ht="12" customHeight="1">
      <c r="A437" s="41"/>
      <c r="B437" s="147"/>
      <c r="C437" s="431" t="s">
        <v>4985</v>
      </c>
      <c r="D437" s="147"/>
      <c r="E437" s="897"/>
      <c r="F437" s="897"/>
      <c r="G437" s="897"/>
      <c r="H437" s="897"/>
      <c r="I437" s="897"/>
      <c r="J437" s="897"/>
      <c r="K437" s="897"/>
      <c r="L437" s="897"/>
      <c r="M437" s="897"/>
      <c r="N437" s="897"/>
      <c r="O437" s="897"/>
      <c r="P437" s="897"/>
      <c r="Q437" s="897"/>
    </row>
    <row r="438" spans="1:32" ht="51" customHeight="1">
      <c r="B438" s="3530"/>
      <c r="C438" s="3531"/>
      <c r="D438" s="3531"/>
      <c r="E438" s="3531"/>
      <c r="F438" s="3531"/>
      <c r="G438" s="3531"/>
      <c r="H438" s="3531"/>
      <c r="I438" s="3531"/>
      <c r="J438" s="3531"/>
      <c r="K438" s="3531"/>
      <c r="L438" s="3531"/>
      <c r="M438" s="3531"/>
      <c r="N438" s="3531"/>
      <c r="O438" s="3531"/>
      <c r="P438" s="3531"/>
      <c r="Q438" s="3532"/>
      <c r="R438" s="445" t="s">
        <v>4775</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307"/>
      <c r="J439" s="2307"/>
      <c r="K439" s="2307"/>
    </row>
    <row r="440" spans="1:32" ht="12" customHeight="1">
      <c r="A440" s="3508" t="s">
        <v>970</v>
      </c>
      <c r="B440" s="3509"/>
      <c r="C440" s="3509"/>
      <c r="D440" s="3509"/>
      <c r="E440" s="3509"/>
      <c r="F440" s="3509"/>
      <c r="G440" s="3509"/>
      <c r="H440" s="3509"/>
      <c r="I440" s="3509"/>
      <c r="J440" s="3509"/>
      <c r="K440" s="3509"/>
      <c r="L440" s="3509"/>
      <c r="M440" s="3509"/>
      <c r="N440" s="3509"/>
      <c r="O440" s="3509"/>
      <c r="P440" s="3509"/>
      <c r="Q440" s="3510"/>
      <c r="U440" s="135"/>
      <c r="V440" s="135"/>
      <c r="W440" s="135"/>
      <c r="X440" s="135"/>
      <c r="Y440" s="135"/>
      <c r="Z440" s="135"/>
      <c r="AA440" s="135"/>
      <c r="AB440" s="135"/>
      <c r="AC440" s="135"/>
      <c r="AD440" s="135"/>
      <c r="AE440" s="465"/>
    </row>
    <row r="441" spans="1:32" ht="12" customHeight="1">
      <c r="B441" s="136" t="s">
        <v>1866</v>
      </c>
      <c r="C441" s="137"/>
      <c r="D441" s="2304"/>
      <c r="E441" s="2304"/>
      <c r="F441" s="2304"/>
      <c r="G441" s="2304"/>
      <c r="H441" s="2304"/>
      <c r="I441" s="2304"/>
      <c r="J441" s="2304"/>
      <c r="K441" s="2304"/>
      <c r="L441" s="2304"/>
      <c r="M441" s="2304"/>
      <c r="N441" s="2304"/>
      <c r="O441" s="2304"/>
      <c r="P441" s="2304"/>
      <c r="Q441" s="2304"/>
    </row>
    <row r="442" spans="1:32" ht="12" customHeight="1">
      <c r="A442" s="3489"/>
      <c r="B442" s="3490"/>
      <c r="C442" s="3490"/>
      <c r="D442" s="3490"/>
      <c r="E442" s="3490"/>
      <c r="F442" s="3490"/>
      <c r="G442" s="3490"/>
      <c r="H442" s="3490"/>
      <c r="I442" s="3490"/>
      <c r="J442" s="3490"/>
      <c r="K442" s="3490"/>
      <c r="L442" s="3490"/>
      <c r="M442" s="3490"/>
      <c r="N442" s="3490"/>
      <c r="O442" s="3490"/>
      <c r="P442" s="3490"/>
      <c r="Q442" s="3491"/>
    </row>
    <row r="443" spans="1:32" ht="3" customHeight="1">
      <c r="A443" s="2293"/>
      <c r="B443" s="2307"/>
      <c r="C443" s="2304"/>
      <c r="D443" s="2304"/>
      <c r="E443" s="2304"/>
      <c r="F443" s="2304"/>
      <c r="G443" s="2304"/>
      <c r="H443" s="2304"/>
      <c r="I443" s="2304"/>
      <c r="J443" s="2304"/>
      <c r="K443" s="2304"/>
      <c r="L443" s="2304"/>
      <c r="M443" s="2304"/>
      <c r="Q443" s="896"/>
    </row>
    <row r="444" spans="1:32" ht="13.95" customHeight="1">
      <c r="A444" s="2290" t="s">
        <v>4107</v>
      </c>
      <c r="B444" s="3" t="s">
        <v>2816</v>
      </c>
      <c r="C444" s="3"/>
      <c r="D444" s="86"/>
      <c r="E444" s="2304"/>
      <c r="F444" s="2304"/>
      <c r="G444" s="2304"/>
      <c r="H444" s="2304"/>
      <c r="O444" s="131" t="s">
        <v>1867</v>
      </c>
      <c r="P444" s="3513"/>
      <c r="Q444" s="3493"/>
    </row>
    <row r="445" spans="1:32" ht="13.95" customHeight="1">
      <c r="B445" s="86" t="s">
        <v>5042</v>
      </c>
      <c r="C445" s="3"/>
      <c r="D445" s="86"/>
      <c r="E445" s="2304"/>
      <c r="F445" s="2304"/>
      <c r="G445" s="2304"/>
      <c r="H445" s="2304"/>
    </row>
    <row r="446" spans="1:32" s="132" customFormat="1" ht="21.75" customHeight="1">
      <c r="A446" s="141" t="s">
        <v>1983</v>
      </c>
      <c r="B446" s="3497" t="s">
        <v>3932</v>
      </c>
      <c r="C446" s="3497"/>
      <c r="D446" s="3497"/>
      <c r="E446" s="3497"/>
      <c r="F446" s="3497"/>
      <c r="G446" s="3497"/>
      <c r="H446" s="3497"/>
      <c r="I446" s="3497"/>
      <c r="J446" s="3497"/>
      <c r="K446" s="3497"/>
      <c r="L446" s="3497"/>
      <c r="M446" s="3497"/>
      <c r="N446" s="3497"/>
      <c r="O446" s="160" t="s">
        <v>1983</v>
      </c>
      <c r="P446" s="2683" t="s">
        <v>5151</v>
      </c>
      <c r="Q446" s="1149"/>
      <c r="AE446" s="466"/>
      <c r="AF446" s="466"/>
    </row>
    <row r="447" spans="1:32" s="132" customFormat="1" ht="22.5" customHeight="1">
      <c r="A447" s="141" t="s">
        <v>1985</v>
      </c>
      <c r="B447" s="3497" t="s">
        <v>3930</v>
      </c>
      <c r="C447" s="3497"/>
      <c r="D447" s="3497"/>
      <c r="E447" s="3497"/>
      <c r="F447" s="3497"/>
      <c r="G447" s="3497"/>
      <c r="H447" s="3497"/>
      <c r="I447" s="3497"/>
      <c r="J447" s="3497"/>
      <c r="K447" s="3497"/>
      <c r="L447" s="3497"/>
      <c r="M447" s="3497"/>
      <c r="N447" s="3497"/>
      <c r="O447" s="160" t="s">
        <v>1985</v>
      </c>
      <c r="P447" s="2681" t="s">
        <v>5151</v>
      </c>
      <c r="Q447" s="2299"/>
      <c r="AE447" s="466"/>
      <c r="AF447" s="466"/>
    </row>
    <row r="448" spans="1:32" s="132" customFormat="1" ht="22.5" customHeight="1">
      <c r="B448" s="2162" t="s">
        <v>1737</v>
      </c>
      <c r="C448" s="3497" t="s">
        <v>4986</v>
      </c>
      <c r="D448" s="3497"/>
      <c r="E448" s="3497"/>
      <c r="F448" s="3497"/>
      <c r="G448" s="3497"/>
      <c r="H448" s="3497"/>
      <c r="I448" s="3497"/>
      <c r="J448" s="3497"/>
      <c r="K448" s="3497"/>
      <c r="L448" s="3497"/>
      <c r="M448" s="3497"/>
      <c r="N448" s="3497"/>
      <c r="O448" s="160" t="s">
        <v>1737</v>
      </c>
      <c r="P448" s="2681" t="s">
        <v>5151</v>
      </c>
      <c r="Q448" s="2299"/>
      <c r="AE448" s="466"/>
      <c r="AF448" s="466"/>
    </row>
    <row r="449" spans="1:32" s="41" customFormat="1" ht="12" customHeight="1">
      <c r="B449" s="2162" t="s">
        <v>1738</v>
      </c>
      <c r="C449" s="35" t="s">
        <v>4987</v>
      </c>
      <c r="D449" s="1115"/>
      <c r="E449" s="1115"/>
      <c r="F449" s="1115"/>
      <c r="G449" s="1115"/>
      <c r="H449" s="1115"/>
      <c r="I449" s="1115"/>
      <c r="J449" s="1115"/>
      <c r="K449" s="1115"/>
      <c r="L449" s="1115"/>
      <c r="M449" s="1115"/>
      <c r="N449" s="1115"/>
      <c r="O449" s="463" t="s">
        <v>1738</v>
      </c>
      <c r="P449" s="2672" t="s">
        <v>5151</v>
      </c>
      <c r="Q449" s="535"/>
      <c r="AE449" s="49"/>
      <c r="AF449" s="49"/>
    </row>
    <row r="450" spans="1:32" s="132" customFormat="1" ht="33" customHeight="1">
      <c r="B450" s="477" t="s">
        <v>1739</v>
      </c>
      <c r="C450" s="3497" t="s">
        <v>4988</v>
      </c>
      <c r="D450" s="3497"/>
      <c r="E450" s="3497"/>
      <c r="F450" s="3497"/>
      <c r="G450" s="3497"/>
      <c r="H450" s="3497"/>
      <c r="I450" s="3497"/>
      <c r="J450" s="3497"/>
      <c r="K450" s="3497"/>
      <c r="L450" s="3497"/>
      <c r="M450" s="3497"/>
      <c r="N450" s="3497"/>
      <c r="O450" s="160" t="s">
        <v>1739</v>
      </c>
      <c r="P450" s="2681" t="s">
        <v>5151</v>
      </c>
      <c r="Q450" s="2299"/>
      <c r="AE450" s="466"/>
      <c r="AF450" s="466"/>
    </row>
    <row r="451" spans="1:32" s="132" customFormat="1" ht="22.5" customHeight="1">
      <c r="B451" s="477" t="s">
        <v>2365</v>
      </c>
      <c r="C451" s="3497" t="s">
        <v>4989</v>
      </c>
      <c r="D451" s="3497"/>
      <c r="E451" s="3497"/>
      <c r="F451" s="3497"/>
      <c r="G451" s="3497"/>
      <c r="H451" s="3497"/>
      <c r="I451" s="3497"/>
      <c r="J451" s="3497"/>
      <c r="K451" s="3497"/>
      <c r="L451" s="3497"/>
      <c r="M451" s="3497"/>
      <c r="N451" s="3497"/>
      <c r="O451" s="160" t="s">
        <v>2365</v>
      </c>
      <c r="P451" s="2681" t="s">
        <v>5151</v>
      </c>
      <c r="Q451" s="2299"/>
      <c r="AE451" s="466"/>
      <c r="AF451" s="466"/>
    </row>
    <row r="452" spans="1:32" s="132" customFormat="1" ht="22.5" customHeight="1">
      <c r="A452" s="141" t="s">
        <v>749</v>
      </c>
      <c r="B452" s="3497" t="s">
        <v>3936</v>
      </c>
      <c r="C452" s="3497"/>
      <c r="D452" s="3497"/>
      <c r="E452" s="3497"/>
      <c r="F452" s="3497"/>
      <c r="G452" s="3497"/>
      <c r="H452" s="3497"/>
      <c r="I452" s="3497"/>
      <c r="J452" s="3497"/>
      <c r="K452" s="3497"/>
      <c r="L452" s="3497"/>
      <c r="M452" s="3497"/>
      <c r="N452" s="3497"/>
      <c r="O452" s="160" t="s">
        <v>749</v>
      </c>
      <c r="P452" s="2681" t="s">
        <v>5151</v>
      </c>
      <c r="Q452" s="2299"/>
      <c r="AE452" s="466"/>
      <c r="AF452" s="466"/>
    </row>
    <row r="453" spans="1:32" s="132" customFormat="1" ht="22.5" customHeight="1">
      <c r="A453" s="141" t="s">
        <v>2115</v>
      </c>
      <c r="B453" s="3497" t="s">
        <v>3937</v>
      </c>
      <c r="C453" s="3497"/>
      <c r="D453" s="3497"/>
      <c r="E453" s="3497"/>
      <c r="F453" s="3497"/>
      <c r="G453" s="3497"/>
      <c r="H453" s="3497"/>
      <c r="I453" s="3497"/>
      <c r="J453" s="3497"/>
      <c r="K453" s="3497"/>
      <c r="L453" s="3497"/>
      <c r="M453" s="3497"/>
      <c r="N453" s="3497"/>
      <c r="O453" s="160" t="s">
        <v>2115</v>
      </c>
      <c r="P453" s="2681" t="s">
        <v>5151</v>
      </c>
      <c r="Q453" s="2299"/>
      <c r="AE453" s="466"/>
      <c r="AF453" s="466"/>
    </row>
    <row r="454" spans="1:32" s="132" customFormat="1" ht="21.75" customHeight="1">
      <c r="A454" s="141" t="s">
        <v>1735</v>
      </c>
      <c r="B454" s="3497" t="s">
        <v>3938</v>
      </c>
      <c r="C454" s="3497"/>
      <c r="D454" s="3497"/>
      <c r="E454" s="3497"/>
      <c r="F454" s="3497"/>
      <c r="G454" s="3497"/>
      <c r="H454" s="3497"/>
      <c r="I454" s="3497"/>
      <c r="J454" s="3497"/>
      <c r="K454" s="3497"/>
      <c r="L454" s="3497"/>
      <c r="M454" s="3497"/>
      <c r="N454" s="3497"/>
      <c r="O454" s="160" t="s">
        <v>1735</v>
      </c>
      <c r="P454" s="2681" t="s">
        <v>5151</v>
      </c>
      <c r="Q454" s="2299"/>
      <c r="AE454" s="466"/>
      <c r="AF454" s="466"/>
    </row>
    <row r="455" spans="1:32" s="414" customFormat="1" ht="21.75" customHeight="1">
      <c r="A455" s="141" t="s">
        <v>1736</v>
      </c>
      <c r="B455" s="3497" t="s">
        <v>3477</v>
      </c>
      <c r="C455" s="3497"/>
      <c r="D455" s="3497"/>
      <c r="E455" s="3497"/>
      <c r="F455" s="3497"/>
      <c r="G455" s="3497"/>
      <c r="H455" s="3497"/>
      <c r="I455" s="3497"/>
      <c r="J455" s="3497"/>
      <c r="K455" s="3497"/>
      <c r="L455" s="3497"/>
      <c r="M455" s="3497"/>
      <c r="N455" s="3497"/>
      <c r="O455" s="160" t="s">
        <v>1736</v>
      </c>
      <c r="P455" s="2684" t="s">
        <v>5151</v>
      </c>
      <c r="Q455" s="2303"/>
      <c r="AE455" s="468"/>
      <c r="AF455" s="468"/>
    </row>
    <row r="456" spans="1:32" ht="11.25" customHeight="1">
      <c r="B456" s="140" t="s">
        <v>3749</v>
      </c>
      <c r="D456" s="140"/>
      <c r="E456" s="140"/>
      <c r="F456" s="140"/>
      <c r="G456" s="140"/>
      <c r="H456" s="39"/>
      <c r="I456" s="2307"/>
      <c r="J456" s="2307"/>
      <c r="K456" s="2307"/>
      <c r="L456" s="2293"/>
      <c r="M456" s="2293"/>
      <c r="N456" s="2293"/>
      <c r="O456" s="2293"/>
      <c r="P456" s="2293"/>
      <c r="Q456" s="896"/>
    </row>
    <row r="457" spans="1:32" ht="22.5" customHeight="1">
      <c r="A457" s="3508" t="s">
        <v>5196</v>
      </c>
      <c r="B457" s="3509"/>
      <c r="C457" s="3509"/>
      <c r="D457" s="3509"/>
      <c r="E457" s="3509"/>
      <c r="F457" s="3509"/>
      <c r="G457" s="3509"/>
      <c r="H457" s="3509"/>
      <c r="I457" s="3509"/>
      <c r="J457" s="3509"/>
      <c r="K457" s="3509"/>
      <c r="L457" s="3509"/>
      <c r="M457" s="3509"/>
      <c r="N457" s="3509"/>
      <c r="O457" s="3509"/>
      <c r="P457" s="3509"/>
      <c r="Q457" s="3510"/>
      <c r="R457" s="445" t="s">
        <v>1254</v>
      </c>
      <c r="S457" s="446"/>
      <c r="U457" s="135"/>
      <c r="V457" s="135"/>
      <c r="W457" s="135"/>
      <c r="X457" s="135"/>
      <c r="Y457" s="135"/>
      <c r="Z457" s="135"/>
      <c r="AA457" s="135"/>
      <c r="AB457" s="135"/>
      <c r="AC457" s="135"/>
      <c r="AD457" s="135"/>
      <c r="AE457" s="465"/>
    </row>
    <row r="458" spans="1:32" ht="11.25" customHeight="1">
      <c r="B458" s="136" t="s">
        <v>1866</v>
      </c>
      <c r="C458" s="137"/>
      <c r="D458" s="2304"/>
      <c r="E458" s="2304"/>
      <c r="F458" s="2304"/>
      <c r="G458" s="2304"/>
      <c r="H458" s="2304"/>
      <c r="I458" s="2304"/>
      <c r="J458" s="2304"/>
      <c r="K458" s="2304"/>
      <c r="L458" s="2304"/>
      <c r="M458" s="2304"/>
      <c r="N458" s="2304"/>
      <c r="O458" s="2304"/>
      <c r="P458" s="2304"/>
      <c r="Q458" s="2304"/>
    </row>
    <row r="459" spans="1:32" ht="22.5" customHeight="1">
      <c r="A459" s="3489"/>
      <c r="B459" s="3490"/>
      <c r="C459" s="3490"/>
      <c r="D459" s="3490"/>
      <c r="E459" s="3490"/>
      <c r="F459" s="3490"/>
      <c r="G459" s="3490"/>
      <c r="H459" s="3490"/>
      <c r="I459" s="3490"/>
      <c r="J459" s="3490"/>
      <c r="K459" s="3490"/>
      <c r="L459" s="3490"/>
      <c r="M459" s="3490"/>
      <c r="N459" s="3490"/>
      <c r="O459" s="3490"/>
      <c r="P459" s="3490"/>
      <c r="Q459" s="3491"/>
    </row>
    <row r="460" spans="1:32" ht="3" customHeight="1">
      <c r="A460" s="2293"/>
      <c r="B460" s="2307"/>
      <c r="C460" s="2304"/>
      <c r="D460" s="2304"/>
      <c r="E460" s="2304"/>
      <c r="F460" s="2304"/>
      <c r="G460" s="2304"/>
      <c r="H460" s="2304"/>
      <c r="I460" s="2304"/>
      <c r="J460" s="2304"/>
      <c r="K460" s="2304"/>
      <c r="L460" s="2304"/>
      <c r="M460" s="2304"/>
      <c r="Q460" s="896"/>
    </row>
    <row r="461" spans="1:32" s="42" customFormat="1" ht="12.75" customHeight="1">
      <c r="A461" s="2290" t="s">
        <v>4784</v>
      </c>
      <c r="C461" s="9" t="s">
        <v>2719</v>
      </c>
      <c r="D461" s="57"/>
      <c r="E461" s="51"/>
      <c r="J461" s="60"/>
      <c r="M461" s="2292"/>
      <c r="N461" s="5"/>
      <c r="O461" s="131" t="s">
        <v>1867</v>
      </c>
      <c r="P461" s="3513"/>
      <c r="Q461" s="3493"/>
    </row>
    <row r="462" spans="1:32" s="147" customFormat="1" ht="12" customHeight="1">
      <c r="A462" s="620"/>
      <c r="B462" s="620" t="s">
        <v>4792</v>
      </c>
      <c r="C462" s="620"/>
      <c r="D462" s="620"/>
      <c r="E462" s="620"/>
      <c r="F462" s="620"/>
      <c r="G462" s="620"/>
      <c r="H462" s="620"/>
      <c r="I462" s="620"/>
      <c r="J462" s="620"/>
      <c r="K462" s="620"/>
      <c r="L462" s="620"/>
      <c r="M462" s="620"/>
      <c r="N462" s="620"/>
      <c r="O462" s="620"/>
      <c r="P462" s="2671" t="s">
        <v>2993</v>
      </c>
      <c r="Q462" s="534"/>
      <c r="AE462" s="467"/>
      <c r="AF462" s="467"/>
    </row>
    <row r="463" spans="1:32" s="147" customFormat="1" ht="12" customHeight="1">
      <c r="A463" s="620"/>
      <c r="B463" s="620" t="s">
        <v>4793</v>
      </c>
      <c r="C463" s="620"/>
      <c r="D463" s="620"/>
      <c r="E463" s="620"/>
      <c r="F463" s="620"/>
      <c r="G463" s="620"/>
      <c r="H463" s="620"/>
      <c r="I463" s="620"/>
      <c r="J463" s="620"/>
      <c r="K463" s="620"/>
      <c r="L463" s="620"/>
      <c r="M463" s="620"/>
      <c r="N463" s="620"/>
      <c r="O463" s="620"/>
      <c r="P463" s="2673"/>
      <c r="Q463" s="536"/>
      <c r="AE463" s="467"/>
      <c r="AF463" s="467"/>
    </row>
    <row r="464" spans="1:32" s="42" customFormat="1" ht="12" customHeight="1" thickBot="1">
      <c r="A464" s="46" t="s">
        <v>1983</v>
      </c>
      <c r="B464" s="86" t="s">
        <v>4785</v>
      </c>
      <c r="D464" s="32"/>
      <c r="E464" s="32"/>
      <c r="F464" s="32"/>
      <c r="O464" s="463" t="s">
        <v>1983</v>
      </c>
    </row>
    <row r="465" spans="1:31" s="412" customFormat="1" ht="15" customHeight="1" thickBot="1">
      <c r="A465" s="141"/>
      <c r="B465" s="440" t="s">
        <v>1986</v>
      </c>
      <c r="C465" s="3497" t="s">
        <v>4910</v>
      </c>
      <c r="D465" s="3497"/>
      <c r="E465" s="3497"/>
      <c r="F465" s="3497"/>
      <c r="G465" s="3497"/>
      <c r="H465" s="3497"/>
      <c r="I465" s="3497"/>
      <c r="J465" s="3497"/>
      <c r="K465" s="3488" t="s">
        <v>5037</v>
      </c>
      <c r="L465" s="2199" t="s">
        <v>4787</v>
      </c>
      <c r="M465" s="2205"/>
      <c r="N465" s="2200">
        <f>ROUNDUP('Part VI-Revenues &amp; Expenses'!$O$63*0.1,0)</f>
        <v>5</v>
      </c>
      <c r="O465" s="390" t="s">
        <v>1986</v>
      </c>
      <c r="P465" s="3500" t="s">
        <v>5151</v>
      </c>
      <c r="Q465" s="3498"/>
      <c r="R465" s="2197"/>
      <c r="S465" s="2197"/>
    </row>
    <row r="466" spans="1:31" s="412" customFormat="1" ht="15" customHeight="1">
      <c r="A466" s="141"/>
      <c r="B466" s="440"/>
      <c r="C466" s="3497"/>
      <c r="D466" s="3497"/>
      <c r="E466" s="3497"/>
      <c r="F466" s="3497"/>
      <c r="G466" s="3497"/>
      <c r="H466" s="3497"/>
      <c r="I466" s="3497"/>
      <c r="J466" s="3497"/>
      <c r="K466" s="3707"/>
      <c r="L466" s="2194" t="s">
        <v>5038</v>
      </c>
      <c r="M466" s="2206"/>
      <c r="N466" s="2198">
        <f>'Part VI-Revenues &amp; Expenses'!$O$63</f>
        <v>48</v>
      </c>
      <c r="P466" s="3501"/>
      <c r="Q466" s="3499"/>
      <c r="R466" s="2197"/>
      <c r="S466" s="2197"/>
    </row>
    <row r="467" spans="1:31" s="412" customFormat="1" ht="15" customHeight="1">
      <c r="A467" s="141"/>
      <c r="B467" s="440"/>
      <c r="C467" s="3497"/>
      <c r="D467" s="3497"/>
      <c r="E467" s="3497"/>
      <c r="F467" s="3497"/>
      <c r="G467" s="3497"/>
      <c r="H467" s="3497"/>
      <c r="I467" s="3497"/>
      <c r="J467" s="3497"/>
      <c r="K467" s="2196">
        <f>'Part VI-Revenues &amp; Expenses'!$O$88</f>
        <v>0</v>
      </c>
      <c r="L467" s="1208" t="s">
        <v>4789</v>
      </c>
      <c r="M467" s="2207"/>
      <c r="N467" s="2129">
        <f>'Part VI-Revenues &amp; Expenses'!$O$67</f>
        <v>48</v>
      </c>
      <c r="P467" s="3501"/>
      <c r="Q467" s="3499"/>
    </row>
    <row r="468" spans="1:31" s="436" customFormat="1" ht="22.5" customHeight="1">
      <c r="A468" s="525"/>
      <c r="B468" s="440" t="s">
        <v>1988</v>
      </c>
      <c r="C468" s="3497" t="s">
        <v>4911</v>
      </c>
      <c r="D468" s="3497"/>
      <c r="E468" s="3497"/>
      <c r="F468" s="3497"/>
      <c r="G468" s="3497"/>
      <c r="H468" s="3497"/>
      <c r="I468" s="3497"/>
      <c r="J468" s="3497"/>
      <c r="K468" s="587"/>
      <c r="L468" s="587"/>
      <c r="M468" s="587"/>
      <c r="O468" s="390" t="s">
        <v>1988</v>
      </c>
      <c r="P468" s="2681" t="s">
        <v>2990</v>
      </c>
      <c r="Q468" s="2299"/>
    </row>
    <row r="469" spans="1:31" s="436" customFormat="1" ht="12" customHeight="1" thickBot="1">
      <c r="A469" s="525"/>
      <c r="B469" s="440" t="s">
        <v>2534</v>
      </c>
      <c r="C469" s="3497" t="s">
        <v>4912</v>
      </c>
      <c r="D469" s="3497"/>
      <c r="E469" s="3497"/>
      <c r="F469" s="3497"/>
      <c r="G469" s="3497"/>
      <c r="H469" s="3497"/>
      <c r="I469" s="587"/>
      <c r="J469" s="1115" t="s">
        <v>4790</v>
      </c>
      <c r="K469" s="2130">
        <f>'Part VI-Revenues &amp; Expenses'!$O$103</f>
        <v>48</v>
      </c>
      <c r="L469" s="1207" t="s">
        <v>4788</v>
      </c>
      <c r="M469" s="2202"/>
      <c r="N469" s="2195">
        <f>ROUNDUP(N467*0.1,0)</f>
        <v>5</v>
      </c>
      <c r="O469" s="390" t="s">
        <v>2534</v>
      </c>
      <c r="P469" s="3501" t="s">
        <v>2990</v>
      </c>
      <c r="Q469" s="3499"/>
      <c r="R469" s="2197"/>
      <c r="S469" s="2197"/>
    </row>
    <row r="470" spans="1:31" s="436" customFormat="1" ht="12" customHeight="1" thickBot="1">
      <c r="A470" s="525"/>
      <c r="B470" s="440"/>
      <c r="C470" s="3497"/>
      <c r="D470" s="3497"/>
      <c r="E470" s="3497"/>
      <c r="F470" s="3497"/>
      <c r="G470" s="3497"/>
      <c r="H470" s="3497"/>
      <c r="I470" s="587"/>
      <c r="J470" s="1115" t="s">
        <v>4791</v>
      </c>
      <c r="K470" s="2131">
        <f>IF(N467=0,"",K469/N467)</f>
        <v>1</v>
      </c>
      <c r="L470" s="2203" t="s">
        <v>5036</v>
      </c>
      <c r="M470" s="2204"/>
      <c r="N470" s="2201">
        <f>'Part VI-Revenues &amp; Expenses'!$K$67/'Part VI-Revenues &amp; Expenses'!$O$67</f>
        <v>0.16666666666666666</v>
      </c>
      <c r="O470" s="390" t="str">
        <f>IF(AND(N470&lt;0.1,P469="Yes"), "Check!","")</f>
        <v/>
      </c>
      <c r="P470" s="3534"/>
      <c r="Q470" s="3533"/>
      <c r="R470" s="2197"/>
      <c r="S470" s="2197"/>
    </row>
    <row r="471" spans="1:31" s="42" customFormat="1" ht="12" customHeight="1">
      <c r="A471" s="46" t="s">
        <v>1985</v>
      </c>
      <c r="B471" s="86" t="s">
        <v>4913</v>
      </c>
      <c r="D471" s="39"/>
      <c r="G471" s="35"/>
      <c r="M471" s="5"/>
      <c r="R471" s="376"/>
    </row>
    <row r="472" spans="1:31" s="412" customFormat="1" ht="21.75" customHeight="1">
      <c r="A472" s="141"/>
      <c r="B472" s="3497" t="s">
        <v>4914</v>
      </c>
      <c r="C472" s="3497"/>
      <c r="D472" s="3497"/>
      <c r="E472" s="3497"/>
      <c r="F472" s="3497"/>
      <c r="G472" s="3497"/>
      <c r="H472" s="3497"/>
      <c r="I472" s="3497"/>
      <c r="J472" s="3497"/>
      <c r="K472" s="3497"/>
      <c r="L472" s="3497"/>
      <c r="M472" s="3497"/>
      <c r="N472" s="3497"/>
      <c r="O472" s="160" t="s">
        <v>1985</v>
      </c>
      <c r="P472" s="2691"/>
      <c r="Q472" s="1150"/>
      <c r="R472" s="511"/>
    </row>
    <row r="473" spans="1:31" s="42" customFormat="1" ht="11.25" customHeight="1">
      <c r="A473" s="41"/>
      <c r="B473" s="95" t="s">
        <v>3749</v>
      </c>
      <c r="C473" s="41"/>
      <c r="D473" s="47"/>
      <c r="E473" s="47"/>
      <c r="F473" s="47"/>
      <c r="G473" s="47"/>
      <c r="H473" s="35"/>
      <c r="I473" s="35"/>
      <c r="J473" s="35"/>
      <c r="K473" s="35"/>
      <c r="M473" s="45"/>
      <c r="N473" s="61"/>
      <c r="O473" s="2"/>
      <c r="P473" s="2295"/>
    </row>
    <row r="474" spans="1:31" s="42" customFormat="1" ht="21.75" customHeight="1">
      <c r="A474" s="3508" t="s">
        <v>5280</v>
      </c>
      <c r="B474" s="3509"/>
      <c r="C474" s="3509"/>
      <c r="D474" s="3509"/>
      <c r="E474" s="3509"/>
      <c r="F474" s="3509"/>
      <c r="G474" s="3509"/>
      <c r="H474" s="3509"/>
      <c r="I474" s="3509"/>
      <c r="J474" s="3509"/>
      <c r="K474" s="3509"/>
      <c r="L474" s="3509"/>
      <c r="M474" s="3509"/>
      <c r="N474" s="3509"/>
      <c r="O474" s="3509"/>
      <c r="P474" s="3509"/>
      <c r="Q474" s="3510"/>
      <c r="R474" s="1074" t="s">
        <v>1254</v>
      </c>
    </row>
    <row r="475" spans="1:31" s="42" customFormat="1" ht="10.5" customHeight="1">
      <c r="B475" s="85" t="s">
        <v>1866</v>
      </c>
      <c r="C475" s="98"/>
      <c r="D475" s="85"/>
      <c r="E475" s="99"/>
      <c r="F475" s="2304"/>
      <c r="G475" s="2304"/>
      <c r="H475" s="2304"/>
      <c r="I475" s="2304"/>
      <c r="J475" s="2304"/>
      <c r="K475" s="2304"/>
      <c r="L475" s="2304"/>
      <c r="M475" s="2304"/>
      <c r="N475" s="74"/>
      <c r="O475" s="70"/>
      <c r="P475" s="2292"/>
      <c r="Q475" s="426"/>
    </row>
    <row r="476" spans="1:31" s="42" customFormat="1" ht="11.25" customHeight="1">
      <c r="A476" s="3489"/>
      <c r="B476" s="3490"/>
      <c r="C476" s="3490"/>
      <c r="D476" s="3490"/>
      <c r="E476" s="3490"/>
      <c r="F476" s="3490"/>
      <c r="G476" s="3490"/>
      <c r="H476" s="3490"/>
      <c r="I476" s="3490"/>
      <c r="J476" s="3490"/>
      <c r="K476" s="3490"/>
      <c r="L476" s="3490"/>
      <c r="M476" s="3490"/>
      <c r="N476" s="3490"/>
      <c r="O476" s="3490"/>
      <c r="P476" s="3490"/>
      <c r="Q476" s="3491"/>
    </row>
    <row r="477" spans="1:31" ht="3" customHeight="1">
      <c r="A477" s="2293"/>
      <c r="B477" s="2307"/>
      <c r="C477" s="2304"/>
      <c r="D477" s="2304"/>
      <c r="E477" s="2304"/>
      <c r="F477" s="2304"/>
      <c r="G477" s="2304"/>
      <c r="H477" s="2304"/>
      <c r="I477" s="2304"/>
      <c r="J477" s="2304"/>
      <c r="K477" s="2304"/>
      <c r="L477" s="2304"/>
      <c r="M477" s="2304"/>
      <c r="N477" s="2304"/>
      <c r="O477" s="2304"/>
      <c r="P477" s="2304"/>
      <c r="Q477" s="2293"/>
    </row>
    <row r="478" spans="1:31" ht="13.95" customHeight="1">
      <c r="A478" s="2290" t="s">
        <v>4786</v>
      </c>
      <c r="B478" s="3"/>
      <c r="C478" s="3" t="s">
        <v>2670</v>
      </c>
      <c r="D478" s="86"/>
      <c r="E478" s="2304"/>
      <c r="F478" s="2304"/>
      <c r="G478" s="2304"/>
      <c r="H478" s="2304"/>
      <c r="I478" s="2304"/>
      <c r="J478" s="2304"/>
      <c r="K478" s="2304"/>
      <c r="L478" s="2304"/>
      <c r="M478" s="2304"/>
      <c r="O478" s="131" t="s">
        <v>1867</v>
      </c>
      <c r="P478" s="3513"/>
      <c r="Q478" s="3493"/>
    </row>
    <row r="479" spans="1:31" ht="11.25" customHeight="1">
      <c r="A479" s="2290"/>
      <c r="B479" s="140" t="s">
        <v>3749</v>
      </c>
      <c r="D479" s="140"/>
      <c r="E479" s="140"/>
      <c r="F479" s="140"/>
      <c r="G479" s="140"/>
      <c r="H479" s="39"/>
      <c r="I479" s="2307"/>
      <c r="J479" s="2307"/>
      <c r="K479" s="2307"/>
      <c r="L479" s="2293"/>
      <c r="M479" s="2293"/>
      <c r="N479" s="2293"/>
      <c r="O479" s="2293"/>
      <c r="P479" s="2293"/>
      <c r="Q479" s="896"/>
    </row>
    <row r="480" spans="1:31" ht="22.5" customHeight="1">
      <c r="A480" s="3508" t="s">
        <v>5195</v>
      </c>
      <c r="B480" s="3509"/>
      <c r="C480" s="3509"/>
      <c r="D480" s="3509"/>
      <c r="E480" s="3509"/>
      <c r="F480" s="3509"/>
      <c r="G480" s="3509"/>
      <c r="H480" s="3509"/>
      <c r="I480" s="3509"/>
      <c r="J480" s="3509"/>
      <c r="K480" s="3509"/>
      <c r="L480" s="3509"/>
      <c r="M480" s="3509"/>
      <c r="N480" s="3509"/>
      <c r="O480" s="3509"/>
      <c r="P480" s="3509"/>
      <c r="Q480" s="3510"/>
      <c r="R480" s="445" t="s">
        <v>1254</v>
      </c>
      <c r="S480" s="446"/>
      <c r="U480" s="135"/>
      <c r="V480" s="135"/>
      <c r="W480" s="135"/>
      <c r="X480" s="135"/>
      <c r="Y480" s="135"/>
      <c r="Z480" s="135"/>
      <c r="AA480" s="135"/>
      <c r="AB480" s="135"/>
      <c r="AC480" s="135"/>
      <c r="AD480" s="135"/>
      <c r="AE480" s="465"/>
    </row>
    <row r="481" spans="1:32" ht="11.25" customHeight="1">
      <c r="B481" s="136" t="s">
        <v>1866</v>
      </c>
      <c r="C481" s="137"/>
      <c r="D481" s="2304"/>
      <c r="E481" s="2304"/>
      <c r="F481" s="2304"/>
      <c r="G481" s="2304"/>
      <c r="H481" s="2304"/>
      <c r="I481" s="2304"/>
      <c r="J481" s="2304"/>
      <c r="K481" s="2304"/>
      <c r="L481" s="2304"/>
      <c r="M481" s="2304"/>
      <c r="N481" s="2304"/>
      <c r="O481" s="2304"/>
      <c r="P481" s="2304"/>
      <c r="Q481" s="2304"/>
    </row>
    <row r="482" spans="1:32" ht="22.5" customHeight="1">
      <c r="A482" s="3489"/>
      <c r="B482" s="3490"/>
      <c r="C482" s="3490"/>
      <c r="D482" s="3490"/>
      <c r="E482" s="3490"/>
      <c r="F482" s="3490"/>
      <c r="G482" s="3490"/>
      <c r="H482" s="3490"/>
      <c r="I482" s="3490"/>
      <c r="J482" s="3490"/>
      <c r="K482" s="3490"/>
      <c r="L482" s="3490"/>
      <c r="M482" s="3490"/>
      <c r="N482" s="3490"/>
      <c r="O482" s="3490"/>
      <c r="P482" s="3490"/>
      <c r="Q482" s="3491"/>
    </row>
    <row r="483" spans="1:32" ht="3" customHeight="1">
      <c r="A483" s="2293"/>
      <c r="B483" s="2307"/>
      <c r="C483" s="2304"/>
      <c r="D483" s="2304"/>
      <c r="E483" s="2304"/>
      <c r="F483" s="2304"/>
      <c r="G483" s="2304"/>
      <c r="H483" s="2304"/>
      <c r="I483" s="2304"/>
      <c r="J483" s="2304"/>
      <c r="K483" s="2304"/>
      <c r="L483" s="2304"/>
      <c r="M483" s="2304"/>
      <c r="N483" s="2304"/>
      <c r="O483" s="2304"/>
      <c r="P483" s="2304"/>
      <c r="Q483" s="2293"/>
    </row>
    <row r="484" spans="1:32" ht="3" customHeight="1">
      <c r="A484" s="2293"/>
      <c r="B484" s="2307"/>
      <c r="C484" s="2304"/>
      <c r="D484" s="2304"/>
      <c r="E484" s="2304"/>
      <c r="F484" s="2304"/>
      <c r="G484" s="2304"/>
      <c r="H484" s="2304"/>
      <c r="I484" s="2304"/>
      <c r="J484" s="2304"/>
      <c r="K484" s="2304"/>
      <c r="L484" s="2304"/>
      <c r="M484" s="2304"/>
      <c r="N484" s="2304"/>
      <c r="O484" s="2304"/>
      <c r="P484" s="2304"/>
      <c r="Q484" s="2293"/>
    </row>
    <row r="485" spans="1:32" ht="13.95" customHeight="1">
      <c r="A485" s="2290" t="s">
        <v>4794</v>
      </c>
      <c r="B485" s="3"/>
      <c r="C485" s="3" t="s">
        <v>4963</v>
      </c>
      <c r="D485" s="86"/>
      <c r="E485" s="2304"/>
      <c r="F485" s="2304"/>
      <c r="G485" s="2304"/>
      <c r="H485" s="2304"/>
      <c r="I485" s="2304"/>
      <c r="J485" s="2304"/>
      <c r="K485" s="2304"/>
      <c r="L485" s="2304"/>
      <c r="M485" s="2304"/>
      <c r="O485" s="131" t="s">
        <v>1867</v>
      </c>
      <c r="P485" s="3513"/>
      <c r="Q485" s="3493"/>
    </row>
    <row r="486" spans="1:32" s="102" customFormat="1" ht="11.25" customHeight="1">
      <c r="B486" s="179" t="s">
        <v>4795</v>
      </c>
      <c r="D486" s="60"/>
      <c r="E486" s="60"/>
      <c r="F486" s="43"/>
      <c r="G486" s="26"/>
      <c r="L486" s="376"/>
      <c r="M486" s="376"/>
      <c r="N486" s="376"/>
      <c r="O486" s="376"/>
      <c r="P486" s="376"/>
      <c r="Q486" s="376"/>
      <c r="R486" s="376"/>
      <c r="T486" s="1070"/>
      <c r="U486" s="1070"/>
    </row>
    <row r="487" spans="1:32" s="102" customFormat="1" ht="10.5" customHeight="1">
      <c r="A487" s="138"/>
      <c r="B487" s="39" t="s">
        <v>4915</v>
      </c>
      <c r="D487" s="60"/>
      <c r="E487" s="60"/>
      <c r="F487" s="43"/>
      <c r="G487" s="26"/>
      <c r="K487" s="463"/>
      <c r="M487" s="6"/>
      <c r="N487" s="463"/>
      <c r="P487" s="2674"/>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2885</v>
      </c>
      <c r="P501" s="1045"/>
      <c r="AE501" s="438"/>
      <c r="AF501" s="438"/>
    </row>
    <row r="502" spans="1:32" s="431" customFormat="1" ht="10.199999999999999">
      <c r="B502" s="1043"/>
      <c r="C502" s="1043" t="s">
        <v>2089</v>
      </c>
      <c r="D502" s="1043"/>
      <c r="E502" s="1043"/>
      <c r="F502" s="1043"/>
      <c r="G502" s="1043"/>
      <c r="H502" s="1043"/>
      <c r="I502" s="1043"/>
      <c r="J502" s="1043" t="s">
        <v>1771</v>
      </c>
      <c r="K502" s="1043"/>
      <c r="L502" s="1043"/>
      <c r="M502" s="1043"/>
      <c r="N502" s="1044"/>
      <c r="O502" s="1043" t="s">
        <v>3829</v>
      </c>
      <c r="P502" s="1045"/>
      <c r="AE502" s="438"/>
      <c r="AF502" s="438"/>
    </row>
    <row r="503" spans="1:32" s="431" customFormat="1" ht="10.199999999999999">
      <c r="B503" s="1043"/>
      <c r="C503" s="1042" t="s">
        <v>2544</v>
      </c>
      <c r="D503" s="1042"/>
      <c r="E503" s="1042"/>
      <c r="F503" s="1042"/>
      <c r="G503" s="1042"/>
      <c r="H503" s="1042"/>
      <c r="I503" s="1042"/>
      <c r="J503" s="2132" t="s">
        <v>1724</v>
      </c>
      <c r="K503" s="1042"/>
      <c r="L503" s="1043"/>
      <c r="M503" s="1043"/>
      <c r="N503" s="1044"/>
      <c r="O503" s="1043" t="s">
        <v>3830</v>
      </c>
      <c r="P503" s="1045"/>
      <c r="AE503" s="438"/>
      <c r="AF503" s="438"/>
    </row>
    <row r="504" spans="1:32" s="431" customFormat="1" ht="10.199999999999999">
      <c r="B504" s="1043"/>
      <c r="C504" s="1042" t="s">
        <v>2090</v>
      </c>
      <c r="D504" s="1042"/>
      <c r="E504" s="1042"/>
      <c r="F504" s="1042"/>
      <c r="G504" s="1042"/>
      <c r="H504" s="1042"/>
      <c r="I504" s="1042"/>
      <c r="J504" s="2132" t="s">
        <v>230</v>
      </c>
      <c r="K504" s="1042"/>
      <c r="L504" s="1043"/>
      <c r="M504" s="1043"/>
      <c r="N504" s="1044"/>
      <c r="O504" s="1043" t="s">
        <v>3831</v>
      </c>
      <c r="P504" s="1045"/>
      <c r="AE504" s="438"/>
      <c r="AF504" s="438"/>
    </row>
    <row r="505" spans="1:32" s="431" customFormat="1" ht="10.199999999999999">
      <c r="B505" s="1043"/>
      <c r="C505" s="1042" t="s">
        <v>2091</v>
      </c>
      <c r="D505" s="1042"/>
      <c r="E505" s="1042"/>
      <c r="F505" s="1042"/>
      <c r="G505" s="1042"/>
      <c r="H505" s="1042"/>
      <c r="I505" s="1042"/>
      <c r="J505" s="1043" t="s">
        <v>1186</v>
      </c>
      <c r="K505" s="1042"/>
      <c r="L505" s="1043"/>
      <c r="M505" s="1043"/>
      <c r="N505" s="1044"/>
      <c r="O505" s="1043" t="s">
        <v>3832</v>
      </c>
      <c r="P505" s="1045"/>
      <c r="AE505" s="438"/>
      <c r="AF505" s="438"/>
    </row>
    <row r="506" spans="1:32" s="431" customFormat="1" ht="10.199999999999999">
      <c r="B506" s="1043"/>
      <c r="C506" s="1050" t="s">
        <v>2092</v>
      </c>
      <c r="D506" s="1042"/>
      <c r="E506" s="1042"/>
      <c r="F506" s="1042"/>
      <c r="G506" s="1042"/>
      <c r="H506" s="1042"/>
      <c r="I506" s="1042"/>
      <c r="J506" s="2133" t="s">
        <v>2104</v>
      </c>
      <c r="K506" s="1042"/>
      <c r="L506" s="1043"/>
      <c r="M506" s="1043"/>
      <c r="N506" s="1044"/>
      <c r="O506" s="1043" t="s">
        <v>3862</v>
      </c>
      <c r="P506" s="1045"/>
      <c r="AE506" s="438"/>
      <c r="AF506" s="438"/>
    </row>
    <row r="507" spans="1:32" s="431" customFormat="1" ht="10.199999999999999">
      <c r="B507" s="1043"/>
      <c r="C507" s="1050" t="s">
        <v>2093</v>
      </c>
      <c r="D507" s="1042"/>
      <c r="E507" s="1042"/>
      <c r="F507" s="1042"/>
      <c r="G507" s="1042"/>
      <c r="H507" s="1042"/>
      <c r="I507" s="1042"/>
      <c r="J507" s="2132" t="s">
        <v>1661</v>
      </c>
      <c r="K507" s="1042"/>
      <c r="L507" s="1043"/>
      <c r="M507" s="1043"/>
      <c r="N507" s="1044"/>
      <c r="O507" s="1043" t="s">
        <v>3833</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3834</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3835</v>
      </c>
      <c r="P509" s="1045"/>
      <c r="AE509" s="438"/>
      <c r="AF509" s="438"/>
    </row>
    <row r="510" spans="1:32" s="431" customFormat="1" ht="10.199999999999999">
      <c r="B510" s="1043"/>
      <c r="C510" s="1046" t="s">
        <v>1390</v>
      </c>
      <c r="D510" s="1042"/>
      <c r="E510" s="1042"/>
      <c r="F510" s="1042"/>
      <c r="G510" s="1042"/>
      <c r="H510" s="1042"/>
      <c r="I510" s="1042"/>
      <c r="J510" s="2132" t="s">
        <v>2105</v>
      </c>
      <c r="K510" s="1042"/>
      <c r="L510" s="1043"/>
      <c r="M510" s="1043"/>
      <c r="N510" s="1044"/>
      <c r="O510" s="1043" t="s">
        <v>3836</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0.199999999999999">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3773</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4768</v>
      </c>
      <c r="K524" s="1042"/>
      <c r="L524" s="1042"/>
      <c r="M524" s="1042"/>
      <c r="N524" s="1042"/>
      <c r="O524" s="1042"/>
      <c r="P524" s="1042"/>
      <c r="AE524" s="415"/>
      <c r="AF524" s="415"/>
    </row>
    <row r="525" spans="2:32" s="54" customFormat="1" ht="10.199999999999999">
      <c r="B525" s="1042"/>
      <c r="C525" s="1042" t="s">
        <v>2089</v>
      </c>
      <c r="D525" s="1042"/>
      <c r="E525" s="1043"/>
      <c r="F525" s="1043"/>
      <c r="G525" s="1043"/>
      <c r="H525" s="1043"/>
      <c r="I525" s="1043"/>
      <c r="J525" s="1043" t="s">
        <v>3766</v>
      </c>
      <c r="K525" s="1043"/>
      <c r="L525" s="1043"/>
      <c r="M525" s="1043"/>
      <c r="N525" s="1042"/>
      <c r="O525" s="1042"/>
      <c r="P525" s="1042"/>
      <c r="AE525" s="415"/>
      <c r="AF525" s="415"/>
    </row>
    <row r="526" spans="2:32" s="54" customFormat="1" ht="10.199999999999999">
      <c r="B526" s="1042"/>
      <c r="C526" s="1042" t="s">
        <v>2544</v>
      </c>
      <c r="D526" s="1043"/>
      <c r="E526" s="1043"/>
      <c r="F526" s="1043"/>
      <c r="G526" s="1043"/>
      <c r="H526" s="1042"/>
      <c r="I526" s="1043"/>
      <c r="J526" s="1043" t="s">
        <v>3767</v>
      </c>
      <c r="K526" s="1043"/>
      <c r="L526" s="1043"/>
      <c r="M526" s="1043"/>
      <c r="N526" s="1042"/>
      <c r="O526" s="1042"/>
      <c r="P526" s="1042"/>
      <c r="AE526" s="415"/>
      <c r="AF526" s="415"/>
    </row>
    <row r="527" spans="2:32" s="54" customFormat="1" ht="10.199999999999999">
      <c r="B527" s="1042"/>
      <c r="C527" s="1042" t="s">
        <v>2090</v>
      </c>
      <c r="D527" s="1043"/>
      <c r="E527" s="1043"/>
      <c r="F527" s="1043"/>
      <c r="G527" s="1043"/>
      <c r="H527" s="1043"/>
      <c r="I527" s="1043"/>
      <c r="J527" s="1043" t="s">
        <v>4766</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3971</v>
      </c>
      <c r="K528" s="1043"/>
      <c r="L528" s="1043"/>
      <c r="M528" s="1043"/>
      <c r="N528" s="1042"/>
      <c r="O528" s="1042"/>
      <c r="P528" s="1042"/>
      <c r="AE528" s="415"/>
      <c r="AF528" s="415"/>
    </row>
    <row r="529" spans="2:32" s="54" customFormat="1" ht="10.199999999999999">
      <c r="B529" s="1042"/>
      <c r="C529" s="1050" t="s">
        <v>2011</v>
      </c>
      <c r="D529" s="1043"/>
      <c r="E529" s="1043"/>
      <c r="F529" s="1043"/>
      <c r="G529" s="1043"/>
      <c r="H529" s="1042"/>
      <c r="I529" s="1043"/>
      <c r="J529" s="1043" t="s">
        <v>4767</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3972</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2677</v>
      </c>
      <c r="D564" s="1042"/>
      <c r="E564" s="1042"/>
      <c r="F564" s="1042"/>
      <c r="G564" s="1042"/>
      <c r="H564" s="1042"/>
      <c r="I564" s="1042"/>
      <c r="J564" s="1042"/>
      <c r="K564" s="1042" t="s">
        <v>3761</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4917</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3907</v>
      </c>
      <c r="L570" s="1042"/>
      <c r="M570" s="1042"/>
      <c r="N570" s="1042"/>
      <c r="O570" s="1042"/>
      <c r="P570" s="1042"/>
      <c r="AE570" s="415"/>
      <c r="AF570" s="415"/>
    </row>
    <row r="571" spans="2:32" s="54" customFormat="1" ht="10.199999999999999">
      <c r="B571" s="1042"/>
      <c r="C571" s="1042" t="s">
        <v>2118</v>
      </c>
      <c r="D571" s="1042"/>
      <c r="E571" s="1042"/>
      <c r="F571" s="1042"/>
      <c r="G571" s="1042"/>
      <c r="H571" s="1042"/>
      <c r="I571" s="1042"/>
      <c r="J571" s="1042"/>
      <c r="K571" s="1042" t="s">
        <v>4918</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4970</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2089</v>
      </c>
      <c r="D582" s="1042"/>
      <c r="E582" s="1042"/>
      <c r="F582" s="1042"/>
      <c r="G582" s="1042"/>
      <c r="H582" s="1042"/>
      <c r="I582" s="1042"/>
      <c r="J582" s="1042"/>
      <c r="K582" s="1042"/>
      <c r="L582" s="1042"/>
      <c r="M582" s="1042" t="s">
        <v>4967</v>
      </c>
      <c r="N582" s="1042"/>
      <c r="O582" s="1042"/>
      <c r="P582" s="1042"/>
      <c r="AE582" s="415"/>
      <c r="AF582" s="415"/>
    </row>
    <row r="583" spans="2:32" s="54" customFormat="1" ht="10.199999999999999">
      <c r="B583" s="1042"/>
      <c r="C583" s="1042" t="s">
        <v>2544</v>
      </c>
      <c r="D583" s="1042"/>
      <c r="E583" s="1042"/>
      <c r="F583" s="1042"/>
      <c r="G583" s="1042"/>
      <c r="H583" s="1042"/>
      <c r="I583" s="1042"/>
      <c r="J583" s="1042"/>
      <c r="K583" s="1042"/>
      <c r="L583" s="1042"/>
      <c r="M583" s="1042" t="s">
        <v>5004</v>
      </c>
      <c r="N583" s="1042"/>
      <c r="O583" s="1042"/>
      <c r="P583" s="1042"/>
      <c r="AE583" s="415"/>
      <c r="AF583" s="415"/>
    </row>
    <row r="584" spans="2:32" s="54" customFormat="1" ht="10.199999999999999">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1949</v>
      </c>
      <c r="D585" s="1042"/>
      <c r="E585" s="1042"/>
      <c r="F585" s="1042"/>
      <c r="G585" s="1042"/>
      <c r="H585" s="1042"/>
      <c r="I585" s="1042"/>
      <c r="J585" s="1042"/>
      <c r="K585" s="1042"/>
      <c r="L585" s="1042"/>
      <c r="M585" s="1042" t="s">
        <v>4968</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5066</v>
      </c>
      <c r="N586" s="1042"/>
      <c r="O586" s="1042"/>
      <c r="P586" s="1042"/>
      <c r="AE586" s="415"/>
      <c r="AF586" s="415"/>
    </row>
    <row r="587" spans="2:32" s="54" customFormat="1" ht="10.199999999999999">
      <c r="B587" s="1042"/>
      <c r="C587" s="1042" t="s">
        <v>2195</v>
      </c>
      <c r="D587" s="1042"/>
      <c r="E587" s="1042"/>
      <c r="F587" s="1042"/>
      <c r="G587" s="1042"/>
      <c r="H587" s="1042"/>
      <c r="I587" s="1042"/>
      <c r="J587" s="1042"/>
      <c r="K587" s="1042"/>
      <c r="L587" s="1042"/>
      <c r="M587" s="2135" t="s">
        <v>5067</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4969</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cfxbzenypXd60LCzxUVGaaapZl/FBVglLBhlqenHEN1cCYEkv4QL8lkrrpJ67YDAKsDk5JOC6IgoZrJtsUKThA==" saltValue="TdByL9mMpc6TuF7OKTo6/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5" priority="5" stopIfTrue="1" operator="greaterThan">
      <formula>0</formula>
    </cfRule>
  </conditionalFormatting>
  <conditionalFormatting sqref="R40:R42">
    <cfRule type="cellIs" dxfId="94" priority="4" stopIfTrue="1" operator="greaterThan">
      <formula>0</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120" zoomScaleNormal="120" workbookViewId="0">
      <selection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88"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180" t="str">
        <f>CONCATENATE("PART NINE - SCORING CRITERIA","  -  ",'Part I-Project Information'!$O$6," ",'Part I-Project Information'!$F$34,", ",'Part I-Project Information'!F38,", ",'Part I-Project Information'!J39," County")</f>
        <v>PART NINE - SCORING CRITERIA  -  2019-060 Dulles Park II, Gray, Jones County</v>
      </c>
      <c r="B1" s="3181"/>
      <c r="C1" s="3181"/>
      <c r="D1" s="3181"/>
      <c r="E1" s="3181"/>
      <c r="F1" s="3181"/>
      <c r="G1" s="3181"/>
      <c r="H1" s="3181"/>
      <c r="I1" s="3181"/>
      <c r="J1" s="3181"/>
      <c r="K1" s="3181"/>
      <c r="L1" s="3181"/>
      <c r="M1" s="3181"/>
      <c r="N1" s="3181"/>
      <c r="O1" s="3181"/>
      <c r="P1" s="3182"/>
      <c r="Q1" s="2159"/>
      <c r="R1" s="2159"/>
      <c r="S1" s="2159"/>
    </row>
    <row r="2" spans="1:22" s="34" customFormat="1" ht="4.2"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861" t="s">
        <v>4937</v>
      </c>
      <c r="B3" s="3861"/>
      <c r="C3" s="3861"/>
      <c r="D3" s="3861"/>
      <c r="E3" s="3861"/>
      <c r="F3" s="3861"/>
      <c r="G3" s="3861"/>
      <c r="H3" s="3861"/>
      <c r="I3" s="3861"/>
      <c r="J3" s="3861"/>
      <c r="K3" s="3861"/>
      <c r="L3" s="3861"/>
      <c r="M3" s="1157" t="s">
        <v>2219</v>
      </c>
      <c r="N3" s="73"/>
      <c r="O3" s="83" t="s">
        <v>2218</v>
      </c>
      <c r="P3" s="1158" t="s">
        <v>256</v>
      </c>
      <c r="Q3" s="2159"/>
      <c r="R3" s="2159"/>
      <c r="S3" s="2159"/>
    </row>
    <row r="4" spans="1:22" s="43" customFormat="1" ht="12" customHeight="1">
      <c r="A4" s="3861"/>
      <c r="B4" s="3861"/>
      <c r="C4" s="3861"/>
      <c r="D4" s="3861"/>
      <c r="E4" s="3861"/>
      <c r="F4" s="3861"/>
      <c r="G4" s="3861"/>
      <c r="H4" s="3861"/>
      <c r="I4" s="3861"/>
      <c r="J4" s="3861"/>
      <c r="K4" s="3861"/>
      <c r="L4" s="3861"/>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25" t="str">
        <f>'Part I-Project Information'!$B$6</f>
        <v>May 2019</v>
      </c>
      <c r="C6" s="3925"/>
      <c r="D6" s="3925"/>
      <c r="E6" s="3925"/>
      <c r="F6" s="3925"/>
      <c r="G6" s="469"/>
      <c r="H6" s="41"/>
      <c r="I6" s="41"/>
      <c r="J6" s="41"/>
      <c r="L6" s="69" t="s">
        <v>1226</v>
      </c>
      <c r="M6" s="268">
        <f>M448</f>
        <v>92</v>
      </c>
      <c r="N6" s="8"/>
      <c r="O6" s="1142">
        <f>O448</f>
        <v>54</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4804</v>
      </c>
      <c r="D8" s="51"/>
      <c r="E8" s="51"/>
      <c r="F8" s="51"/>
      <c r="G8" s="66"/>
      <c r="H8" s="172" t="s">
        <v>4900</v>
      </c>
      <c r="I8" s="66"/>
      <c r="J8" s="66"/>
      <c r="K8" s="66"/>
      <c r="L8" s="66"/>
      <c r="M8" s="2081" t="s">
        <v>4899</v>
      </c>
      <c r="N8" s="66"/>
      <c r="O8" s="2700"/>
      <c r="P8" s="2079">
        <f>IF(P10&lt;2,0,IF(AND(P10&gt;1,P10&lt;5),1,IF(P10&gt;4,P10-3)))</f>
        <v>0</v>
      </c>
      <c r="Q8" s="35" t="s">
        <v>4901</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4141</v>
      </c>
      <c r="B10" s="2122" t="s">
        <v>4142</v>
      </c>
      <c r="C10" s="1192"/>
      <c r="D10" s="1192"/>
      <c r="E10" s="964" t="s">
        <v>4169</v>
      </c>
      <c r="F10" s="3909" t="s">
        <v>4168</v>
      </c>
      <c r="G10" s="3909"/>
      <c r="H10" s="3909"/>
      <c r="I10" s="3909"/>
      <c r="J10" s="3909"/>
      <c r="K10" s="3909"/>
      <c r="L10" s="3909"/>
      <c r="M10" s="3909"/>
      <c r="N10" s="3909"/>
      <c r="O10" s="2123" t="s">
        <v>4802</v>
      </c>
      <c r="P10" s="2124">
        <f>SUM(P11:P20)</f>
        <v>0</v>
      </c>
      <c r="Q10" s="3818" t="s">
        <v>5014</v>
      </c>
      <c r="R10" s="3818"/>
      <c r="S10" s="3818"/>
      <c r="T10" s="3818"/>
      <c r="U10" s="3818"/>
      <c r="V10" s="3818"/>
    </row>
    <row r="11" spans="1:22" s="41" customFormat="1" ht="11.25" customHeight="1">
      <c r="A11" s="1175" t="s">
        <v>742</v>
      </c>
      <c r="B11" s="1176" t="s">
        <v>4143</v>
      </c>
      <c r="C11" s="1177"/>
      <c r="D11" s="1178"/>
      <c r="E11" s="2113">
        <f>$O$61</f>
        <v>10</v>
      </c>
      <c r="F11" s="3910" t="str">
        <f>$A$67</f>
        <v>The project is within 2 miles of numerous desirables, including but not limited to, grocery store, public school, restaurants, pharmacy, place of worship, bank and others. The project is eligible for 10 points in this scoring section and there are no undesirables.</v>
      </c>
      <c r="G11" s="3911"/>
      <c r="H11" s="3911"/>
      <c r="I11" s="3911"/>
      <c r="J11" s="3911"/>
      <c r="K11" s="3911"/>
      <c r="L11" s="3911"/>
      <c r="M11" s="3911"/>
      <c r="N11" s="3911"/>
      <c r="O11" s="3911"/>
      <c r="P11" s="2142"/>
      <c r="Q11" s="3818"/>
      <c r="R11" s="3818"/>
      <c r="S11" s="3818"/>
      <c r="T11" s="3818"/>
      <c r="U11" s="3818"/>
      <c r="V11" s="3818"/>
    </row>
    <row r="12" spans="1:22" s="41" customFormat="1" ht="11.25" customHeight="1">
      <c r="A12" s="1179" t="s">
        <v>530</v>
      </c>
      <c r="B12" s="965" t="s">
        <v>4145</v>
      </c>
      <c r="C12" s="1085"/>
      <c r="D12" s="1180"/>
      <c r="E12" s="2114">
        <f>$O$153</f>
        <v>3</v>
      </c>
      <c r="F12" s="3864" t="str">
        <f>$A$185</f>
        <v>The project falls within the school boundaries of Gray Elementary School, Gray Station Middle School and Jones County Hgh School. All three school have 2015-2017 average CCRPI scores above the threshold for points. In addition, Gray Elementary School recieved 2017 "Beating the Odds" designation. There are 3,528 jobs within a 2-mile radius of the site. The minimum jobs threshold for rural areas is 3,000, therefore the project is eligible for one point under Workforce Housing Need.</v>
      </c>
      <c r="G12" s="3865"/>
      <c r="H12" s="3865"/>
      <c r="I12" s="3865"/>
      <c r="J12" s="3865"/>
      <c r="K12" s="3865"/>
      <c r="L12" s="3865"/>
      <c r="M12" s="3865"/>
      <c r="N12" s="3865"/>
      <c r="O12" s="3866"/>
      <c r="P12" s="2143"/>
      <c r="Q12" s="3832" t="str">
        <f>IF(OR($A$67="",$A$302="",$A$185="",$A$224="",$A$273="",$A$325="",$A$365="",$A$380="",$A$416="",$A$436=""),"Some Applicant Scoring Justification boxes are empty! Check to see if points claimed.","")</f>
        <v/>
      </c>
      <c r="R12" s="3833"/>
      <c r="S12" s="3833"/>
    </row>
    <row r="13" spans="1:22" s="41" customFormat="1" ht="11.25" customHeight="1">
      <c r="A13" s="1179" t="s">
        <v>772</v>
      </c>
      <c r="B13" s="965" t="s">
        <v>4146</v>
      </c>
      <c r="C13" s="1085"/>
      <c r="D13" s="1180"/>
      <c r="E13" s="2115">
        <f>$O$189</f>
        <v>0</v>
      </c>
      <c r="F13" s="3864" t="str">
        <f>$A$224</f>
        <v>N/A</v>
      </c>
      <c r="G13" s="3865"/>
      <c r="H13" s="3865"/>
      <c r="I13" s="3865"/>
      <c r="J13" s="3865"/>
      <c r="K13" s="3865"/>
      <c r="L13" s="3865"/>
      <c r="M13" s="3865"/>
      <c r="N13" s="3865"/>
      <c r="O13" s="3866"/>
      <c r="P13" s="2143"/>
      <c r="Q13" s="3832"/>
      <c r="R13" s="3833"/>
      <c r="S13" s="3833"/>
    </row>
    <row r="14" spans="1:22" s="41" customFormat="1" ht="11.25" customHeight="1">
      <c r="A14" s="1185" t="s">
        <v>292</v>
      </c>
      <c r="B14" s="1186" t="s">
        <v>4147</v>
      </c>
      <c r="C14" s="1187"/>
      <c r="D14" s="1188"/>
      <c r="E14" s="2116" t="s">
        <v>1733</v>
      </c>
      <c r="F14" s="3912" t="str">
        <f>$A$273</f>
        <v>N/A</v>
      </c>
      <c r="G14" s="3913"/>
      <c r="H14" s="3913"/>
      <c r="I14" s="3913"/>
      <c r="J14" s="3913"/>
      <c r="K14" s="3913"/>
      <c r="L14" s="3913"/>
      <c r="M14" s="3913"/>
      <c r="N14" s="3913"/>
      <c r="O14" s="3914"/>
      <c r="P14" s="2143"/>
      <c r="Q14" s="3832"/>
      <c r="R14" s="3833"/>
      <c r="S14" s="3833"/>
    </row>
    <row r="15" spans="1:22" s="41" customFormat="1" ht="11.25" customHeight="1">
      <c r="A15" s="1179" t="s">
        <v>362</v>
      </c>
      <c r="B15" s="965" t="s">
        <v>3785</v>
      </c>
      <c r="C15" s="1085"/>
      <c r="D15" s="1180"/>
      <c r="E15" s="2114">
        <f>$O$298</f>
        <v>0</v>
      </c>
      <c r="F15" s="3864" t="str">
        <f>$A$302</f>
        <v>N/A</v>
      </c>
      <c r="G15" s="3865"/>
      <c r="H15" s="3865"/>
      <c r="I15" s="3865"/>
      <c r="J15" s="3865"/>
      <c r="K15" s="3865"/>
      <c r="L15" s="3865"/>
      <c r="M15" s="3865"/>
      <c r="N15" s="3865"/>
      <c r="O15" s="3866"/>
      <c r="P15" s="2143"/>
      <c r="Q15" s="3832"/>
      <c r="R15" s="3833"/>
      <c r="S15" s="3833"/>
    </row>
    <row r="16" spans="1:22" s="41" customFormat="1" ht="11.25" customHeight="1">
      <c r="A16" s="1179" t="s">
        <v>4893</v>
      </c>
      <c r="B16" s="965" t="s">
        <v>4452</v>
      </c>
      <c r="C16" s="1085"/>
      <c r="D16" s="1180"/>
      <c r="E16" s="2116">
        <f>$O$306</f>
        <v>2</v>
      </c>
      <c r="F16" s="3864" t="str">
        <f>$A$325</f>
        <v>There have been no 9% Credits awarded within the City of Gray Political Jurisdiction in the years 2015, 2016, 2017 or 2018.</v>
      </c>
      <c r="G16" s="3865"/>
      <c r="H16" s="3865"/>
      <c r="I16" s="3865"/>
      <c r="J16" s="3865"/>
      <c r="K16" s="3865"/>
      <c r="L16" s="3865"/>
      <c r="M16" s="3865"/>
      <c r="N16" s="3865"/>
      <c r="O16" s="3866"/>
      <c r="P16" s="2143"/>
      <c r="Q16" s="3832"/>
      <c r="R16" s="3833"/>
      <c r="S16" s="3833"/>
    </row>
    <row r="17" spans="1:19" s="41" customFormat="1" ht="11.25" customHeight="1">
      <c r="A17" s="1179" t="s">
        <v>2782</v>
      </c>
      <c r="B17" s="965" t="s">
        <v>4148</v>
      </c>
      <c r="C17" s="1085"/>
      <c r="D17" s="1180"/>
      <c r="E17" s="2116">
        <f>$O$359</f>
        <v>1</v>
      </c>
      <c r="F17" s="3922" t="str">
        <f>$A$365</f>
        <v>Dulles Park II is the only application the Applicant is submitting where there is direct or indirect interest. Applicant is selecting the priority point for Dulles Park II.</v>
      </c>
      <c r="G17" s="3923"/>
      <c r="H17" s="3923"/>
      <c r="I17" s="3923"/>
      <c r="J17" s="3923"/>
      <c r="K17" s="3923"/>
      <c r="L17" s="3923"/>
      <c r="M17" s="3923"/>
      <c r="N17" s="3923"/>
      <c r="O17" s="3924"/>
      <c r="P17" s="2143"/>
      <c r="Q17" s="3832"/>
      <c r="R17" s="3833"/>
      <c r="S17" s="3833"/>
    </row>
    <row r="18" spans="1:19" s="41" customFormat="1" ht="11.25" customHeight="1">
      <c r="A18" s="1185" t="s">
        <v>2251</v>
      </c>
      <c r="B18" s="1186" t="s">
        <v>4149</v>
      </c>
      <c r="C18" s="1187"/>
      <c r="D18" s="1188"/>
      <c r="E18" s="2117">
        <f>O369</f>
        <v>1</v>
      </c>
      <c r="F18" s="3864" t="str">
        <f>$A$380</f>
        <v>Please see Tab 39 for documentation of the GICH support letter signed by the primary contact, Donald Black, stating support for the project and that the property lies within the GICH community boundaries. Also in Tab 39, there is the local government letter agreeing to the issuance of the letter from the GICH Team. The Gray/Jones County GICH Team - Alumni Certified May 17, 2019</v>
      </c>
      <c r="G18" s="3865"/>
      <c r="H18" s="3865"/>
      <c r="I18" s="3865"/>
      <c r="J18" s="3865"/>
      <c r="K18" s="3865"/>
      <c r="L18" s="3865"/>
      <c r="M18" s="3865"/>
      <c r="N18" s="3865"/>
      <c r="O18" s="3866"/>
      <c r="P18" s="2143"/>
      <c r="Q18" s="3832"/>
      <c r="R18" s="3833"/>
      <c r="S18" s="3833"/>
    </row>
    <row r="19" spans="1:19" s="41" customFormat="1" ht="11.25" customHeight="1">
      <c r="A19" s="1179" t="s">
        <v>4096</v>
      </c>
      <c r="B19" s="965" t="s">
        <v>4150</v>
      </c>
      <c r="C19" s="1085"/>
      <c r="D19" s="1180"/>
      <c r="E19" s="2114">
        <f>$O$384</f>
        <v>0</v>
      </c>
      <c r="F19" s="3864" t="str">
        <f>$A$416</f>
        <v>N/A</v>
      </c>
      <c r="G19" s="3865"/>
      <c r="H19" s="3865"/>
      <c r="I19" s="3865"/>
      <c r="J19" s="3865"/>
      <c r="K19" s="3865"/>
      <c r="L19" s="3865"/>
      <c r="M19" s="3865"/>
      <c r="N19" s="3865"/>
      <c r="O19" s="3866"/>
      <c r="P19" s="2143"/>
      <c r="Q19" s="3832"/>
      <c r="R19" s="3833"/>
      <c r="S19" s="3833"/>
    </row>
    <row r="20" spans="1:19" s="41" customFormat="1" ht="11.25" customHeight="1">
      <c r="A20" s="1181" t="s">
        <v>4097</v>
      </c>
      <c r="B20" s="1182" t="s">
        <v>4152</v>
      </c>
      <c r="C20" s="1183"/>
      <c r="D20" s="1184"/>
      <c r="E20" s="2118">
        <f>$O$420</f>
        <v>0</v>
      </c>
      <c r="F20" s="3906" t="str">
        <f>$A$436</f>
        <v>N/A</v>
      </c>
      <c r="G20" s="3907"/>
      <c r="H20" s="3907"/>
      <c r="I20" s="3907"/>
      <c r="J20" s="3907"/>
      <c r="K20" s="3907"/>
      <c r="L20" s="3907"/>
      <c r="M20" s="3907"/>
      <c r="N20" s="3907"/>
      <c r="O20" s="3908"/>
      <c r="P20" s="2144"/>
      <c r="Q20" s="3832"/>
      <c r="R20" s="3833"/>
      <c r="S20" s="3833"/>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00"/>
      <c r="H22" s="172" t="s">
        <v>4898</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4797</v>
      </c>
      <c r="D24" s="47"/>
      <c r="E24" s="47"/>
      <c r="F24" s="2300"/>
      <c r="M24" s="5"/>
      <c r="N24" s="64" t="s">
        <v>1983</v>
      </c>
    </row>
    <row r="25" spans="1:19" s="42" customFormat="1" ht="11.25" customHeight="1">
      <c r="A25" s="178"/>
      <c r="B25" s="2084" t="s">
        <v>1986</v>
      </c>
      <c r="C25" s="110" t="s">
        <v>4800</v>
      </c>
      <c r="D25" s="47"/>
      <c r="E25" s="47"/>
      <c r="F25" s="2300"/>
      <c r="H25" s="172" t="s">
        <v>3646</v>
      </c>
      <c r="J25" s="48"/>
      <c r="M25" s="5"/>
      <c r="N25" s="390" t="s">
        <v>1986</v>
      </c>
      <c r="O25" s="2701"/>
      <c r="P25" s="1143">
        <f>F33</f>
        <v>0</v>
      </c>
    </row>
    <row r="26" spans="1:19" s="42" customFormat="1" ht="11.25" customHeight="1">
      <c r="A26" s="178"/>
      <c r="B26" s="2084" t="s">
        <v>1988</v>
      </c>
      <c r="C26" s="110" t="s">
        <v>5078</v>
      </c>
      <c r="D26" s="47"/>
      <c r="E26" s="47"/>
      <c r="F26" s="2300"/>
      <c r="H26" s="172" t="s">
        <v>4798</v>
      </c>
      <c r="J26" s="48"/>
      <c r="M26" s="5"/>
      <c r="N26" s="390" t="s">
        <v>1988</v>
      </c>
      <c r="O26" s="2702"/>
      <c r="P26" s="2077">
        <f>J33</f>
        <v>0</v>
      </c>
    </row>
    <row r="27" spans="1:19" s="42" customFormat="1" ht="11.25" customHeight="1">
      <c r="A27" s="178"/>
      <c r="B27" s="2084" t="s">
        <v>2534</v>
      </c>
      <c r="C27" s="110" t="s">
        <v>4799</v>
      </c>
      <c r="D27" s="47"/>
      <c r="E27" s="47"/>
      <c r="F27" s="2300"/>
      <c r="H27" s="172" t="s">
        <v>4803</v>
      </c>
      <c r="J27" s="48"/>
      <c r="M27" s="5"/>
      <c r="N27" s="390" t="s">
        <v>2534</v>
      </c>
      <c r="O27" s="2703"/>
      <c r="P27" s="2704"/>
    </row>
    <row r="28" spans="1:19" s="42" customFormat="1" ht="11.25" customHeight="1">
      <c r="C28" s="3926" t="s">
        <v>5040</v>
      </c>
      <c r="D28" s="3927"/>
      <c r="E28" s="3927"/>
      <c r="F28" s="3927"/>
      <c r="G28" s="3927"/>
      <c r="H28" s="3927"/>
      <c r="I28" s="3927"/>
      <c r="J28" s="3927"/>
      <c r="K28" s="3927"/>
      <c r="L28" s="3927"/>
      <c r="M28" s="3927"/>
      <c r="N28" s="3927"/>
      <c r="O28" s="3927"/>
      <c r="P28" s="3928"/>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00"/>
      <c r="H30" s="172" t="s">
        <v>2729</v>
      </c>
      <c r="J30" s="48"/>
      <c r="M30" s="5"/>
      <c r="N30" s="64" t="s">
        <v>1985</v>
      </c>
      <c r="O30" s="2705"/>
      <c r="P30" s="2080">
        <f>O33</f>
        <v>0</v>
      </c>
    </row>
    <row r="31" spans="1:19" s="426" customFormat="1" ht="3" customHeight="1">
      <c r="A31" s="584"/>
      <c r="B31" s="578"/>
      <c r="C31" s="579"/>
      <c r="D31" s="139"/>
      <c r="K31" s="904"/>
      <c r="L31" s="904"/>
      <c r="M31" s="1038"/>
      <c r="N31" s="390"/>
      <c r="O31" s="909"/>
      <c r="P31" s="909"/>
    </row>
    <row r="32" spans="1:19" s="41" customFormat="1" ht="10.95" customHeight="1">
      <c r="A32" s="3894" t="s">
        <v>5009</v>
      </c>
      <c r="B32" s="3894"/>
      <c r="C32" s="3894"/>
      <c r="D32" s="3894"/>
      <c r="E32" s="3894"/>
      <c r="F32" s="2074" t="s">
        <v>4140</v>
      </c>
      <c r="G32" s="3898" t="s">
        <v>5010</v>
      </c>
      <c r="H32" s="3898"/>
      <c r="I32" s="3898"/>
      <c r="J32" s="2074" t="s">
        <v>4140</v>
      </c>
      <c r="K32" s="3902" t="s">
        <v>4796</v>
      </c>
      <c r="L32" s="3902"/>
      <c r="M32" s="3902"/>
      <c r="N32" s="3902"/>
      <c r="O32" s="3896" t="s">
        <v>4140</v>
      </c>
      <c r="P32" s="3897"/>
      <c r="R32" s="447"/>
      <c r="S32" s="157"/>
    </row>
    <row r="33" spans="1:20" s="41" customFormat="1" ht="11.25" customHeight="1">
      <c r="A33" s="3895"/>
      <c r="B33" s="3895"/>
      <c r="C33" s="3895"/>
      <c r="D33" s="3895"/>
      <c r="E33" s="3895"/>
      <c r="F33" s="76">
        <f>SUM(F34:F45)</f>
        <v>0</v>
      </c>
      <c r="G33" s="3899"/>
      <c r="H33" s="3900"/>
      <c r="I33" s="3901"/>
      <c r="J33" s="76">
        <f>SUM(J34:J45)</f>
        <v>0</v>
      </c>
      <c r="K33" s="3903"/>
      <c r="L33" s="3904"/>
      <c r="M33" s="3904"/>
      <c r="N33" s="3905"/>
      <c r="O33" s="3885">
        <f>SUM(O34:O45)</f>
        <v>0</v>
      </c>
      <c r="P33" s="3886"/>
      <c r="Q33" s="447"/>
      <c r="R33" s="157"/>
    </row>
    <row r="34" spans="1:20" s="41" customFormat="1" ht="24.75" customHeight="1">
      <c r="A34" s="3887">
        <v>1</v>
      </c>
      <c r="B34" s="3888"/>
      <c r="C34" s="3888"/>
      <c r="D34" s="3888"/>
      <c r="E34" s="3889"/>
      <c r="F34" s="881"/>
      <c r="G34" s="3887">
        <v>1</v>
      </c>
      <c r="H34" s="3888"/>
      <c r="I34" s="3889"/>
      <c r="J34" s="885" t="s">
        <v>1733</v>
      </c>
      <c r="K34" s="3890">
        <v>1</v>
      </c>
      <c r="L34" s="3891"/>
      <c r="M34" s="3891"/>
      <c r="N34" s="3891"/>
      <c r="O34" s="3892" t="s">
        <v>1733</v>
      </c>
      <c r="P34" s="3893"/>
      <c r="Q34" s="445" t="s">
        <v>1254</v>
      </c>
      <c r="R34" s="157"/>
    </row>
    <row r="35" spans="1:20" s="41" customFormat="1" ht="24.75" customHeight="1">
      <c r="A35" s="3853">
        <v>2</v>
      </c>
      <c r="B35" s="3854"/>
      <c r="C35" s="3854"/>
      <c r="D35" s="3854"/>
      <c r="E35" s="3855"/>
      <c r="F35" s="882"/>
      <c r="G35" s="3853">
        <v>2</v>
      </c>
      <c r="H35" s="3854"/>
      <c r="I35" s="3855"/>
      <c r="J35" s="882"/>
      <c r="K35" s="3856">
        <v>2</v>
      </c>
      <c r="L35" s="3857"/>
      <c r="M35" s="3857"/>
      <c r="N35" s="3857"/>
      <c r="O35" s="3920"/>
      <c r="P35" s="3921"/>
      <c r="Q35" s="446"/>
      <c r="R35" s="157"/>
    </row>
    <row r="36" spans="1:20" s="41" customFormat="1" ht="24.75" customHeight="1">
      <c r="A36" s="3853">
        <v>3</v>
      </c>
      <c r="B36" s="3854"/>
      <c r="C36" s="3854"/>
      <c r="D36" s="3854"/>
      <c r="E36" s="3855"/>
      <c r="F36" s="882"/>
      <c r="G36" s="3853">
        <v>3</v>
      </c>
      <c r="H36" s="3854"/>
      <c r="I36" s="3855"/>
      <c r="J36" s="1189" t="s">
        <v>2905</v>
      </c>
      <c r="K36" s="3856">
        <v>3</v>
      </c>
      <c r="L36" s="3857"/>
      <c r="M36" s="3857"/>
      <c r="N36" s="3857"/>
      <c r="O36" s="4025" t="s">
        <v>2905</v>
      </c>
      <c r="P36" s="4026"/>
      <c r="Q36" s="4038" t="s">
        <v>4801</v>
      </c>
      <c r="R36" s="4039"/>
      <c r="S36" s="2078"/>
      <c r="T36" s="2078"/>
    </row>
    <row r="37" spans="1:20" s="41" customFormat="1" ht="24.75" customHeight="1">
      <c r="A37" s="3853">
        <v>4</v>
      </c>
      <c r="B37" s="3854"/>
      <c r="C37" s="3854"/>
      <c r="D37" s="3854"/>
      <c r="E37" s="3855"/>
      <c r="F37" s="882"/>
      <c r="G37" s="3853">
        <v>4</v>
      </c>
      <c r="H37" s="3854"/>
      <c r="I37" s="3855"/>
      <c r="J37" s="882"/>
      <c r="K37" s="3856">
        <v>4</v>
      </c>
      <c r="L37" s="3857"/>
      <c r="M37" s="3857"/>
      <c r="N37" s="3857"/>
      <c r="O37" s="4025" t="s">
        <v>2905</v>
      </c>
      <c r="P37" s="4026"/>
      <c r="Q37" s="4038"/>
      <c r="R37" s="4039"/>
      <c r="S37" s="2078"/>
      <c r="T37" s="2078"/>
    </row>
    <row r="38" spans="1:20" s="41" customFormat="1" ht="24.75" customHeight="1">
      <c r="A38" s="3853">
        <v>5</v>
      </c>
      <c r="B38" s="3854"/>
      <c r="C38" s="3854"/>
      <c r="D38" s="3854"/>
      <c r="E38" s="3855"/>
      <c r="F38" s="882"/>
      <c r="G38" s="3853">
        <v>5</v>
      </c>
      <c r="H38" s="3854"/>
      <c r="I38" s="3855"/>
      <c r="J38" s="1189" t="s">
        <v>3585</v>
      </c>
      <c r="K38" s="3856">
        <v>5</v>
      </c>
      <c r="L38" s="3857"/>
      <c r="M38" s="3857"/>
      <c r="N38" s="3857"/>
      <c r="O38" s="3920"/>
      <c r="P38" s="3921"/>
      <c r="Q38" s="4038"/>
      <c r="R38" s="4039"/>
      <c r="S38" s="2078"/>
      <c r="T38" s="2078"/>
    </row>
    <row r="39" spans="1:20" s="41" customFormat="1" ht="24" customHeight="1">
      <c r="A39" s="3853">
        <v>6</v>
      </c>
      <c r="B39" s="3854"/>
      <c r="C39" s="3854"/>
      <c r="D39" s="3854"/>
      <c r="E39" s="3855"/>
      <c r="F39" s="882"/>
      <c r="G39" s="3853">
        <v>6</v>
      </c>
      <c r="H39" s="3854"/>
      <c r="I39" s="3855"/>
      <c r="J39" s="882"/>
      <c r="K39" s="3856">
        <v>6</v>
      </c>
      <c r="L39" s="3857"/>
      <c r="M39" s="3857"/>
      <c r="N39" s="3857"/>
      <c r="O39" s="3920"/>
      <c r="P39" s="3921"/>
      <c r="Q39" s="4038"/>
      <c r="R39" s="4039"/>
    </row>
    <row r="40" spans="1:20" s="41" customFormat="1" ht="10.5" customHeight="1">
      <c r="A40" s="3853">
        <v>7</v>
      </c>
      <c r="B40" s="3854"/>
      <c r="C40" s="3854"/>
      <c r="D40" s="3854"/>
      <c r="E40" s="3855"/>
      <c r="F40" s="882"/>
      <c r="G40" s="3853">
        <v>7</v>
      </c>
      <c r="H40" s="3854"/>
      <c r="I40" s="3855"/>
      <c r="J40" s="1189" t="s">
        <v>3586</v>
      </c>
      <c r="K40" s="3856">
        <v>7</v>
      </c>
      <c r="L40" s="3857"/>
      <c r="M40" s="3857"/>
      <c r="N40" s="3857"/>
      <c r="O40" s="3920"/>
      <c r="P40" s="3921"/>
      <c r="Q40" s="157"/>
      <c r="R40" s="157"/>
    </row>
    <row r="41" spans="1:20" s="41" customFormat="1" ht="10.5" customHeight="1">
      <c r="A41" s="3853">
        <v>8</v>
      </c>
      <c r="B41" s="3854"/>
      <c r="C41" s="3854"/>
      <c r="D41" s="3854"/>
      <c r="E41" s="3855"/>
      <c r="F41" s="882"/>
      <c r="G41" s="3853">
        <v>8</v>
      </c>
      <c r="H41" s="3854"/>
      <c r="I41" s="3855"/>
      <c r="J41" s="882"/>
      <c r="K41" s="3856">
        <v>8</v>
      </c>
      <c r="L41" s="3857"/>
      <c r="M41" s="3857"/>
      <c r="N41" s="3857"/>
      <c r="O41" s="3920"/>
      <c r="P41" s="3921"/>
      <c r="Q41" s="157"/>
      <c r="R41" s="157"/>
    </row>
    <row r="42" spans="1:20" s="41" customFormat="1" ht="11.25" customHeight="1">
      <c r="A42" s="3853">
        <v>9</v>
      </c>
      <c r="B42" s="3854"/>
      <c r="C42" s="3854"/>
      <c r="D42" s="3854"/>
      <c r="E42" s="3855"/>
      <c r="F42" s="882"/>
      <c r="G42" s="3853">
        <v>9</v>
      </c>
      <c r="H42" s="3854"/>
      <c r="I42" s="3855"/>
      <c r="J42" s="1189" t="s">
        <v>3587</v>
      </c>
      <c r="K42" s="3856">
        <v>9</v>
      </c>
      <c r="L42" s="3857"/>
      <c r="M42" s="3857"/>
      <c r="N42" s="3857"/>
      <c r="O42" s="3920"/>
      <c r="P42" s="3921"/>
      <c r="Q42" s="157"/>
      <c r="R42" s="157"/>
    </row>
    <row r="43" spans="1:20" s="41" customFormat="1" ht="11.25" customHeight="1">
      <c r="A43" s="3853">
        <v>10</v>
      </c>
      <c r="B43" s="3854"/>
      <c r="C43" s="3854"/>
      <c r="D43" s="3854"/>
      <c r="E43" s="3855"/>
      <c r="F43" s="882"/>
      <c r="G43" s="3853">
        <v>10</v>
      </c>
      <c r="H43" s="3854"/>
      <c r="I43" s="3855"/>
      <c r="J43" s="882"/>
      <c r="K43" s="3856">
        <v>10</v>
      </c>
      <c r="L43" s="3857"/>
      <c r="M43" s="3857"/>
      <c r="N43" s="3857"/>
      <c r="O43" s="3920"/>
      <c r="P43" s="3921"/>
      <c r="Q43" s="157"/>
    </row>
    <row r="44" spans="1:20" s="41" customFormat="1" ht="11.25" customHeight="1">
      <c r="A44" s="3853">
        <v>11</v>
      </c>
      <c r="B44" s="3854"/>
      <c r="C44" s="3854"/>
      <c r="D44" s="3854"/>
      <c r="E44" s="3855"/>
      <c r="F44" s="882"/>
      <c r="G44" s="3853">
        <v>11</v>
      </c>
      <c r="H44" s="3854"/>
      <c r="I44" s="3855"/>
      <c r="J44" s="1189" t="s">
        <v>3588</v>
      </c>
      <c r="K44" s="3853">
        <v>11</v>
      </c>
      <c r="L44" s="3854"/>
      <c r="M44" s="3854"/>
      <c r="N44" s="3855"/>
      <c r="O44" s="3920"/>
      <c r="P44" s="3921"/>
      <c r="Q44" s="157"/>
      <c r="R44" s="157"/>
    </row>
    <row r="45" spans="1:20" s="41" customFormat="1" ht="11.25" customHeight="1">
      <c r="A45" s="3858">
        <v>12</v>
      </c>
      <c r="B45" s="3859"/>
      <c r="C45" s="3859"/>
      <c r="D45" s="3859"/>
      <c r="E45" s="3860"/>
      <c r="F45" s="883"/>
      <c r="G45" s="3858">
        <v>12</v>
      </c>
      <c r="H45" s="3859"/>
      <c r="I45" s="3860"/>
      <c r="J45" s="883"/>
      <c r="K45" s="3858">
        <v>12</v>
      </c>
      <c r="L45" s="3859"/>
      <c r="M45" s="3859"/>
      <c r="N45" s="3860"/>
      <c r="O45" s="3916"/>
      <c r="P45" s="3917"/>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3589</v>
      </c>
      <c r="E47" s="56"/>
      <c r="G47" s="214"/>
      <c r="H47" s="51"/>
      <c r="I47" s="44" t="s">
        <v>3489</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4811</v>
      </c>
      <c r="G48" s="87"/>
      <c r="H48" s="51"/>
      <c r="I48" s="44"/>
      <c r="K48" s="519"/>
      <c r="L48" s="886"/>
      <c r="M48" s="887"/>
      <c r="N48" s="6"/>
      <c r="O48" s="2"/>
      <c r="P48" s="2"/>
      <c r="Q48" s="109"/>
      <c r="R48" s="376"/>
    </row>
    <row r="49" spans="1:18" s="42" customFormat="1" ht="13.5" customHeight="1">
      <c r="A49" s="138" t="s">
        <v>1983</v>
      </c>
      <c r="B49" s="905" t="s">
        <v>2625</v>
      </c>
      <c r="E49" s="56"/>
      <c r="G49" s="87"/>
      <c r="H49" s="54" t="s">
        <v>5011</v>
      </c>
      <c r="J49" s="2181"/>
      <c r="K49" s="2181" t="str">
        <f>'Part I-Project Information'!$K$94</f>
        <v>40% of Units at 60% of AMI</v>
      </c>
      <c r="M49" s="887"/>
      <c r="N49" s="6"/>
      <c r="Q49" s="6"/>
      <c r="R49" s="376"/>
    </row>
    <row r="50" spans="1:18" s="102" customFormat="1" ht="9" customHeight="1">
      <c r="A50" s="138"/>
      <c r="B50" s="4040" t="s">
        <v>4805</v>
      </c>
      <c r="C50" s="4040"/>
      <c r="D50" s="4040"/>
      <c r="E50" s="4040"/>
      <c r="F50" s="4040"/>
      <c r="G50" s="4040"/>
      <c r="H50" s="4040"/>
      <c r="I50" s="4040"/>
      <c r="J50" s="4040"/>
      <c r="K50" s="4040"/>
      <c r="L50" s="4040"/>
      <c r="M50" s="887"/>
      <c r="N50" s="6"/>
      <c r="Q50" s="6"/>
      <c r="R50" s="376"/>
    </row>
    <row r="51" spans="1:18" s="102" customFormat="1" ht="13.5" customHeight="1">
      <c r="B51" s="4040"/>
      <c r="C51" s="4040"/>
      <c r="D51" s="4040"/>
      <c r="E51" s="4040"/>
      <c r="F51" s="4040"/>
      <c r="G51" s="4040"/>
      <c r="H51" s="4040"/>
      <c r="I51" s="4040"/>
      <c r="J51" s="4040"/>
      <c r="K51" s="4040"/>
      <c r="L51" s="4040"/>
      <c r="M51" s="896">
        <v>2</v>
      </c>
      <c r="N51" s="390" t="s">
        <v>1983</v>
      </c>
      <c r="O51" s="910">
        <f>MIN($M51, O52+O53)</f>
        <v>2</v>
      </c>
      <c r="P51" s="910">
        <f>MIN($M51, P52+P53)</f>
        <v>0</v>
      </c>
    </row>
    <row r="52" spans="1:18" s="102" customFormat="1" ht="13.5" customHeight="1">
      <c r="A52" s="138"/>
      <c r="B52" s="1226" t="s">
        <v>1986</v>
      </c>
      <c r="C52" s="2085" t="s">
        <v>4806</v>
      </c>
      <c r="D52" s="51"/>
      <c r="H52" s="51" t="s">
        <v>4807</v>
      </c>
      <c r="I52" s="2082"/>
      <c r="K52" s="2183">
        <f>'Part VI-Revenues &amp; Expenses'!B49</f>
        <v>56.666666666666664</v>
      </c>
      <c r="L52" s="3915" t="str">
        <f>IF(AND(O52&gt;0,O53&gt;0), "CHOOSE EITHER A OR B, NOT BOTH!", "")</f>
        <v/>
      </c>
      <c r="M52" s="1038">
        <v>2</v>
      </c>
      <c r="N52" s="174" t="s">
        <v>1986</v>
      </c>
      <c r="O52" s="2706"/>
      <c r="P52" s="529"/>
      <c r="Q52" s="2148" t="str">
        <f>IF(OR($O52=$M52,$O52=0,$O52=""),"","*CHECK!*")</f>
        <v/>
      </c>
      <c r="R52" s="984" t="s">
        <v>2706</v>
      </c>
    </row>
    <row r="53" spans="1:18" s="102" customFormat="1" ht="13.5" customHeight="1">
      <c r="A53" s="2083" t="s">
        <v>3344</v>
      </c>
      <c r="B53" s="1226" t="s">
        <v>1988</v>
      </c>
      <c r="C53" s="2085" t="s">
        <v>4808</v>
      </c>
      <c r="D53" s="51"/>
      <c r="I53" s="2082"/>
      <c r="K53" s="51"/>
      <c r="L53" s="3915"/>
      <c r="M53" s="1038">
        <v>2</v>
      </c>
      <c r="N53" s="174" t="s">
        <v>1988</v>
      </c>
      <c r="O53" s="2707">
        <v>2</v>
      </c>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3648</v>
      </c>
      <c r="E55" s="427"/>
      <c r="H55" s="3918" t="s">
        <v>4809</v>
      </c>
      <c r="I55" s="3919"/>
      <c r="J55" s="2088" t="s">
        <v>4810</v>
      </c>
      <c r="M55" s="896">
        <v>3</v>
      </c>
      <c r="N55" s="160" t="s">
        <v>1985</v>
      </c>
      <c r="O55" s="910">
        <f>IF(AND(O56="Yes", O57="Yes"),$M$55,0)</f>
        <v>0</v>
      </c>
      <c r="P55" s="910">
        <f>IF(AND(P56="Yes", P57="Yes"),$M$55,0)</f>
        <v>0</v>
      </c>
    </row>
    <row r="56" spans="1:18" s="426" customFormat="1" ht="13.5" customHeight="1">
      <c r="A56" s="425"/>
      <c r="B56" s="1226" t="s">
        <v>1986</v>
      </c>
      <c r="C56" s="2086">
        <v>0.3</v>
      </c>
      <c r="D56" s="965" t="s">
        <v>3649</v>
      </c>
      <c r="E56" s="427"/>
      <c r="F56" s="884"/>
      <c r="H56" s="2708"/>
      <c r="I56" s="1213"/>
      <c r="J56" s="2087">
        <f>'Part VI-Revenues &amp; Expenses'!O65</f>
        <v>48</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3951</v>
      </c>
      <c r="E57" s="941"/>
      <c r="F57" s="884"/>
      <c r="I57" s="908"/>
      <c r="J57" s="908"/>
      <c r="K57" s="908"/>
      <c r="L57" s="908"/>
      <c r="M57" s="908"/>
      <c r="N57" s="390" t="s">
        <v>1988</v>
      </c>
      <c r="O57" s="2673"/>
      <c r="P57" s="536"/>
    </row>
    <row r="58" spans="1:18" s="42" customFormat="1" ht="10.5" customHeight="1">
      <c r="A58" s="41"/>
      <c r="B58" s="97" t="s">
        <v>1866</v>
      </c>
      <c r="C58" s="426"/>
      <c r="D58" s="85"/>
      <c r="E58" s="2304"/>
      <c r="F58" s="2304"/>
      <c r="G58" s="2304"/>
      <c r="H58" s="2304"/>
      <c r="I58" s="2304"/>
      <c r="J58" s="2304"/>
      <c r="K58" s="2304"/>
      <c r="L58" s="2304"/>
      <c r="M58" s="2304"/>
      <c r="N58" s="74"/>
      <c r="O58" s="70"/>
      <c r="P58" s="2292"/>
      <c r="Q58" s="426"/>
    </row>
    <row r="59" spans="1:18" s="42" customFormat="1" ht="22.5" customHeight="1">
      <c r="A59" s="3489"/>
      <c r="B59" s="3490"/>
      <c r="C59" s="3490"/>
      <c r="D59" s="3490"/>
      <c r="E59" s="3490"/>
      <c r="F59" s="3490"/>
      <c r="G59" s="3490"/>
      <c r="H59" s="3490"/>
      <c r="I59" s="3490"/>
      <c r="J59" s="3490"/>
      <c r="K59" s="3490"/>
      <c r="L59" s="3490"/>
      <c r="M59" s="3490"/>
      <c r="N59" s="3490"/>
      <c r="O59" s="3490"/>
      <c r="P59" s="3491"/>
      <c r="Q59" s="445"/>
    </row>
    <row r="60" spans="1:18" ht="7.5" customHeight="1" thickBot="1"/>
    <row r="61" spans="1:18" s="42" customFormat="1" ht="12.6" customHeight="1" thickBot="1">
      <c r="A61" s="152" t="s">
        <v>742</v>
      </c>
      <c r="B61" s="105" t="s">
        <v>4091</v>
      </c>
      <c r="D61" s="40"/>
      <c r="I61" s="3863" t="s">
        <v>3765</v>
      </c>
      <c r="J61" s="3863"/>
      <c r="K61" s="3863"/>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3850</v>
      </c>
      <c r="D63" s="32"/>
      <c r="N63" s="463"/>
      <c r="O63" s="2671" t="s">
        <v>2990</v>
      </c>
      <c r="P63" s="534"/>
    </row>
    <row r="64" spans="1:18" s="102" customFormat="1" ht="12" customHeight="1">
      <c r="A64" s="138" t="s">
        <v>1983</v>
      </c>
      <c r="B64" s="165" t="s">
        <v>1874</v>
      </c>
      <c r="C64" s="3"/>
      <c r="D64" s="3"/>
      <c r="F64" s="296"/>
      <c r="H64" s="851" t="s">
        <v>2718</v>
      </c>
      <c r="I64" s="3861" t="s">
        <v>4171</v>
      </c>
      <c r="J64" s="3861"/>
      <c r="K64" s="3861"/>
      <c r="L64" s="3861"/>
      <c r="M64" s="72">
        <v>10</v>
      </c>
      <c r="N64" s="174" t="s">
        <v>1983</v>
      </c>
      <c r="O64" s="2706">
        <v>10</v>
      </c>
      <c r="P64" s="529"/>
      <c r="Q64" s="2148" t="str">
        <f>IF(OR($O64=$M64,$O64=0,$O64=""),"","*CHECK!*")</f>
        <v/>
      </c>
    </row>
    <row r="65" spans="1:21" s="102" customFormat="1" ht="12.6" customHeight="1">
      <c r="A65" s="138" t="s">
        <v>1985</v>
      </c>
      <c r="B65" s="165" t="s">
        <v>3839</v>
      </c>
      <c r="D65" s="1113"/>
      <c r="F65" s="2182"/>
      <c r="H65" s="851" t="s">
        <v>3980</v>
      </c>
      <c r="I65" s="3861"/>
      <c r="J65" s="3861"/>
      <c r="K65" s="3861"/>
      <c r="L65" s="3861"/>
      <c r="M65" s="2307" t="s">
        <v>1238</v>
      </c>
      <c r="N65" s="463" t="s">
        <v>1985</v>
      </c>
      <c r="O65" s="2707"/>
      <c r="P65" s="530"/>
    </row>
    <row r="66" spans="1:21" s="42" customFormat="1" ht="11.25" customHeight="1" thickBot="1">
      <c r="A66" s="41"/>
      <c r="B66" s="1206" t="s">
        <v>3750</v>
      </c>
      <c r="C66" s="41"/>
      <c r="D66" s="47"/>
      <c r="E66" s="47"/>
      <c r="F66" s="47"/>
      <c r="G66" s="47"/>
      <c r="H66" s="35"/>
      <c r="I66" s="3862"/>
      <c r="J66" s="3862"/>
      <c r="K66" s="3862"/>
      <c r="L66" s="3862"/>
      <c r="M66" s="45"/>
      <c r="N66" s="61"/>
      <c r="O66" s="2"/>
      <c r="P66" s="2295"/>
    </row>
    <row r="67" spans="1:21" s="42" customFormat="1" ht="72" customHeight="1" thickTop="1" thickBot="1">
      <c r="A67" s="3756" t="s">
        <v>5274</v>
      </c>
      <c r="B67" s="3757"/>
      <c r="C67" s="3757"/>
      <c r="D67" s="3757"/>
      <c r="E67" s="3757"/>
      <c r="F67" s="3757"/>
      <c r="G67" s="3757"/>
      <c r="H67" s="3757"/>
      <c r="I67" s="3757"/>
      <c r="J67" s="3757"/>
      <c r="K67" s="3757"/>
      <c r="L67" s="3757"/>
      <c r="M67" s="3757"/>
      <c r="N67" s="3757"/>
      <c r="O67" s="3757"/>
      <c r="P67" s="3758"/>
      <c r="Q67" s="1074" t="s">
        <v>1254</v>
      </c>
      <c r="R67" s="446"/>
    </row>
    <row r="68" spans="1:21" s="42" customFormat="1" ht="11.7" customHeight="1" thickTop="1">
      <c r="A68" s="41"/>
      <c r="B68" s="66" t="s">
        <v>1866</v>
      </c>
      <c r="C68" s="41"/>
      <c r="D68" s="136"/>
      <c r="E68" s="2304"/>
      <c r="F68" s="2304"/>
      <c r="G68" s="2304"/>
      <c r="H68" s="2304"/>
      <c r="I68" s="2304"/>
      <c r="J68" s="2304"/>
      <c r="K68" s="2304"/>
      <c r="L68" s="2304"/>
      <c r="M68" s="2304"/>
      <c r="N68" s="74"/>
      <c r="O68" s="70"/>
      <c r="P68" s="2292"/>
      <c r="Q68" s="426"/>
      <c r="R68" s="426"/>
    </row>
    <row r="69" spans="1:21" s="42" customFormat="1" ht="72" customHeight="1">
      <c r="A69" s="3489"/>
      <c r="B69" s="3490"/>
      <c r="C69" s="3490"/>
      <c r="D69" s="3490"/>
      <c r="E69" s="3490"/>
      <c r="F69" s="3490"/>
      <c r="G69" s="3490"/>
      <c r="H69" s="3490"/>
      <c r="I69" s="3490"/>
      <c r="J69" s="3490"/>
      <c r="K69" s="3490"/>
      <c r="L69" s="3490"/>
      <c r="M69" s="3490"/>
      <c r="N69" s="3490"/>
      <c r="O69" s="3490"/>
      <c r="P69" s="3491"/>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92">
        <v>6</v>
      </c>
      <c r="N71" s="463"/>
      <c r="O71" s="1090">
        <f>IF($J$72="Flexible",MIN($M71,MAX(O86,O92)),IF(AND($J$72="Rural",O100&gt;0),MIN($M100,O100),0))</f>
        <v>2</v>
      </c>
      <c r="P71" s="1090">
        <f>IF($J$72="Flexible",MIN($M71,MAX(P86,P92)),IF(AND($J$72="Rural",P100&gt;0),MIN($M100,P100),0))</f>
        <v>0</v>
      </c>
      <c r="Q71" s="109" t="s">
        <v>441</v>
      </c>
      <c r="R71" s="3819" t="s">
        <v>5013</v>
      </c>
      <c r="S71" s="3819"/>
      <c r="T71" s="3819"/>
      <c r="U71" s="3819"/>
    </row>
    <row r="72" spans="1:21" s="42" customFormat="1" ht="17.25" customHeight="1">
      <c r="A72" s="152"/>
      <c r="B72" s="110" t="s">
        <v>3954</v>
      </c>
      <c r="D72" s="40"/>
      <c r="H72" s="165" t="s">
        <v>2794</v>
      </c>
      <c r="I72" s="515"/>
      <c r="J72" s="513" t="str">
        <f>'Part I-Project Information'!$H$105</f>
        <v>Rural</v>
      </c>
      <c r="K72" s="47"/>
      <c r="M72" s="2292"/>
      <c r="N72" s="463"/>
      <c r="O72" s="1015" t="s">
        <v>3595</v>
      </c>
      <c r="P72" s="1015" t="s">
        <v>3596</v>
      </c>
      <c r="Q72" s="109"/>
      <c r="R72" s="3819"/>
      <c r="S72" s="3819"/>
      <c r="T72" s="3819"/>
      <c r="U72" s="3819"/>
    </row>
    <row r="73" spans="1:21" s="42" customFormat="1" ht="11.25" customHeight="1">
      <c r="A73" s="152"/>
      <c r="B73" s="374" t="s">
        <v>1986</v>
      </c>
      <c r="C73" s="35" t="s">
        <v>4816</v>
      </c>
      <c r="D73" s="1113"/>
      <c r="E73" s="102"/>
      <c r="F73" s="102"/>
      <c r="G73" s="102"/>
      <c r="H73" s="44"/>
      <c r="I73" s="48"/>
      <c r="J73" s="47"/>
      <c r="K73" s="47"/>
      <c r="L73" s="102"/>
      <c r="M73" s="2292"/>
      <c r="N73" s="463"/>
      <c r="O73" s="2671"/>
      <c r="P73" s="534"/>
      <c r="Q73" s="109"/>
      <c r="R73" s="3819"/>
      <c r="S73" s="3819"/>
      <c r="T73" s="3819"/>
      <c r="U73" s="3819"/>
    </row>
    <row r="74" spans="1:21" s="42" customFormat="1" ht="11.25" customHeight="1">
      <c r="A74" s="152"/>
      <c r="B74" s="374" t="s">
        <v>1988</v>
      </c>
      <c r="C74" s="35" t="s">
        <v>4817</v>
      </c>
      <c r="D74" s="1113"/>
      <c r="E74" s="102"/>
      <c r="F74" s="102"/>
      <c r="G74" s="102"/>
      <c r="H74" s="44"/>
      <c r="I74" s="48"/>
      <c r="J74" s="47"/>
      <c r="K74" s="47"/>
      <c r="L74" s="102"/>
      <c r="M74" s="102"/>
      <c r="N74" s="463"/>
      <c r="O74" s="2672"/>
      <c r="P74" s="535"/>
      <c r="Q74" s="109"/>
      <c r="R74" s="3819"/>
      <c r="S74" s="3819"/>
      <c r="T74" s="3819"/>
      <c r="U74" s="3819"/>
    </row>
    <row r="75" spans="1:21" s="42" customFormat="1" ht="11.25" customHeight="1">
      <c r="A75" s="152"/>
      <c r="B75" s="374" t="s">
        <v>2534</v>
      </c>
      <c r="C75" s="35" t="s">
        <v>4818</v>
      </c>
      <c r="D75" s="1113"/>
      <c r="E75" s="102"/>
      <c r="F75" s="102"/>
      <c r="G75" s="102"/>
      <c r="H75" s="44"/>
      <c r="I75" s="48"/>
      <c r="J75" s="47"/>
      <c r="K75" s="47"/>
      <c r="L75" s="102"/>
      <c r="M75" s="102"/>
      <c r="N75" s="463"/>
      <c r="O75" s="2672"/>
      <c r="P75" s="535"/>
      <c r="Q75" s="109"/>
      <c r="R75" s="3819"/>
      <c r="S75" s="3819"/>
      <c r="T75" s="3819"/>
      <c r="U75" s="3819"/>
    </row>
    <row r="76" spans="1:21" s="42" customFormat="1" ht="11.25" customHeight="1">
      <c r="A76" s="152"/>
      <c r="B76" s="374" t="s">
        <v>1224</v>
      </c>
      <c r="C76" s="35" t="s">
        <v>4812</v>
      </c>
      <c r="D76" s="1113"/>
      <c r="E76" s="102"/>
      <c r="F76" s="102"/>
      <c r="G76" s="102"/>
      <c r="H76" s="44"/>
      <c r="I76" s="48"/>
      <c r="J76" s="47"/>
      <c r="K76" s="47"/>
      <c r="L76" s="102"/>
      <c r="M76" s="102"/>
      <c r="N76" s="463"/>
      <c r="O76" s="2673"/>
      <c r="P76" s="536"/>
      <c r="Q76" s="109"/>
      <c r="R76" s="3819"/>
      <c r="S76" s="3819"/>
      <c r="T76" s="3819"/>
      <c r="U76" s="3819"/>
    </row>
    <row r="77" spans="1:21" s="42" customFormat="1" ht="3" customHeight="1">
      <c r="A77" s="152"/>
      <c r="B77" s="105"/>
      <c r="D77" s="40"/>
      <c r="H77" s="44"/>
      <c r="I77" s="48"/>
      <c r="J77" s="47"/>
      <c r="K77" s="47"/>
      <c r="M77" s="2292"/>
      <c r="N77" s="463"/>
      <c r="O77" s="2"/>
      <c r="P77" s="2"/>
      <c r="Q77" s="109"/>
      <c r="R77" s="3819"/>
      <c r="S77" s="3819"/>
      <c r="T77" s="3819"/>
      <c r="U77" s="3819"/>
    </row>
    <row r="78" spans="1:21" s="42" customFormat="1" ht="13.5" customHeight="1">
      <c r="A78" s="152"/>
      <c r="B78" s="110" t="s">
        <v>3960</v>
      </c>
      <c r="D78" s="40"/>
      <c r="F78" s="3842" t="s">
        <v>3714</v>
      </c>
      <c r="G78" s="3842"/>
      <c r="H78" s="3842"/>
      <c r="I78" s="3842"/>
      <c r="J78" s="3842" t="s">
        <v>3715</v>
      </c>
      <c r="K78" s="3842"/>
      <c r="L78" s="3842"/>
      <c r="M78" s="3842"/>
      <c r="N78" s="463"/>
      <c r="O78" s="3849" t="s">
        <v>5012</v>
      </c>
      <c r="P78" s="3850"/>
      <c r="Q78" s="109"/>
      <c r="R78" s="3819"/>
      <c r="S78" s="3819"/>
      <c r="T78" s="3819"/>
      <c r="U78" s="3819"/>
    </row>
    <row r="79" spans="1:21" s="42" customFormat="1" ht="12.75" customHeight="1">
      <c r="A79" s="152"/>
      <c r="C79" s="490" t="s">
        <v>3959</v>
      </c>
      <c r="D79" s="608"/>
      <c r="E79" s="269"/>
      <c r="F79" s="3820">
        <v>33.00714</v>
      </c>
      <c r="G79" s="3821"/>
      <c r="H79" s="3851"/>
      <c r="I79" s="3852"/>
      <c r="J79" s="3820">
        <v>-83.544801000000007</v>
      </c>
      <c r="K79" s="3821"/>
      <c r="L79" s="3851"/>
      <c r="M79" s="3852"/>
      <c r="N79" s="463"/>
      <c r="Q79" s="109"/>
      <c r="R79" s="3819"/>
      <c r="S79" s="3819"/>
      <c r="T79" s="3819"/>
      <c r="U79" s="3819"/>
    </row>
    <row r="80" spans="1:21" s="42" customFormat="1" ht="12.75" customHeight="1">
      <c r="A80" s="3929" t="s">
        <v>4137</v>
      </c>
      <c r="B80" s="3929"/>
      <c r="D80" s="1160" t="s">
        <v>3961</v>
      </c>
      <c r="E80" s="269"/>
      <c r="F80" s="3740"/>
      <c r="G80" s="3741"/>
      <c r="H80" s="3883"/>
      <c r="I80" s="3884"/>
      <c r="J80" s="3740"/>
      <c r="K80" s="3741"/>
      <c r="L80" s="3883"/>
      <c r="M80" s="3884"/>
      <c r="N80" s="463"/>
      <c r="O80" s="2709"/>
      <c r="P80" s="1167"/>
      <c r="Q80" s="109"/>
      <c r="R80" s="3819"/>
      <c r="S80" s="3819"/>
      <c r="T80" s="3819"/>
      <c r="U80" s="3819"/>
    </row>
    <row r="81" spans="1:21" s="42" customFormat="1" ht="12.75" customHeight="1">
      <c r="A81" s="3929"/>
      <c r="B81" s="3929"/>
      <c r="C81" s="490" t="s">
        <v>4089</v>
      </c>
      <c r="D81" s="608"/>
      <c r="E81" s="269"/>
      <c r="F81" s="3830"/>
      <c r="G81" s="3831"/>
      <c r="H81" s="3843"/>
      <c r="I81" s="3844"/>
      <c r="J81" s="3830"/>
      <c r="K81" s="3831"/>
      <c r="L81" s="3843"/>
      <c r="M81" s="3844"/>
      <c r="N81" s="463"/>
      <c r="O81" s="463"/>
      <c r="P81" s="463"/>
      <c r="Q81" s="109"/>
      <c r="R81" s="3819"/>
      <c r="S81" s="3819"/>
      <c r="T81" s="3819"/>
      <c r="U81" s="3819"/>
    </row>
    <row r="82" spans="1:21" s="42" customFormat="1" ht="12.75" customHeight="1">
      <c r="A82" s="3929"/>
      <c r="B82" s="3929"/>
      <c r="E82" s="2055" t="s">
        <v>4088</v>
      </c>
      <c r="F82" s="3737"/>
      <c r="G82" s="3738"/>
      <c r="H82" s="3840"/>
      <c r="I82" s="3841"/>
      <c r="J82" s="3737"/>
      <c r="K82" s="3738"/>
      <c r="L82" s="3840"/>
      <c r="M82" s="3841"/>
      <c r="N82" s="463"/>
      <c r="O82" s="2709"/>
      <c r="P82" s="1167"/>
      <c r="Q82" s="109"/>
      <c r="R82" s="3819"/>
      <c r="S82" s="3819"/>
      <c r="T82" s="3819"/>
      <c r="U82" s="3819"/>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2785</v>
      </c>
      <c r="B84" s="105"/>
      <c r="D84" s="40"/>
      <c r="F84" s="60" t="s">
        <v>3751</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1983</v>
      </c>
      <c r="B86" s="165" t="s">
        <v>3743</v>
      </c>
      <c r="D86" s="40"/>
      <c r="F86" s="44" t="s">
        <v>3852</v>
      </c>
      <c r="M86" s="2292">
        <v>6</v>
      </c>
      <c r="N86" s="390" t="s">
        <v>1983</v>
      </c>
      <c r="O86" s="1018">
        <f>IF($J$72="Flexible",MIN($M86,O87+O88+O89),0)</f>
        <v>0</v>
      </c>
      <c r="P86" s="1018">
        <f>IF($J$72="Flexible",MIN($M86,P87+P88+P89),0)</f>
        <v>0</v>
      </c>
      <c r="Q86" s="109"/>
    </row>
    <row r="87" spans="1:21" s="412" customFormat="1" ht="23.25" customHeight="1">
      <c r="B87" s="440" t="s">
        <v>1986</v>
      </c>
      <c r="C87" s="3497" t="s">
        <v>4813</v>
      </c>
      <c r="D87" s="3497"/>
      <c r="E87" s="3497"/>
      <c r="F87" s="3497"/>
      <c r="G87" s="3497"/>
      <c r="H87" s="3497"/>
      <c r="I87" s="4027" t="s">
        <v>4086</v>
      </c>
      <c r="J87" s="4028"/>
      <c r="K87" s="4028"/>
      <c r="L87" s="4029"/>
      <c r="M87" s="510">
        <v>5</v>
      </c>
      <c r="N87" s="478" t="s">
        <v>1986</v>
      </c>
      <c r="O87" s="2710"/>
      <c r="P87" s="861"/>
      <c r="Q87" s="2148" t="str">
        <f>IF(OR($O87=$M87,$O87=0,$O87=""),"","*CHECK!*")</f>
        <v/>
      </c>
      <c r="R87" s="984" t="s">
        <v>2706</v>
      </c>
    </row>
    <row r="88" spans="1:21" s="412" customFormat="1" ht="12" customHeight="1">
      <c r="A88" s="584" t="s">
        <v>1353</v>
      </c>
      <c r="B88" s="440" t="s">
        <v>1988</v>
      </c>
      <c r="C88" s="391" t="s">
        <v>3955</v>
      </c>
      <c r="D88" s="391"/>
      <c r="E88" s="391"/>
      <c r="F88" s="391"/>
      <c r="G88" s="391"/>
      <c r="H88" s="2307" t="str">
        <f>IF(AND(O88&gt;0,O87&gt;0),"Pick A1 or A2!","")</f>
        <v/>
      </c>
      <c r="I88" s="4030"/>
      <c r="J88" s="4031"/>
      <c r="K88" s="4031"/>
      <c r="L88" s="4032"/>
      <c r="M88" s="72">
        <v>4</v>
      </c>
      <c r="N88" s="435" t="s">
        <v>1988</v>
      </c>
      <c r="O88" s="2706"/>
      <c r="P88" s="529"/>
      <c r="Q88" s="2148" t="str">
        <f>IF(OR($O88=$M88,$O88=0,$O88=""),"","*CHECK!*")</f>
        <v/>
      </c>
      <c r="R88" s="984" t="s">
        <v>2706</v>
      </c>
    </row>
    <row r="89" spans="1:21" s="412" customFormat="1" ht="12" customHeight="1">
      <c r="B89" s="440" t="s">
        <v>2534</v>
      </c>
      <c r="C89" s="391" t="s">
        <v>3744</v>
      </c>
      <c r="D89" s="391"/>
      <c r="E89" s="391"/>
      <c r="F89" s="391"/>
      <c r="I89" s="4030"/>
      <c r="J89" s="4031"/>
      <c r="K89" s="4031"/>
      <c r="L89" s="4032"/>
      <c r="M89" s="72">
        <v>1</v>
      </c>
      <c r="N89" s="435" t="s">
        <v>2534</v>
      </c>
      <c r="O89" s="2707"/>
      <c r="P89" s="530"/>
      <c r="Q89" s="2148" t="str">
        <f>IF(OR($O89=$M89,$O89=0,$O89=""),"","*CHECK!*")</f>
        <v/>
      </c>
      <c r="R89" s="984" t="s">
        <v>2706</v>
      </c>
    </row>
    <row r="90" spans="1:21" s="412" customFormat="1" ht="12" customHeight="1">
      <c r="B90" s="440"/>
      <c r="C90" s="851" t="s">
        <v>4087</v>
      </c>
      <c r="D90" s="391"/>
      <c r="E90" s="391"/>
      <c r="F90" s="2090" t="str">
        <f>'Part I-Project Information'!$H$82</f>
        <v>HFOP</v>
      </c>
      <c r="G90" s="851"/>
      <c r="H90" s="2090"/>
      <c r="I90" s="4030"/>
      <c r="J90" s="4031"/>
      <c r="K90" s="4031"/>
      <c r="L90" s="4032"/>
      <c r="M90" s="102"/>
      <c r="N90" s="102"/>
      <c r="O90" s="102"/>
      <c r="P90" s="102"/>
      <c r="Q90" s="1020"/>
      <c r="R90" s="1134"/>
    </row>
    <row r="91" spans="1:21" s="412" customFormat="1" ht="12" customHeight="1">
      <c r="B91" s="440"/>
      <c r="C91" s="851"/>
      <c r="D91" s="391"/>
      <c r="E91" s="391"/>
      <c r="F91" s="2090"/>
      <c r="G91" s="851"/>
      <c r="H91" s="2090"/>
      <c r="I91" s="4033"/>
      <c r="J91" s="4034"/>
      <c r="K91" s="4034"/>
      <c r="L91" s="4035"/>
      <c r="M91" s="102"/>
      <c r="N91" s="102"/>
      <c r="O91" s="102"/>
      <c r="P91" s="102"/>
      <c r="Q91" s="1020"/>
      <c r="R91" s="1134"/>
    </row>
    <row r="92" spans="1:21" s="412" customFormat="1" ht="12" customHeight="1">
      <c r="A92" s="143" t="s">
        <v>1985</v>
      </c>
      <c r="B92" s="1133" t="s">
        <v>3745</v>
      </c>
      <c r="C92" s="632"/>
      <c r="D92" s="632"/>
      <c r="E92" s="632"/>
      <c r="F92" s="1110" t="s">
        <v>3851</v>
      </c>
      <c r="I92" s="3845" t="s">
        <v>5204</v>
      </c>
      <c r="J92" s="3846"/>
      <c r="K92" s="3846"/>
      <c r="L92" s="3867">
        <v>4789866432</v>
      </c>
      <c r="M92" s="2292">
        <v>3</v>
      </c>
      <c r="N92" s="463" t="s">
        <v>1985</v>
      </c>
      <c r="O92" s="1018">
        <f>IF($J$72="Flexible",MIN($M92,O95+O96+O97),0)</f>
        <v>0</v>
      </c>
      <c r="P92" s="1018">
        <f>IF($J$72="Flexible",MIN($M92,P95+P96+P97),0)</f>
        <v>0</v>
      </c>
      <c r="Q92" s="511"/>
      <c r="R92" s="389"/>
    </row>
    <row r="93" spans="1:21" s="42" customFormat="1" ht="11.25" customHeight="1">
      <c r="A93" s="152"/>
      <c r="B93" s="387" t="s">
        <v>3776</v>
      </c>
      <c r="C93" s="172" t="s">
        <v>4815</v>
      </c>
      <c r="D93" s="1113"/>
      <c r="E93" s="102"/>
      <c r="F93" s="102"/>
      <c r="G93" s="102"/>
      <c r="H93" s="44"/>
      <c r="I93" s="3847"/>
      <c r="J93" s="3848"/>
      <c r="K93" s="3848"/>
      <c r="L93" s="3868"/>
      <c r="M93" s="102"/>
      <c r="N93" s="387" t="s">
        <v>3776</v>
      </c>
      <c r="O93" s="2680"/>
      <c r="P93" s="940"/>
      <c r="Q93" s="109"/>
      <c r="R93" s="389"/>
      <c r="S93" s="412"/>
      <c r="T93" s="412"/>
      <c r="U93" s="412"/>
    </row>
    <row r="94" spans="1:21" s="42" customFormat="1" ht="11.25" customHeight="1">
      <c r="A94" s="152"/>
      <c r="B94" s="387" t="s">
        <v>3777</v>
      </c>
      <c r="C94" s="172" t="s">
        <v>4814</v>
      </c>
      <c r="D94" s="1113"/>
      <c r="E94" s="102"/>
      <c r="F94" s="102"/>
      <c r="G94" s="102"/>
      <c r="H94" s="44"/>
      <c r="I94" s="3834" t="s">
        <v>5205</v>
      </c>
      <c r="J94" s="3835"/>
      <c r="K94" s="3835"/>
      <c r="L94" s="3836"/>
      <c r="M94" s="102"/>
      <c r="N94" s="387" t="s">
        <v>3777</v>
      </c>
      <c r="O94" s="2673"/>
      <c r="P94" s="536"/>
      <c r="Q94" s="109"/>
      <c r="R94" s="389"/>
      <c r="S94" s="412"/>
      <c r="T94" s="412"/>
      <c r="U94" s="412"/>
    </row>
    <row r="95" spans="1:21" s="412" customFormat="1" ht="12" customHeight="1">
      <c r="A95" s="138"/>
      <c r="B95" s="2184" t="s">
        <v>1986</v>
      </c>
      <c r="C95" s="3551" t="s">
        <v>3956</v>
      </c>
      <c r="D95" s="3551"/>
      <c r="E95" s="3551"/>
      <c r="F95" s="3551"/>
      <c r="G95" s="3551"/>
      <c r="H95" s="3829"/>
      <c r="I95" s="3837"/>
      <c r="J95" s="3838"/>
      <c r="K95" s="3838"/>
      <c r="L95" s="3839"/>
      <c r="M95" s="72">
        <v>3</v>
      </c>
      <c r="N95" s="435" t="s">
        <v>1986</v>
      </c>
      <c r="O95" s="2706"/>
      <c r="P95" s="528"/>
      <c r="Q95" s="1020" t="str">
        <f>IF(OR($O95=$M95,$O95=0,$O95=""),"","*CHECK!*")</f>
        <v/>
      </c>
      <c r="R95" s="1134" t="s">
        <v>2706</v>
      </c>
    </row>
    <row r="96" spans="1:21" s="42" customFormat="1" ht="12" customHeight="1">
      <c r="A96" s="584" t="s">
        <v>1353</v>
      </c>
      <c r="B96" s="2184" t="s">
        <v>1988</v>
      </c>
      <c r="C96" s="3551" t="s">
        <v>3957</v>
      </c>
      <c r="D96" s="3551"/>
      <c r="E96" s="3551"/>
      <c r="F96" s="3551"/>
      <c r="G96" s="3551"/>
      <c r="H96" s="3829"/>
      <c r="I96" s="3834" t="s">
        <v>5206</v>
      </c>
      <c r="J96" s="3835"/>
      <c r="K96" s="3835"/>
      <c r="L96" s="3836"/>
      <c r="M96" s="72">
        <v>2</v>
      </c>
      <c r="N96" s="435" t="s">
        <v>1988</v>
      </c>
      <c r="O96" s="2706"/>
      <c r="P96" s="529"/>
      <c r="Q96" s="1020" t="str">
        <f>IF(OR($O96=$M96,$O96=0,$O96=""),"","*CHECK!*")</f>
        <v/>
      </c>
      <c r="R96" s="1134" t="s">
        <v>2706</v>
      </c>
    </row>
    <row r="97" spans="1:18" s="42" customFormat="1" ht="14.25" customHeight="1">
      <c r="A97" s="584" t="s">
        <v>1353</v>
      </c>
      <c r="B97" s="2184" t="s">
        <v>2534</v>
      </c>
      <c r="C97" s="3551" t="s">
        <v>3958</v>
      </c>
      <c r="D97" s="3551"/>
      <c r="E97" s="3551"/>
      <c r="F97" s="3551"/>
      <c r="G97" s="3551"/>
      <c r="H97" s="3829"/>
      <c r="I97" s="3837"/>
      <c r="J97" s="3838"/>
      <c r="K97" s="3838"/>
      <c r="L97" s="3839"/>
      <c r="M97" s="72">
        <v>1</v>
      </c>
      <c r="N97" s="435" t="s">
        <v>2534</v>
      </c>
      <c r="O97" s="2707"/>
      <c r="P97" s="530"/>
      <c r="Q97" s="1020" t="str">
        <f>IF(OR($O97=$M97,$O97=0,$O97=""),"","*CHECK!*")</f>
        <v/>
      </c>
      <c r="R97" s="1134" t="s">
        <v>2706</v>
      </c>
    </row>
    <row r="98" spans="1:18" s="42" customFormat="1" ht="14.25" customHeight="1">
      <c r="A98" s="1111"/>
      <c r="B98" s="2075"/>
      <c r="C98" s="2297"/>
      <c r="D98" s="2297"/>
      <c r="E98" s="2297"/>
      <c r="F98" s="3590" t="str">
        <f>IF(OR(AND(O95&gt;0,O96&gt;0,O97&gt;0),AND(O95&gt;0,O96&gt;0),AND(O95&gt;0,O97&gt;0),AND(O96&gt;0,O97&gt;0)),"Choose only one option: B1 or B2 or B3!","")</f>
        <v/>
      </c>
      <c r="G98" s="3590"/>
      <c r="H98" s="3878"/>
      <c r="I98" s="3834" t="s">
        <v>5206</v>
      </c>
      <c r="J98" s="3835"/>
      <c r="K98" s="3835"/>
      <c r="L98" s="3836"/>
      <c r="M98" s="102"/>
      <c r="N98" s="102"/>
      <c r="O98" s="102"/>
      <c r="P98" s="102"/>
      <c r="Q98" s="1020"/>
      <c r="R98" s="1134"/>
    </row>
    <row r="99" spans="1:18" s="42" customFormat="1" ht="12.6" customHeight="1">
      <c r="A99" s="514" t="s">
        <v>2787</v>
      </c>
      <c r="B99" s="165"/>
      <c r="E99" s="40"/>
      <c r="I99" s="3880"/>
      <c r="J99" s="3881"/>
      <c r="K99" s="3881"/>
      <c r="L99" s="3882"/>
      <c r="M99" s="72"/>
      <c r="N99" s="72"/>
      <c r="O99" s="72"/>
      <c r="P99" s="72"/>
      <c r="Q99" s="376"/>
      <c r="R99" s="376"/>
    </row>
    <row r="100" spans="1:18" s="102" customFormat="1" ht="12" customHeight="1">
      <c r="A100" s="138"/>
      <c r="B100" s="440" t="s">
        <v>1224</v>
      </c>
      <c r="C100" s="4042" t="s">
        <v>4922</v>
      </c>
      <c r="D100" s="4042"/>
      <c r="E100" s="4042"/>
      <c r="F100" s="4042"/>
      <c r="G100" s="4042"/>
      <c r="H100" s="4042"/>
      <c r="I100" s="165"/>
      <c r="J100" s="165"/>
      <c r="K100" s="165"/>
      <c r="L100" s="165"/>
      <c r="M100" s="72">
        <v>2</v>
      </c>
      <c r="N100" s="435" t="s">
        <v>1224</v>
      </c>
      <c r="O100" s="2711">
        <v>2</v>
      </c>
      <c r="P100" s="859"/>
      <c r="Q100" s="1020" t="str">
        <f>IF(OR($O100=$M100,$O100=0,$O100=""),"","*CHECK!*")</f>
        <v/>
      </c>
      <c r="R100" s="1134" t="s">
        <v>2706</v>
      </c>
    </row>
    <row r="101" spans="1:18" s="102" customFormat="1" ht="12" customHeight="1">
      <c r="A101" s="138"/>
      <c r="B101" s="440"/>
      <c r="C101" s="4042"/>
      <c r="D101" s="4042"/>
      <c r="E101" s="4042"/>
      <c r="F101" s="4042"/>
      <c r="G101" s="4042"/>
      <c r="H101" s="4042"/>
      <c r="I101" s="165"/>
      <c r="J101" s="165"/>
      <c r="K101" s="165"/>
      <c r="L101" s="165"/>
      <c r="M101" s="165"/>
      <c r="N101" s="165"/>
      <c r="O101" s="165"/>
      <c r="P101" s="165"/>
      <c r="Q101" s="1020"/>
      <c r="R101" s="1134"/>
    </row>
    <row r="102" spans="1:18" s="42" customFormat="1" ht="12.6" customHeight="1">
      <c r="A102" s="35" t="s">
        <v>4090</v>
      </c>
      <c r="B102" s="165"/>
      <c r="E102" s="40"/>
      <c r="K102" s="47"/>
      <c r="M102" s="72"/>
      <c r="N102" s="72"/>
      <c r="O102" s="72"/>
      <c r="P102" s="72"/>
      <c r="Q102" s="376"/>
      <c r="R102" s="376"/>
    </row>
    <row r="103" spans="1:18" s="102" customFormat="1" ht="11.7" customHeight="1">
      <c r="A103" s="41"/>
      <c r="B103" s="97" t="s">
        <v>1866</v>
      </c>
      <c r="C103" s="41"/>
      <c r="D103" s="97"/>
      <c r="E103" s="2310"/>
      <c r="F103" s="2310"/>
      <c r="G103" s="2310"/>
      <c r="H103" s="2310"/>
      <c r="I103" s="2310"/>
      <c r="J103" s="2310"/>
      <c r="K103" s="2310"/>
      <c r="L103" s="2310"/>
      <c r="M103" s="2310"/>
      <c r="N103" s="93"/>
      <c r="O103" s="872"/>
      <c r="P103" s="2292"/>
      <c r="Q103" s="426"/>
    </row>
    <row r="104" spans="1:18" s="42" customFormat="1" ht="11.25" customHeight="1">
      <c r="A104" s="3489"/>
      <c r="B104" s="3490"/>
      <c r="C104" s="3490"/>
      <c r="D104" s="3490"/>
      <c r="E104" s="3490"/>
      <c r="F104" s="3490"/>
      <c r="G104" s="3490"/>
      <c r="H104" s="3490"/>
      <c r="I104" s="3490"/>
      <c r="J104" s="3490"/>
      <c r="K104" s="3490"/>
      <c r="L104" s="3490"/>
      <c r="M104" s="3490"/>
      <c r="N104" s="3490"/>
      <c r="O104" s="3490"/>
      <c r="P104" s="3491"/>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3978</v>
      </c>
      <c r="D107" s="38"/>
      <c r="E107" s="35"/>
      <c r="F107" s="887"/>
      <c r="G107" s="887"/>
      <c r="H107" s="887"/>
      <c r="I107" s="60" t="s">
        <v>3751</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1983</v>
      </c>
      <c r="B109" s="869" t="s">
        <v>3979</v>
      </c>
      <c r="C109" s="92"/>
      <c r="D109" s="1087"/>
      <c r="E109" s="51" t="s">
        <v>4093</v>
      </c>
      <c r="G109" s="113"/>
      <c r="I109" s="463" t="s">
        <v>4087</v>
      </c>
      <c r="J109" s="1166" t="str">
        <f>'Part I-Project Information'!$H$82</f>
        <v>HFOP</v>
      </c>
      <c r="K109" s="1113"/>
      <c r="L109" s="376" t="str">
        <f>IF(OR($O109=$M109,$O109=0,$O109=""),"","* * Check Score! * *")</f>
        <v/>
      </c>
      <c r="M109" s="72">
        <v>3</v>
      </c>
      <c r="N109" s="463" t="s">
        <v>1983</v>
      </c>
      <c r="O109" s="2712"/>
      <c r="P109" s="1123"/>
      <c r="Q109" s="2148" t="str">
        <f>IF(OR($O109=$M109,$O109=0,$O109=""),"","*CHECK!*")</f>
        <v/>
      </c>
      <c r="R109" s="984" t="s">
        <v>2706</v>
      </c>
    </row>
    <row r="110" spans="1:18" s="42" customFormat="1" ht="11.25" customHeight="1">
      <c r="A110" s="41"/>
      <c r="B110" s="54" t="s">
        <v>4610</v>
      </c>
      <c r="D110" s="38"/>
      <c r="E110" s="35"/>
      <c r="F110" s="887"/>
      <c r="G110" s="887"/>
      <c r="H110" s="887"/>
      <c r="I110" s="887"/>
      <c r="J110" s="897"/>
      <c r="K110" s="897"/>
      <c r="L110" s="897"/>
      <c r="M110" s="59"/>
      <c r="N110" s="887"/>
      <c r="O110" s="2295"/>
      <c r="P110" s="2"/>
    </row>
    <row r="111" spans="1:18" s="42" customFormat="1" ht="11.25" customHeight="1">
      <c r="A111" s="41"/>
      <c r="B111" s="2076" t="s">
        <v>1986</v>
      </c>
      <c r="C111" s="86" t="s">
        <v>5015</v>
      </c>
      <c r="D111" s="38"/>
      <c r="E111" s="35"/>
      <c r="F111" s="887"/>
      <c r="G111" s="887"/>
      <c r="H111" s="887"/>
      <c r="I111" s="887"/>
      <c r="J111" s="897"/>
      <c r="K111" s="897"/>
      <c r="L111" s="897"/>
      <c r="M111" s="59"/>
      <c r="N111" s="1086" t="s">
        <v>1986</v>
      </c>
      <c r="O111" s="2671"/>
      <c r="P111" s="534"/>
    </row>
    <row r="112" spans="1:18" s="42" customFormat="1" ht="11.25" customHeight="1">
      <c r="A112" s="41"/>
      <c r="B112" s="2076" t="s">
        <v>1988</v>
      </c>
      <c r="C112" s="86" t="s">
        <v>5016</v>
      </c>
      <c r="D112" s="38"/>
      <c r="E112" s="35"/>
      <c r="F112" s="887"/>
      <c r="G112" s="887"/>
      <c r="H112" s="887"/>
      <c r="I112" s="887"/>
      <c r="J112" s="897"/>
      <c r="K112" s="897"/>
      <c r="L112" s="897"/>
      <c r="M112" s="59"/>
      <c r="N112" s="1086" t="s">
        <v>1988</v>
      </c>
      <c r="O112" s="2673"/>
      <c r="P112" s="536"/>
    </row>
    <row r="113" spans="1:21" s="35" customFormat="1" ht="10.5" customHeight="1">
      <c r="A113" s="63"/>
      <c r="B113" s="2076" t="s">
        <v>2534</v>
      </c>
      <c r="C113" s="35" t="s">
        <v>4819</v>
      </c>
      <c r="E113" s="3815"/>
      <c r="F113" s="3816"/>
      <c r="G113" s="3816"/>
      <c r="H113" s="3816"/>
      <c r="I113" s="3816"/>
      <c r="J113" s="3816"/>
      <c r="K113" s="3816"/>
      <c r="L113" s="3816"/>
      <c r="M113" s="3816"/>
      <c r="N113" s="3816"/>
      <c r="O113" s="3816"/>
      <c r="P113" s="3817"/>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1985</v>
      </c>
      <c r="B115" s="165" t="s">
        <v>3982</v>
      </c>
      <c r="D115" s="92"/>
      <c r="F115" s="51"/>
      <c r="G115" s="51"/>
      <c r="H115" s="92"/>
      <c r="I115" s="92"/>
      <c r="J115" s="92"/>
      <c r="K115" s="92"/>
      <c r="L115" s="376" t="str">
        <f>IF(OR($O115=$M115,$O115=0,$O115=""),"","* * Check Score! * *")</f>
        <v/>
      </c>
      <c r="M115" s="1038">
        <v>3</v>
      </c>
      <c r="N115" s="463" t="s">
        <v>1985</v>
      </c>
      <c r="O115" s="2712">
        <v>3</v>
      </c>
      <c r="P115" s="1123"/>
      <c r="Q115" s="2148" t="str">
        <f>IF(OR($O115=$M115,$O115=0,$O115=""),"","*CHECK!*")</f>
        <v/>
      </c>
      <c r="R115" s="984" t="s">
        <v>2706</v>
      </c>
      <c r="S115" s="1070"/>
      <c r="T115" s="1070"/>
    </row>
    <row r="116" spans="1:21" s="102" customFormat="1" ht="10.5" customHeight="1">
      <c r="A116" s="178"/>
      <c r="B116" s="888"/>
      <c r="C116" s="51" t="s">
        <v>3983</v>
      </c>
      <c r="D116" s="92"/>
      <c r="E116" s="51"/>
      <c r="F116" s="51"/>
      <c r="G116" s="51"/>
      <c r="H116" s="92"/>
      <c r="I116" s="92"/>
      <c r="J116" s="92"/>
      <c r="K116" s="92"/>
      <c r="L116" s="92"/>
      <c r="M116" s="1038"/>
      <c r="N116" s="1038"/>
      <c r="O116" s="2679" t="s">
        <v>2990</v>
      </c>
      <c r="P116" s="2306"/>
      <c r="Q116" s="1070"/>
      <c r="R116" s="1070"/>
      <c r="S116" s="1070"/>
      <c r="T116" s="1070"/>
    </row>
    <row r="117" spans="1:21" s="102" customFormat="1" ht="10.5" customHeight="1">
      <c r="A117" s="178"/>
      <c r="B117" s="888"/>
      <c r="C117" s="51" t="s">
        <v>3984</v>
      </c>
      <c r="D117" s="172" t="s">
        <v>4821</v>
      </c>
      <c r="F117" s="51"/>
      <c r="G117" s="51"/>
      <c r="H117" s="3869" t="s">
        <v>5251</v>
      </c>
      <c r="I117" s="3869"/>
      <c r="J117" s="3869"/>
      <c r="K117" s="3869"/>
      <c r="L117" s="3869"/>
      <c r="M117" s="3869"/>
      <c r="N117" s="3869"/>
      <c r="O117" s="3869"/>
      <c r="P117" s="3869"/>
      <c r="Q117" s="1070"/>
      <c r="R117" s="1070"/>
      <c r="S117" s="1070"/>
      <c r="T117" s="1070"/>
    </row>
    <row r="118" spans="1:21" s="102" customFormat="1" ht="10.5" customHeight="1">
      <c r="A118" s="178"/>
      <c r="B118" s="51"/>
      <c r="C118" s="35" t="s">
        <v>3986</v>
      </c>
      <c r="D118" s="92"/>
      <c r="E118" s="51"/>
      <c r="F118" s="51"/>
      <c r="G118" s="51"/>
      <c r="H118" s="92"/>
      <c r="I118" s="92"/>
      <c r="J118" s="92"/>
      <c r="K118" s="92"/>
      <c r="L118" s="92"/>
      <c r="M118" s="430"/>
      <c r="N118" s="1029" t="s">
        <v>3776</v>
      </c>
      <c r="O118" s="2680" t="s">
        <v>2990</v>
      </c>
      <c r="P118" s="940"/>
      <c r="Q118" s="1070"/>
      <c r="R118" s="1070"/>
      <c r="S118" s="1070"/>
      <c r="T118" s="1070"/>
    </row>
    <row r="119" spans="1:21" s="35" customFormat="1" ht="10.5" customHeight="1">
      <c r="A119" s="63"/>
      <c r="B119" s="374"/>
      <c r="C119" s="35" t="s">
        <v>3987</v>
      </c>
      <c r="D119" s="51"/>
      <c r="E119" s="51"/>
      <c r="F119" s="51"/>
      <c r="G119" s="51"/>
      <c r="H119" s="51"/>
      <c r="I119" s="51"/>
      <c r="J119" s="51"/>
      <c r="K119" s="51"/>
      <c r="L119" s="51"/>
      <c r="M119" s="2300"/>
      <c r="N119" s="387" t="s">
        <v>3777</v>
      </c>
      <c r="O119" s="2672" t="s">
        <v>2990</v>
      </c>
      <c r="P119" s="535"/>
      <c r="Q119" s="1070"/>
      <c r="R119" s="1070"/>
      <c r="S119" s="1070"/>
      <c r="T119" s="1070"/>
    </row>
    <row r="120" spans="1:21" s="54" customFormat="1" ht="10.5" customHeight="1">
      <c r="A120" s="63"/>
      <c r="C120" s="54" t="s">
        <v>4121</v>
      </c>
      <c r="D120" s="415"/>
      <c r="E120" s="51"/>
      <c r="F120" s="51"/>
      <c r="G120" s="51"/>
      <c r="H120" s="415"/>
      <c r="J120" s="415"/>
      <c r="L120" s="3690" t="s">
        <v>3813</v>
      </c>
      <c r="M120" s="3690"/>
      <c r="N120" s="3690"/>
      <c r="O120" s="3879" t="s">
        <v>3812</v>
      </c>
      <c r="P120" s="3879"/>
      <c r="Q120" s="51"/>
    </row>
    <row r="121" spans="1:21" s="54" customFormat="1" ht="10.5" customHeight="1">
      <c r="A121" s="63"/>
      <c r="B121" s="375"/>
      <c r="C121" s="3823" t="s">
        <v>5252</v>
      </c>
      <c r="D121" s="3824"/>
      <c r="E121" s="3824"/>
      <c r="F121" s="3824"/>
      <c r="G121" s="3824"/>
      <c r="H121" s="3824"/>
      <c r="I121" s="3824"/>
      <c r="J121" s="3824"/>
      <c r="K121" s="3825"/>
      <c r="L121" s="3826" t="s">
        <v>5255</v>
      </c>
      <c r="M121" s="3826"/>
      <c r="N121" s="3826"/>
      <c r="O121" s="3827">
        <v>0</v>
      </c>
      <c r="P121" s="3827"/>
      <c r="Q121" s="1104" t="str">
        <f>IF(O121&gt;15, "Too much!","")</f>
        <v/>
      </c>
    </row>
    <row r="122" spans="1:21" s="54" customFormat="1" ht="10.5" customHeight="1">
      <c r="A122" s="63"/>
      <c r="B122" s="388"/>
      <c r="C122" s="3806" t="s">
        <v>5253</v>
      </c>
      <c r="D122" s="3807"/>
      <c r="E122" s="3807"/>
      <c r="F122" s="3807"/>
      <c r="G122" s="3807"/>
      <c r="H122" s="3807"/>
      <c r="I122" s="3807"/>
      <c r="J122" s="3807"/>
      <c r="K122" s="3808"/>
      <c r="L122" s="3739" t="s">
        <v>5255</v>
      </c>
      <c r="M122" s="3739"/>
      <c r="N122" s="3739"/>
      <c r="O122" s="3828">
        <v>0</v>
      </c>
      <c r="P122" s="3828"/>
      <c r="Q122" s="1104" t="str">
        <f>IF(O122&gt;15, "Too much!","")</f>
        <v/>
      </c>
    </row>
    <row r="123" spans="1:21" s="54" customFormat="1" ht="10.5" customHeight="1">
      <c r="A123" s="63"/>
      <c r="B123" s="375"/>
      <c r="C123" s="3806" t="s">
        <v>5254</v>
      </c>
      <c r="D123" s="3807"/>
      <c r="E123" s="3807"/>
      <c r="F123" s="3807"/>
      <c r="G123" s="3807"/>
      <c r="H123" s="3807"/>
      <c r="I123" s="3807"/>
      <c r="J123" s="3807"/>
      <c r="K123" s="3808"/>
      <c r="L123" s="3739" t="s">
        <v>5255</v>
      </c>
      <c r="M123" s="3739"/>
      <c r="N123" s="3739"/>
      <c r="O123" s="3828">
        <v>0</v>
      </c>
      <c r="P123" s="3828"/>
      <c r="Q123" s="1104" t="str">
        <f>IF(O123&gt;15, "Too much!","")</f>
        <v/>
      </c>
    </row>
    <row r="124" spans="1:21" s="54" customFormat="1" ht="10.5" customHeight="1">
      <c r="A124" s="63"/>
      <c r="B124" s="387"/>
      <c r="C124" s="3871"/>
      <c r="D124" s="3872"/>
      <c r="E124" s="3872"/>
      <c r="F124" s="3872"/>
      <c r="G124" s="3872"/>
      <c r="H124" s="3872"/>
      <c r="I124" s="3872"/>
      <c r="J124" s="3872"/>
      <c r="K124" s="3873"/>
      <c r="L124" s="3874"/>
      <c r="M124" s="3874"/>
      <c r="N124" s="3874"/>
      <c r="O124" s="3822"/>
      <c r="P124" s="3822"/>
      <c r="Q124" s="1104" t="str">
        <f>IF(O124&gt;15, "Too much!","")</f>
        <v/>
      </c>
    </row>
    <row r="125" spans="1:21" s="102" customFormat="1" ht="10.5" customHeight="1">
      <c r="B125" s="888"/>
      <c r="C125" s="51" t="s">
        <v>3985</v>
      </c>
      <c r="D125" s="35" t="s">
        <v>3988</v>
      </c>
      <c r="E125" s="51"/>
      <c r="F125" s="51"/>
      <c r="G125" s="51"/>
      <c r="H125" s="92"/>
      <c r="I125" s="92"/>
      <c r="J125" s="92"/>
      <c r="K125" s="92"/>
      <c r="L125" s="92"/>
      <c r="M125" s="92"/>
      <c r="N125" s="1029" t="s">
        <v>3776</v>
      </c>
      <c r="O125" s="2671" t="s">
        <v>2990</v>
      </c>
      <c r="P125" s="534"/>
      <c r="Q125" s="493"/>
      <c r="R125" s="54"/>
      <c r="S125" s="54"/>
      <c r="T125" s="54"/>
      <c r="U125" s="54"/>
    </row>
    <row r="126" spans="1:21" s="102" customFormat="1" ht="10.5" customHeight="1">
      <c r="A126" s="178"/>
      <c r="B126" s="51"/>
      <c r="D126" s="35" t="s">
        <v>3989</v>
      </c>
      <c r="E126" s="51"/>
      <c r="F126" s="51"/>
      <c r="G126" s="51"/>
      <c r="H126" s="92"/>
      <c r="I126" s="92"/>
      <c r="J126" s="92"/>
      <c r="K126" s="92"/>
      <c r="L126" s="92"/>
      <c r="M126" s="430"/>
      <c r="N126" s="387" t="s">
        <v>3777</v>
      </c>
      <c r="O126" s="2673" t="s">
        <v>2990</v>
      </c>
      <c r="P126" s="536"/>
      <c r="Q126" s="493"/>
      <c r="R126" s="54"/>
      <c r="S126" s="54"/>
      <c r="T126" s="54"/>
      <c r="U126" s="54"/>
    </row>
    <row r="127" spans="1:21" s="35" customFormat="1" ht="10.5" customHeight="1">
      <c r="A127" s="63"/>
      <c r="B127" s="374"/>
      <c r="D127" s="54" t="s">
        <v>4820</v>
      </c>
      <c r="E127" s="51"/>
      <c r="F127" s="51"/>
      <c r="G127" s="51"/>
      <c r="H127" s="51"/>
      <c r="I127" s="51"/>
      <c r="J127" s="51"/>
      <c r="K127" s="51"/>
      <c r="L127" s="51"/>
      <c r="M127" s="2300"/>
      <c r="N127" s="387" t="s">
        <v>3778</v>
      </c>
      <c r="Q127" s="51"/>
      <c r="R127" s="54"/>
      <c r="S127" s="54"/>
      <c r="T127" s="54"/>
      <c r="U127" s="54"/>
    </row>
    <row r="128" spans="1:21" s="54" customFormat="1" ht="10.5" customHeight="1">
      <c r="A128" s="63"/>
      <c r="B128" s="63"/>
      <c r="D128" s="63"/>
      <c r="E128" s="897" t="s">
        <v>4153</v>
      </c>
      <c r="F128" s="63"/>
      <c r="L128" s="63"/>
      <c r="M128" s="63"/>
      <c r="N128" s="63"/>
      <c r="O128" s="2671" t="s">
        <v>2990</v>
      </c>
      <c r="P128" s="534"/>
      <c r="Q128" s="51"/>
    </row>
    <row r="129" spans="1:21" s="54" customFormat="1" ht="10.5" customHeight="1">
      <c r="A129" s="63"/>
      <c r="B129" s="63"/>
      <c r="D129" s="63"/>
      <c r="E129" s="897" t="s">
        <v>4475</v>
      </c>
      <c r="F129" s="63"/>
      <c r="L129" s="63"/>
      <c r="M129" s="63"/>
      <c r="N129" s="63"/>
      <c r="O129" s="2672" t="s">
        <v>2990</v>
      </c>
      <c r="P129" s="535"/>
      <c r="Q129" s="51"/>
    </row>
    <row r="130" spans="1:21" s="54" customFormat="1" ht="10.5" customHeight="1">
      <c r="A130" s="63"/>
      <c r="B130" s="63"/>
      <c r="D130" s="63"/>
      <c r="E130" s="897" t="s">
        <v>4155</v>
      </c>
      <c r="F130" s="63"/>
      <c r="L130" s="63"/>
      <c r="M130" s="63"/>
      <c r="N130" s="63"/>
      <c r="O130" s="2672" t="s">
        <v>2990</v>
      </c>
      <c r="P130" s="535"/>
      <c r="Q130" s="51"/>
    </row>
    <row r="131" spans="1:21" s="54" customFormat="1" ht="10.5" customHeight="1">
      <c r="A131" s="63"/>
      <c r="B131" s="63"/>
      <c r="D131" s="63"/>
      <c r="E131" s="897" t="s">
        <v>4607</v>
      </c>
      <c r="F131" s="63"/>
      <c r="I131" s="897"/>
      <c r="L131" s="63"/>
      <c r="M131" s="63"/>
      <c r="N131" s="63"/>
      <c r="O131" s="2713" t="s">
        <v>2990</v>
      </c>
      <c r="P131" s="903"/>
      <c r="Q131" s="51"/>
    </row>
    <row r="132" spans="1:21" s="54" customFormat="1" ht="10.5" customHeight="1">
      <c r="A132" s="63"/>
      <c r="B132" s="63"/>
      <c r="D132" s="63"/>
      <c r="E132" s="51" t="s">
        <v>4608</v>
      </c>
      <c r="F132" s="63"/>
      <c r="I132" s="897"/>
      <c r="L132" s="63"/>
      <c r="M132" s="63"/>
      <c r="N132" s="63"/>
      <c r="O132" s="2713" t="s">
        <v>2990</v>
      </c>
      <c r="P132" s="903"/>
      <c r="Q132" s="51"/>
    </row>
    <row r="133" spans="1:21" s="54" customFormat="1" ht="10.5" customHeight="1">
      <c r="A133" s="63"/>
      <c r="B133" s="63"/>
      <c r="D133" s="63"/>
      <c r="E133" s="897" t="s">
        <v>4609</v>
      </c>
      <c r="F133" s="63"/>
      <c r="I133" s="897"/>
      <c r="L133" s="63"/>
      <c r="M133" s="63"/>
      <c r="N133" s="63"/>
      <c r="O133" s="2713" t="s">
        <v>2990</v>
      </c>
      <c r="P133" s="903"/>
      <c r="Q133" s="51"/>
    </row>
    <row r="134" spans="1:21" s="54" customFormat="1" ht="10.5" customHeight="1">
      <c r="A134" s="63"/>
      <c r="B134" s="63"/>
      <c r="D134" s="63"/>
      <c r="E134" s="3875" t="s">
        <v>4159</v>
      </c>
      <c r="F134" s="3876"/>
      <c r="G134" s="3876"/>
      <c r="H134" s="3876"/>
      <c r="I134" s="3876"/>
      <c r="J134" s="3876"/>
      <c r="K134" s="3876"/>
      <c r="L134" s="3877"/>
      <c r="M134" s="63"/>
      <c r="N134" s="63"/>
      <c r="O134" s="2673" t="s">
        <v>5170</v>
      </c>
      <c r="P134" s="536"/>
      <c r="Q134" s="51"/>
    </row>
    <row r="135" spans="1:21" s="102" customFormat="1" ht="10.5" customHeight="1">
      <c r="A135" s="178"/>
      <c r="B135" s="51"/>
      <c r="D135" s="35" t="s">
        <v>4822</v>
      </c>
      <c r="E135" s="51"/>
      <c r="F135" s="51"/>
      <c r="G135" s="51"/>
      <c r="H135" s="92"/>
      <c r="I135" s="92"/>
      <c r="J135" s="92"/>
      <c r="K135" s="92"/>
      <c r="L135" s="92"/>
      <c r="M135" s="430"/>
      <c r="N135" s="387" t="s">
        <v>3780</v>
      </c>
      <c r="O135" s="2673" t="s">
        <v>2990</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3814</v>
      </c>
      <c r="D137" s="51"/>
      <c r="F137" s="51"/>
      <c r="G137" s="51"/>
      <c r="H137" s="51"/>
      <c r="I137" s="51"/>
      <c r="J137" s="51"/>
      <c r="K137" s="51"/>
      <c r="L137" s="376" t="str">
        <f>IF(OR($O137=$M137,$O137=0,$O137=""),"","* * Check Score! * *")</f>
        <v/>
      </c>
      <c r="M137" s="1038">
        <v>1</v>
      </c>
      <c r="N137" s="1086" t="s">
        <v>1988</v>
      </c>
      <c r="O137" s="2712">
        <v>1</v>
      </c>
      <c r="P137" s="1123"/>
      <c r="Q137" s="2148" t="str">
        <f>IF(OR($O137=$M137,$O137=0,$O137=""),"","*CHECK!*")</f>
        <v/>
      </c>
      <c r="R137" s="984" t="s">
        <v>2706</v>
      </c>
      <c r="S137" s="1070"/>
      <c r="T137" s="1070"/>
      <c r="U137" s="1070"/>
    </row>
    <row r="138" spans="1:21" s="35" customFormat="1" ht="10.5" customHeight="1">
      <c r="A138" s="63"/>
      <c r="C138" s="51" t="s">
        <v>3990</v>
      </c>
      <c r="D138" s="1215"/>
      <c r="E138" s="1215"/>
      <c r="F138" s="1215"/>
      <c r="G138" s="1215"/>
      <c r="H138" s="1215"/>
      <c r="I138" s="1215"/>
      <c r="J138" s="1215"/>
      <c r="K138" s="1215"/>
      <c r="L138" s="1215"/>
      <c r="M138" s="2300"/>
      <c r="N138" s="51"/>
      <c r="O138" s="2679" t="s">
        <v>5151</v>
      </c>
      <c r="P138" s="2306"/>
      <c r="Q138" s="51"/>
      <c r="R138" s="1070"/>
      <c r="S138" s="1070"/>
      <c r="T138" s="1070"/>
      <c r="U138" s="1070"/>
    </row>
    <row r="139" spans="1:21" s="35" customFormat="1" ht="10.5" customHeight="1">
      <c r="A139" s="63"/>
      <c r="B139" s="888"/>
      <c r="C139" s="3537" t="s">
        <v>4823</v>
      </c>
      <c r="D139" s="3537"/>
      <c r="E139" s="3537"/>
      <c r="F139" s="1215"/>
      <c r="G139" s="897" t="s">
        <v>3991</v>
      </c>
      <c r="I139" s="1215"/>
      <c r="J139" s="1215"/>
      <c r="K139" s="1215"/>
      <c r="L139" s="1215"/>
      <c r="M139" s="64" t="s">
        <v>2435</v>
      </c>
      <c r="N139" s="387" t="s">
        <v>3776</v>
      </c>
      <c r="O139" s="2680" t="s">
        <v>2990</v>
      </c>
      <c r="P139" s="940"/>
      <c r="Q139" s="51"/>
      <c r="R139" s="1070"/>
      <c r="S139" s="1070"/>
      <c r="T139" s="1070"/>
      <c r="U139" s="1070"/>
    </row>
    <row r="140" spans="1:21" s="35" customFormat="1" ht="10.5" customHeight="1">
      <c r="A140" s="63"/>
      <c r="B140" s="374"/>
      <c r="C140" s="3537"/>
      <c r="D140" s="3537"/>
      <c r="E140" s="3537"/>
      <c r="F140" s="1215"/>
      <c r="G140" s="897" t="s">
        <v>3992</v>
      </c>
      <c r="I140" s="1215"/>
      <c r="J140" s="1215"/>
      <c r="K140" s="1215"/>
      <c r="L140" s="1215"/>
      <c r="M140" s="2300"/>
      <c r="N140" s="1029" t="s">
        <v>3777</v>
      </c>
      <c r="O140" s="2672" t="s">
        <v>2990</v>
      </c>
      <c r="P140" s="535"/>
      <c r="Q140" s="51"/>
      <c r="R140" s="1070"/>
      <c r="S140" s="1070"/>
      <c r="T140" s="1070"/>
      <c r="U140" s="1070"/>
    </row>
    <row r="141" spans="1:21" s="35" customFormat="1" ht="10.5" customHeight="1">
      <c r="A141" s="64"/>
      <c r="B141" s="374"/>
      <c r="C141" s="3537"/>
      <c r="D141" s="3537"/>
      <c r="E141" s="3537"/>
      <c r="F141" s="1215"/>
      <c r="G141" s="897" t="s">
        <v>3993</v>
      </c>
      <c r="I141" s="1215"/>
      <c r="J141" s="1215"/>
      <c r="K141" s="1215"/>
      <c r="L141" s="1215"/>
      <c r="M141" s="2300"/>
      <c r="N141" s="387" t="s">
        <v>3778</v>
      </c>
      <c r="O141" s="2672" t="s">
        <v>2990</v>
      </c>
      <c r="P141" s="535"/>
      <c r="Q141" s="51"/>
      <c r="R141" s="1070"/>
      <c r="S141" s="1070"/>
      <c r="T141" s="1070"/>
      <c r="U141" s="1070"/>
    </row>
    <row r="142" spans="1:21" s="35" customFormat="1" ht="10.5" customHeight="1">
      <c r="A142" s="63"/>
      <c r="B142" s="374"/>
      <c r="D142" s="1215"/>
      <c r="E142" s="1215"/>
      <c r="F142" s="1215"/>
      <c r="G142" s="897" t="s">
        <v>3994</v>
      </c>
      <c r="I142" s="1215"/>
      <c r="J142" s="1215"/>
      <c r="K142" s="1215"/>
      <c r="L142" s="1215"/>
      <c r="M142" s="2300"/>
      <c r="N142" s="387" t="s">
        <v>3780</v>
      </c>
      <c r="O142" s="2672" t="s">
        <v>2990</v>
      </c>
      <c r="P142" s="535"/>
      <c r="Q142" s="51"/>
      <c r="R142" s="1070"/>
      <c r="S142" s="1070"/>
      <c r="T142" s="1070"/>
      <c r="U142" s="1070"/>
    </row>
    <row r="143" spans="1:21" s="35" customFormat="1" ht="10.5" customHeight="1">
      <c r="A143" s="63"/>
      <c r="B143" s="374"/>
      <c r="D143" s="1215"/>
      <c r="E143" s="1215"/>
      <c r="F143" s="1215"/>
      <c r="G143" s="897" t="s">
        <v>3995</v>
      </c>
      <c r="I143" s="1215"/>
      <c r="J143" s="1215"/>
      <c r="K143" s="1215"/>
      <c r="L143" s="1215"/>
      <c r="M143" s="2300"/>
      <c r="N143" s="1029" t="s">
        <v>3781</v>
      </c>
      <c r="O143" s="2673" t="s">
        <v>2990</v>
      </c>
      <c r="P143" s="536"/>
      <c r="Q143" s="51"/>
    </row>
    <row r="144" spans="1:21" s="35" customFormat="1" ht="10.5" customHeight="1">
      <c r="A144" s="63"/>
      <c r="B144" s="888"/>
      <c r="C144" s="897" t="s">
        <v>4824</v>
      </c>
      <c r="D144" s="1215"/>
      <c r="E144" s="1215"/>
      <c r="F144" s="1215"/>
      <c r="G144" s="1215"/>
      <c r="H144" s="1215"/>
      <c r="I144" s="1215"/>
      <c r="J144" s="1215"/>
      <c r="K144" s="1215"/>
      <c r="L144" s="1215"/>
      <c r="M144" s="64"/>
      <c r="N144" s="64" t="s">
        <v>2436</v>
      </c>
      <c r="O144" s="2674" t="s">
        <v>2990</v>
      </c>
      <c r="P144" s="533"/>
      <c r="Q144" s="51"/>
    </row>
    <row r="145" spans="1:18" s="54" customFormat="1" ht="10.5" customHeight="1">
      <c r="A145" s="63"/>
      <c r="B145" s="440"/>
      <c r="C145" s="54" t="s">
        <v>3828</v>
      </c>
      <c r="D145" s="415"/>
      <c r="E145" s="51"/>
      <c r="F145" s="51"/>
      <c r="G145" s="54" t="s">
        <v>4126</v>
      </c>
      <c r="H145" s="415"/>
      <c r="M145" s="57"/>
      <c r="N145" s="57"/>
      <c r="O145" s="57"/>
      <c r="P145" s="57"/>
      <c r="Q145" s="51"/>
    </row>
    <row r="146" spans="1:18" s="54" customFormat="1" ht="10.5" customHeight="1">
      <c r="B146" s="375"/>
      <c r="C146" s="3823" t="s">
        <v>5256</v>
      </c>
      <c r="D146" s="3824"/>
      <c r="E146" s="3824"/>
      <c r="F146" s="3825"/>
      <c r="G146" s="3823" t="s">
        <v>5271</v>
      </c>
      <c r="H146" s="3824"/>
      <c r="I146" s="3824"/>
      <c r="J146" s="3824"/>
      <c r="K146" s="3824"/>
      <c r="L146" s="3824"/>
      <c r="M146" s="3824"/>
      <c r="N146" s="3824"/>
      <c r="O146" s="3824"/>
      <c r="P146" s="3825"/>
      <c r="Q146" s="51"/>
    </row>
    <row r="147" spans="1:18" s="54" customFormat="1" ht="10.5" customHeight="1">
      <c r="A147" s="63"/>
      <c r="B147" s="388"/>
      <c r="C147" s="3806" t="s">
        <v>5257</v>
      </c>
      <c r="D147" s="3807"/>
      <c r="E147" s="3807"/>
      <c r="F147" s="3808"/>
      <c r="G147" s="3806" t="s">
        <v>5272</v>
      </c>
      <c r="H147" s="3807"/>
      <c r="I147" s="3807"/>
      <c r="J147" s="3807"/>
      <c r="K147" s="3807"/>
      <c r="L147" s="3807"/>
      <c r="M147" s="3807"/>
      <c r="N147" s="3807"/>
      <c r="O147" s="3807"/>
      <c r="P147" s="3808"/>
      <c r="Q147" s="51"/>
    </row>
    <row r="148" spans="1:18" s="54" customFormat="1" ht="10.5" customHeight="1">
      <c r="A148" s="3464" t="s">
        <v>4160</v>
      </c>
      <c r="B148" s="3464"/>
      <c r="C148" s="3806"/>
      <c r="D148" s="3807"/>
      <c r="E148" s="3807"/>
      <c r="F148" s="3808"/>
      <c r="G148" s="3806"/>
      <c r="H148" s="3807"/>
      <c r="I148" s="3807"/>
      <c r="J148" s="3807"/>
      <c r="K148" s="3807"/>
      <c r="L148" s="3807"/>
      <c r="M148" s="3807"/>
      <c r="N148" s="3807"/>
      <c r="O148" s="3807"/>
      <c r="P148" s="3808"/>
      <c r="Q148" s="51"/>
    </row>
    <row r="149" spans="1:18" s="54" customFormat="1" ht="10.5" customHeight="1">
      <c r="A149" s="3464"/>
      <c r="B149" s="3464"/>
      <c r="C149" s="3871"/>
      <c r="D149" s="3872"/>
      <c r="E149" s="3872"/>
      <c r="F149" s="3873"/>
      <c r="G149" s="3871"/>
      <c r="H149" s="3872"/>
      <c r="I149" s="3872"/>
      <c r="J149" s="3872"/>
      <c r="K149" s="3872"/>
      <c r="L149" s="3872"/>
      <c r="M149" s="3872"/>
      <c r="N149" s="3872"/>
      <c r="O149" s="3872"/>
      <c r="P149" s="3873"/>
      <c r="Q149" s="51"/>
    </row>
    <row r="150" spans="1:18" s="42" customFormat="1" ht="4.5" customHeight="1">
      <c r="A150" s="3870"/>
      <c r="B150" s="3870"/>
      <c r="C150" s="98"/>
      <c r="D150" s="85"/>
      <c r="E150" s="99"/>
      <c r="F150" s="2304"/>
      <c r="G150" s="2304"/>
      <c r="H150" s="2304"/>
      <c r="I150" s="2304"/>
      <c r="J150" s="2304"/>
      <c r="K150" s="2304"/>
      <c r="L150" s="2304"/>
      <c r="M150" s="2304"/>
      <c r="N150" s="74"/>
      <c r="O150" s="70"/>
      <c r="P150" s="2292"/>
      <c r="Q150" s="426"/>
    </row>
    <row r="151" spans="1:18" s="42" customFormat="1" ht="11.25" customHeight="1">
      <c r="A151" s="3489"/>
      <c r="B151" s="3490"/>
      <c r="C151" s="3490"/>
      <c r="D151" s="3490"/>
      <c r="E151" s="3490"/>
      <c r="F151" s="3490"/>
      <c r="G151" s="3490"/>
      <c r="H151" s="3490"/>
      <c r="I151" s="3490"/>
      <c r="J151" s="3490"/>
      <c r="K151" s="3490"/>
      <c r="L151" s="3490"/>
      <c r="M151" s="3490"/>
      <c r="N151" s="3490"/>
      <c r="O151" s="3490"/>
      <c r="P151" s="3491"/>
      <c r="Q151" s="445"/>
    </row>
    <row r="152" spans="1:18" s="42" customFormat="1" ht="3" customHeight="1" thickBot="1">
      <c r="A152" s="41"/>
      <c r="C152" s="2304"/>
      <c r="D152" s="2304"/>
      <c r="E152" s="2304"/>
      <c r="F152" s="2304"/>
      <c r="G152" s="2304"/>
      <c r="H152" s="2304"/>
      <c r="I152" s="2304"/>
      <c r="J152" s="2304"/>
      <c r="K152" s="2304"/>
      <c r="L152" s="2304"/>
      <c r="M152" s="2304"/>
      <c r="N152" s="74"/>
      <c r="O152" s="70"/>
      <c r="P152" s="887"/>
    </row>
    <row r="153" spans="1:18" s="42" customFormat="1" ht="13.5" customHeight="1" thickBot="1">
      <c r="A153" s="152" t="s">
        <v>530</v>
      </c>
      <c r="B153" s="106" t="s">
        <v>3962</v>
      </c>
      <c r="C153" s="2304"/>
      <c r="D153" s="2304"/>
      <c r="E153" s="2304"/>
      <c r="F153" s="2304"/>
      <c r="G153" s="2304"/>
      <c r="H153" s="2304"/>
      <c r="I153" s="2304"/>
      <c r="J153" s="2304"/>
      <c r="K153" s="2304"/>
      <c r="L153" s="2304"/>
      <c r="M153" s="887">
        <v>5</v>
      </c>
      <c r="N153" s="74"/>
      <c r="O153" s="1090">
        <f>O155+O171</f>
        <v>3</v>
      </c>
      <c r="P153" s="1090">
        <f>P155+P171</f>
        <v>0</v>
      </c>
      <c r="Q153" s="109" t="s">
        <v>441</v>
      </c>
    </row>
    <row r="154" spans="1:18" s="42" customFormat="1" ht="9" customHeight="1">
      <c r="A154" s="41"/>
      <c r="C154" s="2304"/>
      <c r="D154" s="2304"/>
      <c r="E154" s="2304"/>
      <c r="F154" s="2304"/>
      <c r="G154" s="2304"/>
      <c r="H154" s="2304"/>
      <c r="I154" s="2304"/>
      <c r="J154" s="2304"/>
      <c r="K154" s="2304"/>
      <c r="L154" s="2304"/>
      <c r="M154" s="2304"/>
      <c r="N154" s="74"/>
      <c r="O154" s="70"/>
      <c r="P154" s="887"/>
    </row>
    <row r="155" spans="1:18" s="102" customFormat="1" ht="13.5" customHeight="1">
      <c r="A155" s="178" t="s">
        <v>1983</v>
      </c>
      <c r="B155" s="9" t="s">
        <v>3999</v>
      </c>
      <c r="C155" s="92"/>
      <c r="D155" s="1087"/>
      <c r="E155" s="1087"/>
      <c r="G155" s="1113"/>
      <c r="H155" s="1113"/>
      <c r="I155" s="1113"/>
      <c r="J155" s="1113"/>
      <c r="K155" s="1113"/>
      <c r="L155" s="1113"/>
      <c r="M155" s="430">
        <v>3</v>
      </c>
      <c r="N155" s="174"/>
      <c r="O155" s="1116">
        <f>IF('Part VI-Revenues &amp; Expenses'!$O$67=0,0,IF(AND($F$160="Family",$U$166=3),3,IF($U$166=3,2,IF(OR($U$166=2,$U$166=1),1,0))))</f>
        <v>2</v>
      </c>
      <c r="P155" s="2149"/>
      <c r="R155" s="172"/>
    </row>
    <row r="156" spans="1:18" s="42" customFormat="1" ht="12" customHeight="1">
      <c r="B156" s="39" t="s">
        <v>3823</v>
      </c>
      <c r="C156" s="428"/>
      <c r="D156" s="428"/>
      <c r="E156" s="428"/>
      <c r="F156" s="428"/>
      <c r="G156" s="428"/>
      <c r="H156" s="428"/>
      <c r="I156" s="428"/>
      <c r="J156" s="428"/>
      <c r="K156" s="428"/>
      <c r="L156" s="428"/>
      <c r="M156" s="428"/>
      <c r="N156" s="428"/>
      <c r="O156" s="2670" t="s">
        <v>2990</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809" t="s">
        <v>5021</v>
      </c>
      <c r="C158" s="3809"/>
      <c r="D158" s="3809"/>
      <c r="E158" s="51" t="s">
        <v>3820</v>
      </c>
      <c r="F158" s="102"/>
      <c r="G158" s="51"/>
      <c r="H158" s="102"/>
      <c r="I158" s="3815" t="s">
        <v>5207</v>
      </c>
      <c r="J158" s="3816"/>
      <c r="K158" s="3816"/>
      <c r="L158" s="3817"/>
    </row>
    <row r="159" spans="1:18" s="42" customFormat="1" ht="11.25" customHeight="1">
      <c r="A159" s="138"/>
      <c r="B159" s="3809"/>
      <c r="C159" s="3809"/>
      <c r="D159" s="3809"/>
      <c r="E159" s="39" t="s">
        <v>4827</v>
      </c>
      <c r="F159" s="376"/>
      <c r="G159" s="102"/>
      <c r="H159" s="102"/>
      <c r="I159" s="39"/>
      <c r="J159" s="2305"/>
      <c r="K159" s="2305"/>
      <c r="L159" s="2305"/>
      <c r="M159" s="102"/>
      <c r="N159" s="1115"/>
      <c r="O159" s="2670" t="s">
        <v>5170</v>
      </c>
      <c r="P159" s="532"/>
      <c r="Q159" s="133"/>
    </row>
    <row r="160" spans="1:18" s="42" customFormat="1" ht="12" customHeight="1">
      <c r="A160" s="41"/>
      <c r="C160" s="2304"/>
      <c r="D160" s="2304"/>
      <c r="E160" s="51" t="s">
        <v>4828</v>
      </c>
      <c r="F160" s="2187" t="str">
        <f>'Part I-Project Information'!$H$82</f>
        <v>HFOP</v>
      </c>
      <c r="H160" s="2186"/>
      <c r="I160" s="2304"/>
      <c r="J160" s="2304"/>
      <c r="M160" s="2304"/>
      <c r="N160" s="74"/>
      <c r="O160" s="3810" t="s">
        <v>5017</v>
      </c>
      <c r="P160" s="3810"/>
    </row>
    <row r="161" spans="1:24" s="54" customFormat="1" ht="3" customHeight="1">
      <c r="A161" s="902"/>
      <c r="B161" s="428"/>
      <c r="O161" s="3811"/>
      <c r="P161" s="3811"/>
    </row>
    <row r="162" spans="1:24" s="42" customFormat="1" ht="12" customHeight="1">
      <c r="A162" s="375" t="s">
        <v>2435</v>
      </c>
      <c r="B162" s="110" t="s">
        <v>4826</v>
      </c>
      <c r="C162" s="2304"/>
      <c r="D162" s="2304"/>
      <c r="E162" s="51"/>
      <c r="F162" s="2069"/>
      <c r="G162" s="2069"/>
      <c r="I162" s="2304"/>
      <c r="J162" s="2304"/>
      <c r="K162" s="2304"/>
      <c r="L162" s="2304"/>
      <c r="M162" s="3782" t="s">
        <v>4825</v>
      </c>
      <c r="N162" s="74"/>
      <c r="O162" s="3811"/>
      <c r="P162" s="3811"/>
      <c r="T162" s="3689" t="s">
        <v>5055</v>
      </c>
    </row>
    <row r="163" spans="1:24" s="54" customFormat="1" ht="3" customHeight="1">
      <c r="A163" s="902"/>
      <c r="B163" s="428"/>
      <c r="M163" s="3782"/>
      <c r="O163" s="3811"/>
      <c r="P163" s="3811"/>
      <c r="T163" s="3689"/>
    </row>
    <row r="164" spans="1:24" s="42" customFormat="1" ht="13.5" customHeight="1">
      <c r="A164" s="138"/>
      <c r="B164" s="547"/>
      <c r="C164" s="546"/>
      <c r="D164" s="546"/>
      <c r="E164" s="1217"/>
      <c r="H164" s="3814" t="s">
        <v>3818</v>
      </c>
      <c r="I164" s="3783" t="s">
        <v>3863</v>
      </c>
      <c r="J164" s="3784"/>
      <c r="K164" s="3785"/>
      <c r="L164" s="3782" t="s">
        <v>3817</v>
      </c>
      <c r="M164" s="3782"/>
      <c r="N164" s="2092"/>
      <c r="O164" s="3811"/>
      <c r="P164" s="3811"/>
      <c r="R164" s="3748" t="s">
        <v>5022</v>
      </c>
      <c r="T164" s="3689"/>
      <c r="U164" s="3733" t="s">
        <v>5054</v>
      </c>
    </row>
    <row r="165" spans="1:24" s="42" customFormat="1" ht="13.5" customHeight="1">
      <c r="A165" s="138"/>
      <c r="B165" s="552" t="s">
        <v>3815</v>
      </c>
      <c r="C165" s="2305"/>
      <c r="D165" s="3804" t="s">
        <v>3819</v>
      </c>
      <c r="E165" s="3804"/>
      <c r="F165" s="3804"/>
      <c r="G165" s="2314" t="s">
        <v>3398</v>
      </c>
      <c r="H165" s="3733"/>
      <c r="I165" s="2308">
        <v>2015</v>
      </c>
      <c r="J165" s="2308">
        <v>2016</v>
      </c>
      <c r="K165" s="2308">
        <v>2017</v>
      </c>
      <c r="L165" s="3028"/>
      <c r="M165" s="3028"/>
      <c r="N165" s="2092"/>
      <c r="O165" s="3812"/>
      <c r="P165" s="3812"/>
      <c r="R165" s="3749"/>
      <c r="T165" s="3733"/>
      <c r="U165" s="3733"/>
    </row>
    <row r="166" spans="1:24" s="42" customFormat="1" ht="12" customHeight="1">
      <c r="B166" s="589" t="s">
        <v>3998</v>
      </c>
      <c r="D166" s="3789" t="s">
        <v>5211</v>
      </c>
      <c r="E166" s="3790"/>
      <c r="F166" s="3791"/>
      <c r="G166" s="2714" t="s">
        <v>5208</v>
      </c>
      <c r="H166" s="2715" t="s">
        <v>2993</v>
      </c>
      <c r="I166" s="2716">
        <v>79.900000000000006</v>
      </c>
      <c r="J166" s="2717">
        <v>74.7</v>
      </c>
      <c r="K166" s="2717">
        <v>82.2</v>
      </c>
      <c r="L166" s="2073">
        <f>IF(I166+J166+K166=0,"",AVERAGE(I166,J166,K166))</f>
        <v>78.933333333333337</v>
      </c>
      <c r="M166" s="621" t="str">
        <f>IF(L166="","",IF(L166&gt;R166,"Yes",IF(L166&lt;R166,"No","")))</f>
        <v>Yes</v>
      </c>
      <c r="O166" s="2671" t="s">
        <v>2990</v>
      </c>
      <c r="P166" s="534"/>
      <c r="R166" s="2070">
        <v>73.400000000000006</v>
      </c>
      <c r="S166" s="53"/>
      <c r="T166" s="590">
        <f>IF(OR(M166="Yes",O166="Yes"),1,0)</f>
        <v>1</v>
      </c>
      <c r="U166" s="3732">
        <f>SUM(T166:T170)</f>
        <v>3</v>
      </c>
    </row>
    <row r="167" spans="1:24" s="42" customFormat="1" ht="12" customHeight="1">
      <c r="B167" s="589" t="s">
        <v>4161</v>
      </c>
      <c r="D167" s="3792" t="s">
        <v>5209</v>
      </c>
      <c r="E167" s="3793"/>
      <c r="F167" s="3794"/>
      <c r="G167" s="2718" t="s">
        <v>5210</v>
      </c>
      <c r="H167" s="2719" t="s">
        <v>2993</v>
      </c>
      <c r="I167" s="2720">
        <v>85.9</v>
      </c>
      <c r="J167" s="2721">
        <v>78.8</v>
      </c>
      <c r="K167" s="2721">
        <v>74.8</v>
      </c>
      <c r="L167" s="2072">
        <f>IF(I167+J167+K167=0,"",AVERAGE(I167,J167,K167))</f>
        <v>79.833333333333329</v>
      </c>
      <c r="M167" s="622" t="str">
        <f>IF(L167="","",IF(L167&gt;R167,"Yes",IF(L167&lt;R167,"No","")))</f>
        <v>Yes</v>
      </c>
      <c r="O167" s="2672" t="s">
        <v>2993</v>
      </c>
      <c r="P167" s="535"/>
      <c r="R167" s="2070">
        <v>72.099999999999994</v>
      </c>
      <c r="S167" s="53"/>
      <c r="T167" s="590">
        <f>IF(OR(M167="Yes",O167="Yes"),1,0)</f>
        <v>1</v>
      </c>
      <c r="U167" s="3732"/>
    </row>
    <row r="168" spans="1:24" s="42" customFormat="1" ht="12" customHeight="1">
      <c r="A168" s="375"/>
      <c r="B168" s="589" t="s">
        <v>3996</v>
      </c>
      <c r="D168" s="3786" t="s">
        <v>5212</v>
      </c>
      <c r="E168" s="3787"/>
      <c r="F168" s="3788"/>
      <c r="G168" s="2722" t="s">
        <v>5213</v>
      </c>
      <c r="H168" s="2723" t="s">
        <v>2993</v>
      </c>
      <c r="I168" s="2724">
        <v>81.8</v>
      </c>
      <c r="J168" s="2725">
        <v>76.8</v>
      </c>
      <c r="K168" s="2725">
        <v>77.3</v>
      </c>
      <c r="L168" s="2071">
        <f>IF(I168+J168+K168=0,"",AVERAGE(I168,J168,K168))</f>
        <v>78.633333333333326</v>
      </c>
      <c r="M168" s="623" t="str">
        <f>IF(L168="","",IF(L168&gt;R168,"Yes",IF(L168&lt;R168,"No","")))</f>
        <v>Yes</v>
      </c>
      <c r="O168" s="2673" t="s">
        <v>2993</v>
      </c>
      <c r="P168" s="536"/>
      <c r="R168" s="2070">
        <v>73.3</v>
      </c>
      <c r="S168" s="53"/>
      <c r="T168" s="590">
        <f>IF(OR(M168="Yes",O168="Yes"),1,0)</f>
        <v>1</v>
      </c>
      <c r="U168" s="3732"/>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4000</v>
      </c>
      <c r="C171" s="92"/>
      <c r="D171" s="1087"/>
      <c r="E171" s="1087"/>
      <c r="F171" s="60" t="s">
        <v>3391</v>
      </c>
      <c r="H171" s="39" t="s">
        <v>3864</v>
      </c>
      <c r="M171" s="430">
        <v>2</v>
      </c>
      <c r="N171" s="174"/>
      <c r="O171" s="1090" t="str">
        <f>IF(AND(I180="Yes",I181="Yes"),$H$181,IF(AND(I180="Yes",I181="No"),$H$180,0))</f>
        <v>1.</v>
      </c>
      <c r="P171" s="1090">
        <f>IF(AND(J180="Yes",J181="Yes"),$H$181,IF(AND(J180="Yes",J181="No"),$H$180,0))</f>
        <v>0</v>
      </c>
      <c r="Q171" s="109"/>
      <c r="R171" s="1088"/>
    </row>
    <row r="172" spans="1:24" s="54" customFormat="1" ht="15" customHeight="1">
      <c r="E172" s="4007" t="s">
        <v>4163</v>
      </c>
      <c r="F172" s="4007" t="s">
        <v>3658</v>
      </c>
      <c r="G172" s="4010" t="s">
        <v>3399</v>
      </c>
      <c r="H172" s="4010"/>
      <c r="I172" s="4010"/>
      <c r="J172" s="4010"/>
      <c r="K172" s="4010"/>
      <c r="L172" s="4010"/>
      <c r="M172" s="4010"/>
      <c r="N172" s="4010"/>
      <c r="P172" s="1117"/>
      <c r="R172" s="51" t="s">
        <v>2833</v>
      </c>
      <c r="S172" s="35"/>
      <c r="T172" s="3998" t="str">
        <f>'Part I-Project Information'!$F$38</f>
        <v>Gray</v>
      </c>
      <c r="U172" s="3999"/>
      <c r="V172" s="3999"/>
      <c r="W172" s="3999"/>
      <c r="X172" s="4000"/>
    </row>
    <row r="173" spans="1:24" s="54" customFormat="1" ht="13.5" customHeight="1">
      <c r="A173" s="46"/>
      <c r="B173" s="4021" t="s">
        <v>4003</v>
      </c>
      <c r="C173" s="4021"/>
      <c r="D173" s="4021"/>
      <c r="E173" s="4014"/>
      <c r="F173" s="4014"/>
      <c r="G173" s="4009" t="s">
        <v>4002</v>
      </c>
      <c r="H173" s="4009"/>
      <c r="I173" s="4009"/>
      <c r="J173" s="4009"/>
      <c r="K173" s="4009"/>
      <c r="L173" s="4009"/>
      <c r="M173" s="4009"/>
      <c r="N173" s="4009"/>
      <c r="O173" s="4007" t="s">
        <v>3659</v>
      </c>
      <c r="P173" s="4007"/>
      <c r="R173" s="51" t="s">
        <v>2834</v>
      </c>
      <c r="S173" s="35"/>
      <c r="T173" s="4001" t="str">
        <f>'Part I-Project Information'!$J$39</f>
        <v>Jones</v>
      </c>
      <c r="U173" s="4002"/>
      <c r="V173" s="4002"/>
      <c r="W173" s="4002"/>
      <c r="X173" s="4003"/>
    </row>
    <row r="174" spans="1:24" s="54" customFormat="1" ht="13.5" customHeight="1">
      <c r="A174" s="46"/>
      <c r="B174" s="3813" t="s">
        <v>3824</v>
      </c>
      <c r="C174" s="3813"/>
      <c r="D174" s="3813"/>
      <c r="E174" s="2318">
        <v>3000</v>
      </c>
      <c r="F174" s="2318">
        <v>6000</v>
      </c>
      <c r="G174" s="4004">
        <v>15000</v>
      </c>
      <c r="H174" s="4004"/>
      <c r="I174" s="4004"/>
      <c r="J174" s="4004"/>
      <c r="K174" s="4004"/>
      <c r="L174" s="4004"/>
      <c r="M174" s="4004"/>
      <c r="N174" s="4004"/>
      <c r="O174" s="4004">
        <v>20000</v>
      </c>
      <c r="P174" s="4004"/>
      <c r="R174" s="39" t="s">
        <v>2835</v>
      </c>
      <c r="S174" s="35"/>
      <c r="T174" s="4001" t="str">
        <f>'Part I-Project Information'!$O$40</f>
        <v>Macon</v>
      </c>
      <c r="U174" s="4002"/>
      <c r="V174" s="4002"/>
      <c r="W174" s="4002"/>
      <c r="X174" s="4003"/>
    </row>
    <row r="175" spans="1:24" s="35" customFormat="1" ht="13.5" customHeight="1">
      <c r="A175" s="46"/>
      <c r="B175" s="3753" t="s">
        <v>4001</v>
      </c>
      <c r="C175" s="3753"/>
      <c r="D175" s="3753"/>
      <c r="E175" s="2319">
        <v>4500</v>
      </c>
      <c r="F175" s="2319">
        <v>9000</v>
      </c>
      <c r="G175" s="4008">
        <v>22500</v>
      </c>
      <c r="H175" s="4008"/>
      <c r="I175" s="4008"/>
      <c r="J175" s="4008"/>
      <c r="K175" s="4008"/>
      <c r="L175" s="4008"/>
      <c r="M175" s="4008"/>
      <c r="N175" s="4008"/>
      <c r="O175" s="4008">
        <v>30000</v>
      </c>
      <c r="P175" s="4008"/>
      <c r="R175" s="39" t="s">
        <v>3857</v>
      </c>
      <c r="T175" s="4001" t="str">
        <f>VLOOKUP('Part I-Project Information'!$J$39,'DCA Underwriting Assumptions'!$G$158:$J$317,4)</f>
        <v>MSA</v>
      </c>
      <c r="U175" s="4002"/>
      <c r="V175" s="4002"/>
      <c r="W175" s="4002"/>
      <c r="X175" s="4003"/>
    </row>
    <row r="176" spans="1:24" s="54" customFormat="1" ht="9" customHeight="1">
      <c r="A176" s="46"/>
      <c r="B176" s="46"/>
      <c r="C176" s="415"/>
      <c r="K176" s="2308"/>
      <c r="L176" s="2308"/>
    </row>
    <row r="177" spans="1:24" s="54" customFormat="1" ht="12" customHeight="1">
      <c r="B177" s="900" t="s">
        <v>3858</v>
      </c>
      <c r="E177" s="899"/>
      <c r="F177" s="899"/>
      <c r="G177" s="899"/>
      <c r="I177" s="2726">
        <v>3000</v>
      </c>
      <c r="J177" s="1144"/>
      <c r="R177" s="35" t="s">
        <v>3624</v>
      </c>
      <c r="S177" s="35"/>
      <c r="T177" s="4011" t="str">
        <f>'Part I-Project Information'!$K$40</f>
        <v>Rural</v>
      </c>
      <c r="U177" s="4012"/>
      <c r="V177" s="4012"/>
      <c r="W177" s="4012"/>
      <c r="X177" s="4013"/>
    </row>
    <row r="178" spans="1:24" s="54" customFormat="1" ht="12" customHeight="1">
      <c r="A178" s="902"/>
      <c r="B178" s="428" t="s">
        <v>3623</v>
      </c>
      <c r="H178" s="901" t="str">
        <f>IF(I178&lt;I177,"Threshold not met!","")</f>
        <v/>
      </c>
      <c r="I178" s="2727">
        <v>3528</v>
      </c>
      <c r="J178" s="1145"/>
      <c r="K178" s="1119" t="str">
        <f>IF(J178&lt;J177,"Threshold not met!","")</f>
        <v/>
      </c>
    </row>
    <row r="179" spans="1:24" s="54" customFormat="1" ht="8.25" customHeight="1">
      <c r="A179" s="902"/>
      <c r="B179" s="428"/>
    </row>
    <row r="180" spans="1:24" s="54" customFormat="1" ht="11.25" customHeight="1">
      <c r="B180" s="578" t="s">
        <v>1986</v>
      </c>
      <c r="C180" s="35" t="s">
        <v>4162</v>
      </c>
      <c r="D180" s="1060"/>
      <c r="E180" s="1060"/>
      <c r="F180" s="1060"/>
      <c r="G180" s="1060"/>
      <c r="H180" s="1164" t="s">
        <v>1986</v>
      </c>
      <c r="I180" s="1161" t="str">
        <f>IF(OR(I177="",I178=""),"",IF(I178&gt;=I177,"Yes","No"))</f>
        <v>Yes</v>
      </c>
      <c r="J180" s="1161" t="str">
        <f>IF(OR(J177="",J178=""),"",IF(J178&gt;=J177,"Yes","No"))</f>
        <v/>
      </c>
    </row>
    <row r="181" spans="1:24" s="54" customFormat="1" ht="11.25" customHeight="1">
      <c r="A181" s="1061" t="s">
        <v>1353</v>
      </c>
      <c r="B181" s="578" t="s">
        <v>1988</v>
      </c>
      <c r="C181" s="35" t="s">
        <v>4004</v>
      </c>
      <c r="D181" s="1217"/>
      <c r="E181" s="1217"/>
      <c r="F181" s="1217"/>
      <c r="H181" s="1164" t="s">
        <v>1988</v>
      </c>
      <c r="I181" s="1162" t="str">
        <f>IF(OR(I177="",I178=""),"",IF(I178&gt;=HLOOKUP(I177,$E$174:$P$175,2),"Yes","No"))</f>
        <v>No</v>
      </c>
      <c r="J181" s="1162" t="str">
        <f>IF(OR(J177="",J178=""),"",IF(J178&gt;=HLOOKUP(J177,$E$174:$P$175,2),"Yes","No"))</f>
        <v/>
      </c>
    </row>
    <row r="182" spans="1:24" s="54" customFormat="1" ht="11.25" customHeight="1">
      <c r="B182" s="138"/>
      <c r="C182" s="428" t="s">
        <v>3879</v>
      </c>
      <c r="D182" s="1217"/>
      <c r="E182" s="1217"/>
      <c r="F182" s="1217"/>
      <c r="G182" s="1118"/>
      <c r="I182" s="1163">
        <f>IF(I178="",0,(I178/I177) - 1)</f>
        <v>0.17599999999999993</v>
      </c>
      <c r="J182" s="1163">
        <f>IF(J178="",0,(J178/J177) - 1)</f>
        <v>0</v>
      </c>
      <c r="M182" s="2308"/>
    </row>
    <row r="183" spans="1:24" s="54" customFormat="1" ht="9" customHeight="1">
      <c r="A183" s="46"/>
      <c r="B183" s="46"/>
      <c r="C183" s="415"/>
      <c r="F183" s="2307"/>
      <c r="K183" s="2308"/>
      <c r="L183" s="2308"/>
    </row>
    <row r="184" spans="1:24" s="42" customFormat="1" ht="10.5" customHeight="1" thickBot="1">
      <c r="A184" s="41"/>
      <c r="B184" s="1206" t="s">
        <v>3750</v>
      </c>
      <c r="C184" s="41"/>
      <c r="D184" s="47"/>
      <c r="E184" s="47"/>
      <c r="F184" s="47"/>
      <c r="G184" s="47"/>
      <c r="H184" s="35"/>
      <c r="I184" s="35"/>
      <c r="J184" s="35"/>
      <c r="K184" s="35"/>
      <c r="M184" s="45"/>
      <c r="N184" s="61"/>
      <c r="O184" s="2"/>
      <c r="P184" s="2295"/>
    </row>
    <row r="185" spans="1:24" s="42" customFormat="1" ht="43.5" customHeight="1" thickTop="1" thickBot="1">
      <c r="A185" s="3756" t="s">
        <v>5275</v>
      </c>
      <c r="B185" s="3757"/>
      <c r="C185" s="3757"/>
      <c r="D185" s="3757"/>
      <c r="E185" s="3757"/>
      <c r="F185" s="3757"/>
      <c r="G185" s="3757"/>
      <c r="H185" s="3757"/>
      <c r="I185" s="3757"/>
      <c r="J185" s="3757"/>
      <c r="K185" s="3757"/>
      <c r="L185" s="3757"/>
      <c r="M185" s="3757"/>
      <c r="N185" s="3757"/>
      <c r="O185" s="3757"/>
      <c r="P185" s="3758"/>
      <c r="Q185" s="1074" t="s">
        <v>1254</v>
      </c>
    </row>
    <row r="186" spans="1:24" s="42" customFormat="1" ht="10.5" customHeight="1" thickTop="1">
      <c r="A186" s="41"/>
      <c r="B186" s="85" t="s">
        <v>1866</v>
      </c>
      <c r="C186" s="98"/>
      <c r="D186" s="85"/>
      <c r="E186" s="99"/>
      <c r="F186" s="2304"/>
      <c r="G186" s="2304"/>
      <c r="H186" s="2304"/>
      <c r="I186" s="2304"/>
      <c r="J186" s="2304"/>
      <c r="K186" s="2304"/>
      <c r="L186" s="2304"/>
      <c r="M186" s="2304"/>
      <c r="N186" s="74"/>
      <c r="O186" s="70"/>
      <c r="P186" s="2292"/>
      <c r="Q186" s="426"/>
    </row>
    <row r="187" spans="1:24" s="42" customFormat="1" ht="11.25" customHeight="1">
      <c r="A187" s="3489"/>
      <c r="B187" s="3490"/>
      <c r="C187" s="3490"/>
      <c r="D187" s="3490"/>
      <c r="E187" s="3490"/>
      <c r="F187" s="3490"/>
      <c r="G187" s="3490"/>
      <c r="H187" s="3490"/>
      <c r="I187" s="3490"/>
      <c r="J187" s="3490"/>
      <c r="K187" s="3490"/>
      <c r="L187" s="3490"/>
      <c r="M187" s="3490"/>
      <c r="N187" s="3490"/>
      <c r="O187" s="3490"/>
      <c r="P187" s="3491"/>
      <c r="Q187" s="445"/>
      <c r="U187" s="2093"/>
    </row>
    <row r="188" spans="1:24" s="42" customFormat="1" ht="3" customHeight="1" thickBot="1">
      <c r="A188" s="41"/>
      <c r="C188" s="2304"/>
      <c r="D188" s="2304"/>
      <c r="E188" s="2304"/>
      <c r="F188" s="2304"/>
      <c r="G188" s="2304"/>
      <c r="H188" s="2304"/>
      <c r="I188" s="2304"/>
      <c r="J188" s="2304"/>
      <c r="K188" s="2304"/>
      <c r="L188" s="2304"/>
      <c r="M188" s="2304"/>
      <c r="N188" s="74"/>
      <c r="O188" s="70"/>
      <c r="P188" s="887"/>
    </row>
    <row r="189" spans="1:24" s="102" customFormat="1" ht="12.6" customHeight="1" thickBot="1">
      <c r="A189" s="152" t="s">
        <v>772</v>
      </c>
      <c r="B189" s="106" t="s">
        <v>4010</v>
      </c>
      <c r="C189" s="92"/>
      <c r="D189" s="58"/>
      <c r="E189" s="58"/>
      <c r="I189" s="1062"/>
      <c r="J189" s="1062"/>
      <c r="K189" s="580"/>
      <c r="L189" s="580"/>
      <c r="M189" s="2292">
        <v>7</v>
      </c>
      <c r="N189" s="6"/>
      <c r="O189" s="1089">
        <f>IF(OR(O$153&gt;0,O$277&gt;0),0,MIN($M$189,O205+O210))</f>
        <v>0</v>
      </c>
      <c r="P189" s="1090">
        <f>IF(OR(P$153&gt;0,P$277&gt;0),0,MIN($M$189,P205+P210))</f>
        <v>0</v>
      </c>
      <c r="Q189" s="109" t="s">
        <v>441</v>
      </c>
      <c r="R189" s="4015" t="s">
        <v>4835</v>
      </c>
      <c r="S189" s="4016"/>
    </row>
    <row r="190" spans="1:24" s="42" customFormat="1" ht="2.25" customHeight="1">
      <c r="A190" s="429"/>
      <c r="C190" s="165"/>
      <c r="D190" s="165"/>
      <c r="E190" s="172"/>
      <c r="F190" s="165"/>
      <c r="G190" s="165"/>
      <c r="H190" s="165"/>
      <c r="I190" s="165"/>
      <c r="J190" s="165"/>
      <c r="K190" s="165"/>
      <c r="L190" s="165"/>
      <c r="M190" s="165"/>
      <c r="N190" s="165"/>
      <c r="O190" s="165"/>
      <c r="P190" s="165"/>
      <c r="R190" s="4017"/>
      <c r="S190" s="4018"/>
    </row>
    <row r="191" spans="1:24" s="42" customFormat="1" ht="23.25" customHeight="1">
      <c r="A191" s="429"/>
      <c r="B191" s="3551" t="s">
        <v>4835</v>
      </c>
      <c r="C191" s="3551"/>
      <c r="D191" s="3551"/>
      <c r="E191" s="3551"/>
      <c r="F191" s="3551"/>
      <c r="G191" s="3551"/>
      <c r="H191" s="3551"/>
      <c r="I191" s="3551"/>
      <c r="J191" s="3551"/>
      <c r="K191" s="3551"/>
      <c r="L191" s="3551"/>
      <c r="M191" s="3551"/>
      <c r="N191" s="3551"/>
      <c r="O191" s="3551"/>
      <c r="P191" s="3551"/>
      <c r="R191" s="4017"/>
      <c r="S191" s="4018"/>
    </row>
    <row r="192" spans="1:24" s="42" customFormat="1" ht="12" customHeight="1">
      <c r="A192" s="429"/>
      <c r="B192" s="165" t="s">
        <v>4127</v>
      </c>
      <c r="C192" s="165"/>
      <c r="D192" s="165"/>
      <c r="E192" s="165"/>
      <c r="F192" s="165"/>
      <c r="G192" s="165"/>
      <c r="H192" s="165"/>
      <c r="I192" s="165"/>
      <c r="J192" s="165"/>
      <c r="K192" s="1173" t="s">
        <v>2510</v>
      </c>
      <c r="L192" s="1174" t="s">
        <v>2510</v>
      </c>
      <c r="N192" s="1209"/>
      <c r="P192" s="1210"/>
      <c r="R192" s="4017"/>
      <c r="S192" s="4018"/>
    </row>
    <row r="193" spans="1:25" s="392" customFormat="1" ht="11.25" customHeight="1">
      <c r="B193" s="1029" t="s">
        <v>2435</v>
      </c>
      <c r="C193" s="3781" t="s">
        <v>4940</v>
      </c>
      <c r="D193" s="3781"/>
      <c r="E193" s="3781"/>
      <c r="F193" s="3781"/>
      <c r="G193" s="3781"/>
      <c r="H193" s="3781"/>
      <c r="I193" s="3781"/>
      <c r="J193" s="1029" t="s">
        <v>2435</v>
      </c>
      <c r="K193" s="2728"/>
      <c r="L193" s="1211"/>
      <c r="M193" s="4022" t="s">
        <v>3853</v>
      </c>
      <c r="N193" s="4023"/>
      <c r="O193" s="4023"/>
      <c r="P193" s="4024"/>
      <c r="R193" s="4017"/>
      <c r="S193" s="4018"/>
    </row>
    <row r="194" spans="1:25" s="42" customFormat="1" ht="11.25" customHeight="1">
      <c r="A194" s="373"/>
      <c r="B194" s="375"/>
      <c r="C194" s="3781"/>
      <c r="D194" s="3781"/>
      <c r="E194" s="3781"/>
      <c r="F194" s="3781"/>
      <c r="G194" s="3781"/>
      <c r="H194" s="3781"/>
      <c r="I194" s="3781"/>
      <c r="K194" s="1190"/>
      <c r="L194" s="1190"/>
      <c r="R194" s="4017"/>
      <c r="S194" s="4018"/>
    </row>
    <row r="195" spans="1:25" s="102" customFormat="1" ht="11.25" customHeight="1">
      <c r="A195" s="429"/>
      <c r="B195" s="375" t="s">
        <v>2436</v>
      </c>
      <c r="C195" s="3805" t="s">
        <v>4829</v>
      </c>
      <c r="D195" s="3805"/>
      <c r="E195" s="3805"/>
      <c r="F195" s="3805"/>
      <c r="G195" s="3805"/>
      <c r="J195" s="375" t="s">
        <v>2436</v>
      </c>
      <c r="K195" s="2729"/>
      <c r="L195" s="538"/>
      <c r="M195" s="3795" t="s">
        <v>3853</v>
      </c>
      <c r="N195" s="3796"/>
      <c r="O195" s="3796"/>
      <c r="P195" s="3797"/>
      <c r="R195" s="4017"/>
      <c r="S195" s="4018"/>
    </row>
    <row r="196" spans="1:25" s="32" customFormat="1" ht="11.25" customHeight="1">
      <c r="B196" s="375" t="s">
        <v>2437</v>
      </c>
      <c r="C196" s="491" t="s">
        <v>4830</v>
      </c>
      <c r="D196" s="491"/>
      <c r="E196" s="491"/>
      <c r="F196" s="491"/>
      <c r="G196" s="491"/>
      <c r="H196" s="491"/>
      <c r="J196" s="375" t="s">
        <v>2437</v>
      </c>
      <c r="K196" s="2730"/>
      <c r="L196" s="2139"/>
      <c r="M196" s="3764" t="s">
        <v>3853</v>
      </c>
      <c r="N196" s="3765"/>
      <c r="O196" s="3765"/>
      <c r="P196" s="3766"/>
      <c r="R196" s="4017"/>
      <c r="S196" s="4018"/>
    </row>
    <row r="197" spans="1:25" s="32" customFormat="1" ht="11.25" customHeight="1">
      <c r="B197" s="375" t="s">
        <v>2439</v>
      </c>
      <c r="C197" s="134" t="s">
        <v>4831</v>
      </c>
      <c r="D197" s="491"/>
      <c r="E197" s="491"/>
      <c r="F197" s="491"/>
      <c r="G197" s="491"/>
      <c r="H197" s="491"/>
      <c r="J197" s="375" t="s">
        <v>2439</v>
      </c>
      <c r="K197" s="2730"/>
      <c r="L197" s="2139"/>
      <c r="M197" s="3764" t="s">
        <v>3853</v>
      </c>
      <c r="N197" s="3765"/>
      <c r="O197" s="3765"/>
      <c r="P197" s="3766"/>
      <c r="R197" s="4017"/>
      <c r="S197" s="4018"/>
    </row>
    <row r="198" spans="1:25" s="32" customFormat="1" ht="11.25" customHeight="1">
      <c r="B198" s="375" t="s">
        <v>2438</v>
      </c>
      <c r="C198" s="51" t="s">
        <v>4833</v>
      </c>
      <c r="D198" s="51"/>
      <c r="E198" s="51"/>
      <c r="F198" s="51"/>
      <c r="G198" s="51"/>
      <c r="H198" s="51"/>
      <c r="J198" s="375" t="s">
        <v>2438</v>
      </c>
      <c r="K198" s="2730"/>
      <c r="L198" s="2139"/>
      <c r="M198" s="3764" t="s">
        <v>3853</v>
      </c>
      <c r="N198" s="3765"/>
      <c r="O198" s="3765"/>
      <c r="P198" s="3766"/>
      <c r="R198" s="4017"/>
      <c r="S198" s="4018"/>
    </row>
    <row r="199" spans="1:25" s="32" customFormat="1" ht="11.25" customHeight="1">
      <c r="B199" s="387" t="s">
        <v>2455</v>
      </c>
      <c r="C199" s="51" t="s">
        <v>4832</v>
      </c>
      <c r="D199" s="491"/>
      <c r="E199" s="491"/>
      <c r="F199" s="491"/>
      <c r="G199" s="491"/>
      <c r="J199" s="387" t="s">
        <v>2455</v>
      </c>
      <c r="K199" s="2730"/>
      <c r="L199" s="2139"/>
      <c r="M199" s="3750" t="s">
        <v>3853</v>
      </c>
      <c r="N199" s="3751"/>
      <c r="O199" s="3751"/>
      <c r="P199" s="3752"/>
      <c r="R199" s="4017"/>
      <c r="S199" s="4018"/>
    </row>
    <row r="200" spans="1:25" s="32" customFormat="1" ht="11.25" customHeight="1">
      <c r="B200" s="387" t="s">
        <v>2456</v>
      </c>
      <c r="C200" s="3775" t="s">
        <v>4938</v>
      </c>
      <c r="D200" s="3775"/>
      <c r="E200" s="3775"/>
      <c r="F200" s="3775"/>
      <c r="G200" s="3775"/>
      <c r="H200" s="3775"/>
      <c r="I200" s="2150"/>
      <c r="J200" s="387" t="s">
        <v>2456</v>
      </c>
      <c r="K200" s="2730"/>
      <c r="L200" s="2139"/>
      <c r="R200" s="4017"/>
      <c r="S200" s="4018"/>
    </row>
    <row r="201" spans="1:25" s="42" customFormat="1" ht="11.25" customHeight="1">
      <c r="A201" s="373"/>
      <c r="B201" s="375"/>
      <c r="C201" s="3775"/>
      <c r="D201" s="3775"/>
      <c r="E201" s="3775"/>
      <c r="F201" s="3775"/>
      <c r="G201" s="3775"/>
      <c r="H201" s="3775"/>
      <c r="I201" s="2150"/>
      <c r="J201" s="387" t="s">
        <v>4939</v>
      </c>
      <c r="K201" s="2731"/>
      <c r="L201" s="2151"/>
      <c r="M201" s="491"/>
      <c r="N201" s="491"/>
      <c r="O201" s="491"/>
      <c r="P201" s="491"/>
      <c r="R201" s="4017"/>
      <c r="S201" s="4018"/>
    </row>
    <row r="202" spans="1:25" s="32" customFormat="1" ht="11.25" customHeight="1">
      <c r="B202" s="1029" t="s">
        <v>2457</v>
      </c>
      <c r="C202" s="3781" t="s">
        <v>4836</v>
      </c>
      <c r="D202" s="3781"/>
      <c r="E202" s="3781"/>
      <c r="F202" s="3781"/>
      <c r="G202" s="3781"/>
      <c r="H202" s="3781"/>
      <c r="I202" s="3781"/>
      <c r="J202" s="387" t="s">
        <v>2457</v>
      </c>
      <c r="K202" s="2732"/>
      <c r="L202" s="539"/>
      <c r="R202" s="4017"/>
      <c r="S202" s="4018"/>
    </row>
    <row r="203" spans="1:25" s="42" customFormat="1" ht="11.25" customHeight="1" thickBot="1">
      <c r="A203" s="373"/>
      <c r="B203" s="375"/>
      <c r="C203" s="3781"/>
      <c r="D203" s="3781"/>
      <c r="E203" s="3781"/>
      <c r="F203" s="3781"/>
      <c r="G203" s="3781"/>
      <c r="H203" s="3781"/>
      <c r="I203" s="3781"/>
      <c r="K203" s="1190"/>
      <c r="L203" s="1190"/>
      <c r="R203" s="4019"/>
      <c r="S203" s="4020"/>
    </row>
    <row r="204" spans="1:25" ht="4.5" customHeight="1">
      <c r="B204" s="387"/>
      <c r="C204" s="491"/>
      <c r="K204" s="39"/>
      <c r="M204" s="373"/>
      <c r="N204" s="373"/>
      <c r="O204" s="373"/>
      <c r="P204" s="373"/>
    </row>
    <row r="205" spans="1:25" ht="11.25" customHeight="1">
      <c r="A205" s="138" t="s">
        <v>1983</v>
      </c>
      <c r="B205" s="177" t="s">
        <v>4009</v>
      </c>
      <c r="H205" s="158"/>
      <c r="I205" s="431" t="s">
        <v>4834</v>
      </c>
      <c r="M205" s="430">
        <v>5</v>
      </c>
      <c r="N205" s="46" t="s">
        <v>1983</v>
      </c>
      <c r="O205" s="543">
        <f>IF(SUM(O206:O207)=$M$207,0,MIN($M$205,SUM(O206:O207)))</f>
        <v>0</v>
      </c>
      <c r="P205" s="543">
        <f>IF(SUM(P206:P207)=$M$207,0,MIN($M$205,SUM(P206:P207)))</f>
        <v>0</v>
      </c>
      <c r="Q205" s="1026"/>
      <c r="X205" s="373"/>
      <c r="Y205" s="375"/>
    </row>
    <row r="206" spans="1:25" ht="22.5" customHeight="1">
      <c r="A206" s="508"/>
      <c r="B206" s="586" t="s">
        <v>1986</v>
      </c>
      <c r="C206" s="3809" t="s">
        <v>4926</v>
      </c>
      <c r="D206" s="3809"/>
      <c r="E206" s="3809"/>
      <c r="F206" s="3809"/>
      <c r="G206" s="3809"/>
      <c r="H206" s="3809"/>
      <c r="I206" s="3809"/>
      <c r="J206" s="3809"/>
      <c r="K206" s="3809"/>
      <c r="L206" s="3809"/>
      <c r="M206" s="1132">
        <v>3</v>
      </c>
      <c r="N206" s="478" t="s">
        <v>1986</v>
      </c>
      <c r="O206" s="2710"/>
      <c r="P206" s="861"/>
      <c r="Q206" s="2148" t="str">
        <f>IF(OR($O206=$M206,$O206=0,$O206=""),"","*CHECK!*")</f>
        <v/>
      </c>
      <c r="R206" s="1016" t="s">
        <v>2706</v>
      </c>
    </row>
    <row r="207" spans="1:25" ht="12" customHeight="1">
      <c r="A207" s="508"/>
      <c r="B207" s="586" t="s">
        <v>1988</v>
      </c>
      <c r="C207" s="1028" t="s">
        <v>4924</v>
      </c>
      <c r="D207" s="1028"/>
      <c r="E207" s="1028"/>
      <c r="F207" s="1028"/>
      <c r="G207" s="1028"/>
      <c r="H207" s="1028"/>
      <c r="I207" s="1028"/>
      <c r="J207" s="433" t="s">
        <v>3775</v>
      </c>
      <c r="K207" s="32"/>
      <c r="L207" s="2137" t="str">
        <f>'Part I-Project Information'!$N$39</f>
        <v>No</v>
      </c>
      <c r="M207" s="2302">
        <v>2</v>
      </c>
      <c r="N207" s="435" t="s">
        <v>1988</v>
      </c>
      <c r="O207" s="2707"/>
      <c r="P207" s="530"/>
      <c r="Q207" s="1020" t="str">
        <f>IF(OR($O207=$M207,$O207=0,$O207=""),"","*CHECK!*")</f>
        <v/>
      </c>
      <c r="R207" s="1016" t="s">
        <v>2706</v>
      </c>
    </row>
    <row r="208" spans="1:25" ht="12" customHeight="1">
      <c r="A208" s="508"/>
      <c r="B208" s="586"/>
      <c r="C208" s="3805" t="s">
        <v>4925</v>
      </c>
      <c r="D208" s="3805"/>
      <c r="E208" s="3805"/>
      <c r="F208" s="3805"/>
      <c r="G208" s="3805"/>
      <c r="H208" s="3805"/>
      <c r="I208" s="2110"/>
      <c r="J208" s="433" t="s">
        <v>3575</v>
      </c>
      <c r="K208" s="2140"/>
      <c r="L208" s="2138" t="str">
        <f>'Part I-Project Information'!$O$38</f>
        <v>13169030301</v>
      </c>
      <c r="M208" s="2315"/>
      <c r="N208" s="1132"/>
      <c r="O208" s="1132"/>
      <c r="P208" s="1132"/>
      <c r="Q208" s="1020"/>
      <c r="R208" s="1016"/>
    </row>
    <row r="209" spans="1:23" ht="12" customHeight="1">
      <c r="A209" s="508"/>
      <c r="B209" s="474"/>
      <c r="C209" s="3805"/>
      <c r="D209" s="3805"/>
      <c r="E209" s="3805"/>
      <c r="F209" s="3805"/>
      <c r="G209" s="3805"/>
      <c r="H209" s="3805"/>
      <c r="J209" s="433" t="s">
        <v>3375</v>
      </c>
      <c r="K209" s="32"/>
      <c r="L209" s="2136" t="str">
        <f>'Part IV-A-Uses of Funds'!$H$152</f>
        <v>&lt;&lt;Select&gt;&gt;</v>
      </c>
      <c r="M209" s="2136"/>
      <c r="N209" s="26"/>
      <c r="O209" s="26"/>
      <c r="P209" s="26"/>
      <c r="R209" s="158"/>
    </row>
    <row r="210" spans="1:23" ht="12" customHeight="1">
      <c r="A210" s="138" t="s">
        <v>1985</v>
      </c>
      <c r="B210" s="177" t="s">
        <v>4837</v>
      </c>
      <c r="D210" s="32"/>
      <c r="F210" s="2099"/>
      <c r="K210" s="1165"/>
      <c r="L210" s="376" t="str">
        <f>IF(OR($O210=$M210,$O210=0,$O210=""),"","* * Check Score! * *")</f>
        <v/>
      </c>
      <c r="M210" s="430">
        <v>2</v>
      </c>
      <c r="N210" s="63" t="s">
        <v>1985</v>
      </c>
      <c r="O210" s="2711"/>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3776</v>
      </c>
      <c r="C212" s="35" t="s">
        <v>3854</v>
      </c>
      <c r="D212" s="102"/>
      <c r="E212" s="102"/>
      <c r="F212" s="102"/>
      <c r="G212" s="102"/>
      <c r="H212" s="102"/>
      <c r="I212" s="102"/>
      <c r="J212" s="4043"/>
      <c r="K212" s="4044"/>
      <c r="L212" s="4044"/>
      <c r="M212" s="4044"/>
      <c r="N212" s="4044"/>
      <c r="O212" s="4044"/>
      <c r="P212" s="4045"/>
      <c r="V212" s="1070"/>
      <c r="W212" s="1070"/>
    </row>
    <row r="213" spans="1:23" s="42" customFormat="1" ht="11.25" customHeight="1">
      <c r="A213" s="175"/>
      <c r="B213" s="463" t="s">
        <v>3777</v>
      </c>
      <c r="C213" s="433" t="s">
        <v>3855</v>
      </c>
      <c r="D213" s="102"/>
      <c r="E213" s="102"/>
      <c r="F213" s="102"/>
      <c r="G213" s="102"/>
      <c r="H213" s="102"/>
      <c r="I213" s="2057" t="str">
        <f>IF($J$213="Government", "Additional documentation required - see QAP.","")</f>
        <v/>
      </c>
      <c r="J213" s="3521" t="s">
        <v>2829</v>
      </c>
      <c r="K213" s="4005"/>
      <c r="L213" s="4006"/>
      <c r="M213" s="102"/>
      <c r="N213" s="102"/>
      <c r="O213" s="102"/>
      <c r="P213" s="102"/>
      <c r="V213" s="1070"/>
      <c r="W213" s="1070"/>
    </row>
    <row r="214" spans="1:23" ht="11.25" customHeight="1">
      <c r="A214" s="176"/>
      <c r="B214" s="463" t="s">
        <v>3778</v>
      </c>
      <c r="C214" s="433" t="s">
        <v>4842</v>
      </c>
      <c r="D214" s="32"/>
      <c r="E214" s="32"/>
      <c r="F214" s="585"/>
      <c r="G214" s="585"/>
      <c r="H214" s="585"/>
      <c r="I214" s="32"/>
      <c r="J214" s="2671"/>
      <c r="K214" s="4046" t="s">
        <v>4839</v>
      </c>
      <c r="L214" s="4047"/>
      <c r="M214" s="4047"/>
      <c r="N214" s="4047"/>
      <c r="O214" s="2095"/>
      <c r="P214" s="92"/>
      <c r="V214" s="1070"/>
      <c r="W214" s="1070"/>
    </row>
    <row r="215" spans="1:23" ht="11.25" customHeight="1">
      <c r="A215" s="176"/>
      <c r="B215" s="387" t="s">
        <v>3780</v>
      </c>
      <c r="C215" s="433" t="s">
        <v>4838</v>
      </c>
      <c r="D215" s="32"/>
      <c r="E215" s="32"/>
      <c r="F215" s="585"/>
      <c r="G215" s="585"/>
      <c r="H215" s="585"/>
      <c r="I215" s="32"/>
      <c r="J215" s="2672"/>
      <c r="K215" s="4046"/>
      <c r="L215" s="4047"/>
      <c r="M215" s="4047"/>
      <c r="N215" s="4047"/>
      <c r="O215" s="2733"/>
      <c r="P215" s="2096" t="s">
        <v>3783</v>
      </c>
      <c r="V215" s="1070"/>
      <c r="W215" s="1070"/>
    </row>
    <row r="216" spans="1:23" ht="11.25" customHeight="1">
      <c r="A216" s="176"/>
      <c r="B216" s="387" t="s">
        <v>3781</v>
      </c>
      <c r="C216" s="433" t="s">
        <v>4841</v>
      </c>
      <c r="D216" s="32"/>
      <c r="E216" s="32"/>
      <c r="F216" s="585"/>
      <c r="G216" s="585"/>
      <c r="H216" s="585"/>
      <c r="I216" s="32"/>
      <c r="J216" s="2673"/>
      <c r="L216" s="2097" t="s">
        <v>4840</v>
      </c>
      <c r="N216" s="2098"/>
      <c r="O216" s="4048"/>
      <c r="P216" s="4049"/>
      <c r="V216" s="1070"/>
      <c r="W216" s="1070"/>
    </row>
    <row r="217" spans="1:23" ht="2.25" customHeight="1">
      <c r="A217" s="176"/>
      <c r="G217" s="391"/>
      <c r="L217" s="1146"/>
      <c r="V217" s="1070"/>
      <c r="W217" s="1070"/>
    </row>
    <row r="218" spans="1:23" ht="21.75" customHeight="1">
      <c r="A218" s="3761" t="s">
        <v>4167</v>
      </c>
      <c r="B218" s="3759" t="s">
        <v>4164</v>
      </c>
      <c r="C218" s="3760"/>
      <c r="D218" s="2991"/>
      <c r="E218" s="2977"/>
      <c r="F218" s="2977"/>
      <c r="G218" s="2977"/>
      <c r="H218" s="2977"/>
      <c r="I218" s="2977"/>
      <c r="J218" s="2977"/>
      <c r="K218" s="2977"/>
      <c r="L218" s="2977"/>
      <c r="M218" s="2977"/>
      <c r="N218" s="2977"/>
      <c r="O218" s="2977"/>
      <c r="P218" s="2978"/>
      <c r="Q218" s="445"/>
      <c r="V218" s="1070"/>
      <c r="W218" s="1070"/>
    </row>
    <row r="219" spans="1:23" ht="22.5" customHeight="1">
      <c r="A219" s="3762"/>
      <c r="B219" s="3754" t="s">
        <v>4165</v>
      </c>
      <c r="C219" s="3755"/>
      <c r="D219" s="2996"/>
      <c r="E219" s="2947"/>
      <c r="F219" s="2947"/>
      <c r="G219" s="2947"/>
      <c r="H219" s="2947"/>
      <c r="I219" s="2947"/>
      <c r="J219" s="2947"/>
      <c r="K219" s="2947"/>
      <c r="L219" s="2947"/>
      <c r="M219" s="2947"/>
      <c r="N219" s="2947"/>
      <c r="O219" s="2947"/>
      <c r="P219" s="2948"/>
      <c r="Q219" s="445"/>
      <c r="V219" s="1070"/>
      <c r="W219" s="1070"/>
    </row>
    <row r="220" spans="1:23" ht="22.5" customHeight="1">
      <c r="A220" s="3763"/>
      <c r="B220" s="3771" t="s">
        <v>4920</v>
      </c>
      <c r="C220" s="3772"/>
      <c r="D220" s="3034"/>
      <c r="E220" s="3000"/>
      <c r="F220" s="3000"/>
      <c r="G220" s="3000"/>
      <c r="H220" s="3000"/>
      <c r="I220" s="3000"/>
      <c r="J220" s="3000"/>
      <c r="K220" s="3000"/>
      <c r="L220" s="3000"/>
      <c r="M220" s="3000"/>
      <c r="N220" s="3000"/>
      <c r="O220" s="3000"/>
      <c r="P220" s="3001"/>
      <c r="Q220" s="445"/>
      <c r="V220" s="1070"/>
      <c r="W220" s="1070"/>
    </row>
    <row r="221" spans="1:23" ht="11.25" customHeight="1">
      <c r="B221" s="35" t="s">
        <v>3454</v>
      </c>
      <c r="G221" s="3800" t="s">
        <v>2629</v>
      </c>
      <c r="H221" s="3800"/>
      <c r="J221" s="3798"/>
      <c r="K221" s="3799"/>
      <c r="L221" s="3769"/>
      <c r="M221" s="3770"/>
      <c r="V221" s="1070"/>
      <c r="W221" s="1070"/>
    </row>
    <row r="222" spans="1:23" s="42" customFormat="1" ht="11.25" customHeight="1">
      <c r="C222" s="35" t="s">
        <v>3455</v>
      </c>
      <c r="D222" s="2304"/>
      <c r="G222" s="3773">
        <f>'Part IV-A-Uses of Funds'!$G$132</f>
        <v>9013295</v>
      </c>
      <c r="H222" s="3774"/>
      <c r="J222" s="3767">
        <f>IF($J221=0,0,$J221/$G$222)</f>
        <v>0</v>
      </c>
      <c r="K222" s="3768"/>
      <c r="L222" s="3767">
        <f>IF($L221=0,0,$L221/$G$222)</f>
        <v>0</v>
      </c>
      <c r="M222" s="3768"/>
      <c r="V222" s="1070"/>
      <c r="W222" s="1070"/>
    </row>
    <row r="223" spans="1:23" s="102" customFormat="1" ht="10.5" customHeight="1" thickBot="1">
      <c r="A223" s="41"/>
      <c r="B223" s="1206" t="s">
        <v>3750</v>
      </c>
      <c r="C223" s="41"/>
      <c r="D223" s="47"/>
      <c r="E223" s="47"/>
      <c r="F223" s="47"/>
      <c r="G223" s="47"/>
      <c r="H223" s="35"/>
      <c r="I223" s="35"/>
      <c r="J223" s="35"/>
      <c r="K223" s="35"/>
      <c r="M223" s="45"/>
      <c r="N223" s="5"/>
      <c r="O223" s="2"/>
      <c r="P223" s="2292"/>
    </row>
    <row r="224" spans="1:23" s="42" customFormat="1" ht="21.75" customHeight="1" thickTop="1" thickBot="1">
      <c r="A224" s="3756" t="s">
        <v>970</v>
      </c>
      <c r="B224" s="3757"/>
      <c r="C224" s="3757"/>
      <c r="D224" s="3757"/>
      <c r="E224" s="3757"/>
      <c r="F224" s="3757"/>
      <c r="G224" s="3757"/>
      <c r="H224" s="3757"/>
      <c r="I224" s="3757"/>
      <c r="J224" s="3757"/>
      <c r="K224" s="3757"/>
      <c r="L224" s="3757"/>
      <c r="M224" s="3757"/>
      <c r="N224" s="3757"/>
      <c r="O224" s="3757"/>
      <c r="P224" s="3758"/>
      <c r="Q224" s="1074" t="s">
        <v>1254</v>
      </c>
    </row>
    <row r="225" spans="1:23" s="102" customFormat="1" ht="11.7" customHeight="1" thickTop="1">
      <c r="A225" s="41"/>
      <c r="B225" s="97" t="s">
        <v>1866</v>
      </c>
      <c r="C225" s="41"/>
      <c r="D225" s="97"/>
      <c r="E225" s="2310"/>
      <c r="F225" s="2310"/>
      <c r="G225" s="2310"/>
      <c r="H225" s="2310"/>
      <c r="I225" s="2310"/>
      <c r="J225" s="2310"/>
      <c r="K225" s="2310"/>
      <c r="L225" s="2310"/>
      <c r="M225" s="2310"/>
      <c r="N225" s="93"/>
      <c r="O225" s="872"/>
      <c r="P225" s="2292"/>
      <c r="Q225" s="426"/>
    </row>
    <row r="226" spans="1:23" s="42" customFormat="1" ht="11.25" customHeight="1">
      <c r="A226" s="3489"/>
      <c r="B226" s="3490"/>
      <c r="C226" s="3490"/>
      <c r="D226" s="3490"/>
      <c r="E226" s="3490"/>
      <c r="F226" s="3490"/>
      <c r="G226" s="3490"/>
      <c r="H226" s="3490"/>
      <c r="I226" s="3490"/>
      <c r="J226" s="3490"/>
      <c r="K226" s="3490"/>
      <c r="L226" s="3490"/>
      <c r="M226" s="3490"/>
      <c r="N226" s="3490"/>
      <c r="O226" s="3490"/>
      <c r="P226" s="3491"/>
      <c r="Q226" s="445"/>
    </row>
    <row r="227" spans="1:23" s="42" customFormat="1" ht="3" customHeight="1" thickBot="1">
      <c r="A227" s="41"/>
      <c r="C227" s="2304"/>
      <c r="D227" s="2304"/>
      <c r="E227" s="2304"/>
      <c r="F227" s="2304"/>
      <c r="G227" s="2304"/>
      <c r="H227" s="2304"/>
      <c r="I227" s="2304"/>
      <c r="J227" s="2304"/>
      <c r="K227" s="2304"/>
      <c r="L227" s="2304"/>
      <c r="M227" s="2304"/>
      <c r="N227" s="74"/>
      <c r="O227" s="70"/>
      <c r="P227" s="887"/>
    </row>
    <row r="228" spans="1:23" s="42" customFormat="1" ht="13.5" customHeight="1" thickBot="1">
      <c r="A228" s="152" t="s">
        <v>292</v>
      </c>
      <c r="B228" s="106" t="s">
        <v>4013</v>
      </c>
      <c r="C228" s="2304"/>
      <c r="D228" s="2304"/>
      <c r="E228" s="2304"/>
      <c r="F228" s="2304"/>
      <c r="G228" s="2304"/>
      <c r="H228" s="2304"/>
      <c r="I228" s="2304"/>
      <c r="J228" s="2304"/>
      <c r="M228" s="887">
        <v>3</v>
      </c>
      <c r="N228" s="74"/>
      <c r="O228" s="70"/>
      <c r="P228" s="1123"/>
      <c r="Q228" s="109" t="s">
        <v>441</v>
      </c>
      <c r="R228" s="1016" t="s">
        <v>2706</v>
      </c>
    </row>
    <row r="229" spans="1:23" s="42" customFormat="1" ht="13.5" customHeight="1">
      <c r="A229" s="152"/>
      <c r="B229" s="103" t="s">
        <v>4605</v>
      </c>
      <c r="C229" s="2304"/>
      <c r="D229" s="2304"/>
      <c r="E229" s="2304"/>
      <c r="F229" s="2304"/>
      <c r="G229" s="2304"/>
      <c r="H229" s="2304"/>
      <c r="I229" s="2304"/>
      <c r="J229" s="2304"/>
      <c r="K229" s="2296"/>
      <c r="L229" s="2100" t="str">
        <f>IF(OR(O$153&gt;0,O$277&gt;0),"Applicant is ineligible for points in this section!  Points claimed in VI or IX.","")</f>
        <v>Applicant is ineligible for points in this section!  Points claimed in VI or IX.</v>
      </c>
      <c r="M229" s="887"/>
      <c r="N229" s="74"/>
      <c r="O229" s="2674"/>
      <c r="P229" s="1953"/>
      <c r="Q229" s="109"/>
      <c r="R229" s="1016"/>
    </row>
    <row r="230" spans="1:23" s="42" customFormat="1" ht="13.5" customHeight="1">
      <c r="A230" s="152"/>
      <c r="B230" s="113" t="s">
        <v>4015</v>
      </c>
      <c r="C230" s="2304"/>
      <c r="D230" s="2304"/>
      <c r="E230" s="2304"/>
      <c r="F230" s="2304"/>
      <c r="G230" s="2304"/>
      <c r="H230" s="2304"/>
      <c r="I230" s="2304"/>
      <c r="J230" s="2304"/>
      <c r="K230" s="2296" t="s">
        <v>3246</v>
      </c>
      <c r="L230" s="2296" t="s">
        <v>256</v>
      </c>
      <c r="M230" s="887"/>
      <c r="N230" s="74"/>
      <c r="O230" s="70"/>
      <c r="P230" s="70"/>
      <c r="Q230" s="109"/>
      <c r="R230" s="1016"/>
    </row>
    <row r="231" spans="1:23" s="42" customFormat="1" ht="11.25" customHeight="1">
      <c r="A231" s="138"/>
      <c r="C231" s="54" t="s">
        <v>4849</v>
      </c>
      <c r="K231" s="1170">
        <f>$O$189</f>
        <v>0</v>
      </c>
      <c r="L231" s="1171">
        <f>$P$189</f>
        <v>0</v>
      </c>
      <c r="N231" s="463" t="s">
        <v>2435</v>
      </c>
      <c r="O231" s="2671"/>
      <c r="P231" s="534"/>
      <c r="R231" s="376"/>
    </row>
    <row r="232" spans="1:23" s="42" customFormat="1" ht="11.25" customHeight="1">
      <c r="A232" s="138"/>
      <c r="C232" s="54" t="s">
        <v>4850</v>
      </c>
      <c r="K232" s="1170">
        <f>$O$107</f>
        <v>4</v>
      </c>
      <c r="L232" s="1171">
        <f>$P$107</f>
        <v>0</v>
      </c>
      <c r="N232" s="463" t="s">
        <v>2436</v>
      </c>
      <c r="O232" s="2672"/>
      <c r="P232" s="535"/>
      <c r="R232" s="1070"/>
      <c r="S232" s="1070"/>
    </row>
    <row r="233" spans="1:23" s="42" customFormat="1" ht="11.25" customHeight="1">
      <c r="C233" s="54" t="s">
        <v>4851</v>
      </c>
      <c r="N233" s="463" t="s">
        <v>2437</v>
      </c>
      <c r="O233" s="2673"/>
      <c r="P233" s="535"/>
      <c r="R233" s="1070"/>
      <c r="S233" s="1070"/>
    </row>
    <row r="234" spans="1:23" s="42" customFormat="1" ht="11.25" customHeight="1">
      <c r="A234" s="138"/>
      <c r="C234" s="54" t="s">
        <v>4019</v>
      </c>
      <c r="K234" s="2088" t="str">
        <f>'Part I-Project Information'!F38</f>
        <v>Gray</v>
      </c>
      <c r="L234" s="2089"/>
      <c r="N234" s="463" t="s">
        <v>2438</v>
      </c>
      <c r="O234" s="463"/>
      <c r="P234" s="535"/>
      <c r="R234" s="1070"/>
      <c r="S234" s="1070"/>
    </row>
    <row r="235" spans="1:23" s="42" customFormat="1" ht="11.25" customHeight="1">
      <c r="A235" s="138"/>
      <c r="C235" s="54" t="s">
        <v>4942</v>
      </c>
      <c r="K235" s="1170">
        <f>$O$153</f>
        <v>3</v>
      </c>
      <c r="L235" s="1171">
        <f>$P$153</f>
        <v>0</v>
      </c>
      <c r="N235" s="463" t="s">
        <v>2439</v>
      </c>
      <c r="O235" s="2671"/>
      <c r="P235" s="535"/>
      <c r="R235" s="1070"/>
      <c r="S235" s="1070"/>
    </row>
    <row r="236" spans="1:23" s="42" customFormat="1" ht="11.25" customHeight="1">
      <c r="A236" s="138"/>
      <c r="C236" s="54" t="s">
        <v>4941</v>
      </c>
      <c r="K236" s="1170">
        <f>$O$277</f>
        <v>5</v>
      </c>
      <c r="L236" s="1171">
        <f>$P$277</f>
        <v>0</v>
      </c>
      <c r="N236" s="463" t="s">
        <v>2438</v>
      </c>
      <c r="O236" s="2673"/>
      <c r="P236" s="536"/>
      <c r="R236" s="1070"/>
      <c r="S236" s="1070"/>
    </row>
    <row r="237" spans="1:23" s="42" customFormat="1" ht="3" customHeight="1">
      <c r="A237" s="41"/>
      <c r="C237" s="2304"/>
      <c r="D237" s="2304"/>
      <c r="E237" s="2304"/>
      <c r="F237" s="2304"/>
      <c r="G237" s="2304"/>
      <c r="H237" s="2304"/>
      <c r="I237" s="2304"/>
      <c r="J237" s="2304"/>
      <c r="K237" s="2304"/>
      <c r="L237" s="2304"/>
      <c r="M237" s="2304"/>
      <c r="N237" s="74"/>
      <c r="O237" s="70"/>
      <c r="P237" s="887"/>
    </row>
    <row r="238" spans="1:23" ht="11.25" customHeight="1">
      <c r="A238" s="138" t="s">
        <v>1983</v>
      </c>
      <c r="B238" s="177" t="s">
        <v>4022</v>
      </c>
      <c r="D238" s="32"/>
      <c r="G238" s="474" t="s">
        <v>3779</v>
      </c>
      <c r="N238" s="26"/>
      <c r="O238" s="26"/>
      <c r="P238" s="26"/>
      <c r="Q238" s="1026"/>
    </row>
    <row r="239" spans="1:23" s="32" customFormat="1" ht="11.25" customHeight="1">
      <c r="A239" s="508"/>
      <c r="B239" s="134" t="s">
        <v>3859</v>
      </c>
      <c r="D239" s="3734"/>
      <c r="E239" s="3735"/>
      <c r="F239" s="3735"/>
      <c r="G239" s="3354"/>
      <c r="H239" s="3736"/>
      <c r="I239" s="2301" t="s">
        <v>2704</v>
      </c>
      <c r="J239" s="3734"/>
      <c r="K239" s="3735"/>
      <c r="L239" s="3735"/>
      <c r="M239" s="3735"/>
      <c r="N239" s="3736"/>
      <c r="O239" s="572"/>
      <c r="P239" s="572"/>
      <c r="Q239" s="1026"/>
      <c r="R239" s="3742" t="s">
        <v>5018</v>
      </c>
      <c r="S239" s="3743"/>
    </row>
    <row r="240" spans="1:23" s="32" customFormat="1" ht="11.25" customHeight="1">
      <c r="A240" s="508"/>
      <c r="B240" s="134" t="s">
        <v>2194</v>
      </c>
      <c r="D240" s="3776"/>
      <c r="E240" s="3777"/>
      <c r="F240" s="3778"/>
      <c r="G240" s="134" t="s">
        <v>1721</v>
      </c>
      <c r="H240" s="2734"/>
      <c r="I240" s="433" t="s">
        <v>1800</v>
      </c>
      <c r="J240" s="3776"/>
      <c r="K240" s="3777"/>
      <c r="L240" s="3777"/>
      <c r="M240" s="3777"/>
      <c r="N240" s="3778"/>
      <c r="Q240" s="1026"/>
      <c r="R240" s="3744"/>
      <c r="S240" s="3745"/>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44"/>
      <c r="S241" s="3745"/>
    </row>
    <row r="242" spans="1:23" ht="10.5" customHeight="1">
      <c r="A242" s="508"/>
      <c r="B242" s="586" t="s">
        <v>1986</v>
      </c>
      <c r="C242" s="1028" t="s">
        <v>4021</v>
      </c>
      <c r="D242" s="1023"/>
      <c r="E242" s="1023"/>
      <c r="F242" s="1023"/>
      <c r="G242" s="1023"/>
      <c r="H242" s="1023"/>
      <c r="I242" s="1023"/>
      <c r="J242" s="1023"/>
      <c r="K242" s="1023"/>
      <c r="L242" s="1023"/>
      <c r="M242" s="1023"/>
      <c r="N242" s="1023"/>
      <c r="O242" s="516" t="s">
        <v>2510</v>
      </c>
      <c r="P242" s="516" t="s">
        <v>2510</v>
      </c>
      <c r="Q242" s="1023"/>
      <c r="R242" s="3744"/>
      <c r="S242" s="3745"/>
    </row>
    <row r="243" spans="1:23" s="32" customFormat="1" ht="21.75" customHeight="1">
      <c r="A243" s="2302"/>
      <c r="B243" s="614"/>
      <c r="C243" s="3805" t="s">
        <v>4032</v>
      </c>
      <c r="D243" s="3805"/>
      <c r="E243" s="3805"/>
      <c r="F243" s="3805"/>
      <c r="G243" s="3805"/>
      <c r="H243" s="3805"/>
      <c r="I243" s="3805"/>
      <c r="J243" s="3805"/>
      <c r="K243" s="3805"/>
      <c r="L243" s="3805"/>
      <c r="M243" s="3805"/>
      <c r="N243" s="390" t="s">
        <v>1986</v>
      </c>
      <c r="O243" s="2691"/>
      <c r="P243" s="1150"/>
      <c r="Q243" s="1023"/>
      <c r="R243" s="3744"/>
      <c r="S243" s="3745"/>
      <c r="V243" s="1070"/>
      <c r="W243" s="1070"/>
    </row>
    <row r="244" spans="1:23" s="32" customFormat="1" ht="11.25" customHeight="1">
      <c r="A244" s="508"/>
      <c r="B244" s="463" t="s">
        <v>2435</v>
      </c>
      <c r="C244" s="134" t="s">
        <v>4023</v>
      </c>
      <c r="D244" s="3801"/>
      <c r="E244" s="3802"/>
      <c r="F244" s="3802"/>
      <c r="G244" s="3735"/>
      <c r="H244" s="3803"/>
      <c r="I244" s="2301" t="s">
        <v>2704</v>
      </c>
      <c r="J244" s="3801"/>
      <c r="K244" s="3802"/>
      <c r="L244" s="3802"/>
      <c r="M244" s="3802"/>
      <c r="N244" s="3803"/>
      <c r="O244" s="3779" t="s">
        <v>4025</v>
      </c>
      <c r="P244" s="3780"/>
      <c r="Q244" s="1023"/>
      <c r="R244" s="3744"/>
      <c r="S244" s="3745"/>
      <c r="V244" s="1070"/>
      <c r="W244" s="1070"/>
    </row>
    <row r="245" spans="1:23" s="32" customFormat="1" ht="11.25" customHeight="1">
      <c r="A245" s="508"/>
      <c r="C245" s="1078" t="s">
        <v>2194</v>
      </c>
      <c r="D245" s="3776"/>
      <c r="E245" s="3777"/>
      <c r="F245" s="3778"/>
      <c r="G245" s="1148" t="s">
        <v>1721</v>
      </c>
      <c r="H245" s="2734"/>
      <c r="I245" s="1077" t="s">
        <v>1800</v>
      </c>
      <c r="J245" s="3776"/>
      <c r="K245" s="3777"/>
      <c r="L245" s="3777"/>
      <c r="M245" s="3777"/>
      <c r="N245" s="3778"/>
      <c r="O245" s="2673"/>
      <c r="P245" s="536"/>
      <c r="Q245" s="1023"/>
      <c r="R245" s="3744"/>
      <c r="S245" s="3745"/>
      <c r="V245" s="1070"/>
      <c r="W245" s="1070"/>
    </row>
    <row r="246" spans="1:23" s="32" customFormat="1" ht="11.25" customHeight="1">
      <c r="A246" s="508"/>
      <c r="B246" s="463" t="s">
        <v>2436</v>
      </c>
      <c r="C246" s="134" t="s">
        <v>4024</v>
      </c>
      <c r="D246" s="3801"/>
      <c r="E246" s="3802"/>
      <c r="F246" s="3802"/>
      <c r="G246" s="3735"/>
      <c r="H246" s="3803"/>
      <c r="I246" s="2301" t="s">
        <v>2704</v>
      </c>
      <c r="J246" s="3801"/>
      <c r="K246" s="3802"/>
      <c r="L246" s="3802"/>
      <c r="M246" s="3802"/>
      <c r="N246" s="3803"/>
      <c r="O246" s="3779" t="s">
        <v>4025</v>
      </c>
      <c r="P246" s="3780"/>
      <c r="Q246" s="1023"/>
      <c r="R246" s="3744"/>
      <c r="S246" s="3745"/>
      <c r="V246" s="1070"/>
      <c r="W246" s="1070"/>
    </row>
    <row r="247" spans="1:23" s="32" customFormat="1" ht="11.25" customHeight="1">
      <c r="A247" s="508"/>
      <c r="C247" s="1078" t="s">
        <v>2194</v>
      </c>
      <c r="D247" s="3776"/>
      <c r="E247" s="3777"/>
      <c r="F247" s="3778"/>
      <c r="G247" s="1148" t="s">
        <v>1721</v>
      </c>
      <c r="H247" s="2734"/>
      <c r="I247" s="1077" t="s">
        <v>1800</v>
      </c>
      <c r="J247" s="3776"/>
      <c r="K247" s="3777"/>
      <c r="L247" s="3777"/>
      <c r="M247" s="3777"/>
      <c r="N247" s="3778"/>
      <c r="O247" s="2673"/>
      <c r="P247" s="536"/>
      <c r="Q247" s="1023"/>
      <c r="R247" s="3744"/>
      <c r="S247" s="3745"/>
      <c r="V247" s="1070"/>
      <c r="W247" s="1070"/>
    </row>
    <row r="248" spans="1:23" ht="11.25" customHeight="1">
      <c r="A248" s="508"/>
      <c r="B248" s="586" t="s">
        <v>1988</v>
      </c>
      <c r="C248" s="1028" t="s">
        <v>4026</v>
      </c>
      <c r="D248" s="1023"/>
      <c r="E248" s="1023"/>
      <c r="F248" s="1023"/>
      <c r="G248" s="474" t="s">
        <v>3779</v>
      </c>
      <c r="H248" s="1023"/>
      <c r="I248" s="1023"/>
      <c r="J248" s="1023"/>
      <c r="K248" s="1023"/>
      <c r="L248" s="1023"/>
      <c r="M248" s="1023"/>
      <c r="N248" s="1023"/>
      <c r="O248" s="516" t="s">
        <v>2510</v>
      </c>
      <c r="P248" s="516" t="s">
        <v>2510</v>
      </c>
      <c r="Q248" s="1023"/>
      <c r="R248" s="3744"/>
      <c r="S248" s="3745"/>
    </row>
    <row r="249" spans="1:23" ht="33.75" customHeight="1">
      <c r="A249" s="508"/>
      <c r="B249" s="1030"/>
      <c r="C249" s="3781" t="s">
        <v>4131</v>
      </c>
      <c r="D249" s="3781"/>
      <c r="E249" s="3781"/>
      <c r="F249" s="3781"/>
      <c r="G249" s="3781"/>
      <c r="H249" s="3781"/>
      <c r="I249" s="3781"/>
      <c r="J249" s="3781"/>
      <c r="K249" s="3781"/>
      <c r="L249" s="3781"/>
      <c r="M249" s="3781"/>
      <c r="N249" s="390" t="s">
        <v>1988</v>
      </c>
      <c r="O249" s="2691"/>
      <c r="P249" s="1150"/>
      <c r="Q249" s="1027"/>
      <c r="R249" s="3744"/>
      <c r="S249" s="3745"/>
      <c r="V249" s="1070"/>
      <c r="W249" s="1070"/>
    </row>
    <row r="250" spans="1:23" ht="11.25" customHeight="1">
      <c r="A250" s="508"/>
      <c r="B250" s="463" t="s">
        <v>2435</v>
      </c>
      <c r="C250" s="1032" t="s">
        <v>4132</v>
      </c>
      <c r="D250" s="2312"/>
      <c r="E250" s="2312"/>
      <c r="F250" s="2312"/>
      <c r="G250" s="2312"/>
      <c r="H250" s="2312"/>
      <c r="I250" s="2312"/>
      <c r="J250" s="2312"/>
      <c r="K250" s="2312"/>
      <c r="L250" s="2312"/>
      <c r="M250" s="2312"/>
      <c r="N250" s="2312"/>
      <c r="O250" s="2312"/>
      <c r="P250" s="2312"/>
      <c r="Q250" s="1027"/>
      <c r="R250" s="3744"/>
      <c r="S250" s="3745"/>
      <c r="V250" s="1070"/>
      <c r="W250" s="1070"/>
    </row>
    <row r="251" spans="1:23" ht="11.25" customHeight="1">
      <c r="A251" s="508"/>
      <c r="B251" s="32"/>
      <c r="C251" s="3970" t="s">
        <v>4606</v>
      </c>
      <c r="D251" s="3971"/>
      <c r="E251" s="3971"/>
      <c r="F251" s="3971"/>
      <c r="G251" s="3971"/>
      <c r="H251" s="3971"/>
      <c r="I251" s="3971"/>
      <c r="J251" s="3971"/>
      <c r="K251" s="3971"/>
      <c r="L251" s="3971"/>
      <c r="M251" s="3971"/>
      <c r="N251" s="3971"/>
      <c r="O251" s="3971"/>
      <c r="P251" s="3972"/>
      <c r="Q251" s="1074"/>
      <c r="R251" s="3744"/>
      <c r="S251" s="3745"/>
      <c r="V251" s="1070"/>
      <c r="W251" s="1070"/>
    </row>
    <row r="252" spans="1:23" ht="11.25" customHeight="1">
      <c r="A252" s="508"/>
      <c r="B252" s="1030"/>
      <c r="C252" s="3837" t="s">
        <v>226</v>
      </c>
      <c r="D252" s="3838"/>
      <c r="E252" s="3838"/>
      <c r="F252" s="3838"/>
      <c r="G252" s="3838"/>
      <c r="H252" s="3838"/>
      <c r="I252" s="3838"/>
      <c r="J252" s="3838"/>
      <c r="K252" s="3838"/>
      <c r="L252" s="3838"/>
      <c r="M252" s="3838"/>
      <c r="N252" s="3838"/>
      <c r="O252" s="3838"/>
      <c r="P252" s="3839"/>
      <c r="Q252" s="1027"/>
      <c r="R252" s="3744"/>
      <c r="S252" s="3745"/>
      <c r="V252" s="1070"/>
      <c r="W252" s="1070"/>
    </row>
    <row r="253" spans="1:23" ht="11.25" customHeight="1">
      <c r="A253" s="508"/>
      <c r="B253" s="1030"/>
      <c r="C253" s="3880" t="s">
        <v>1404</v>
      </c>
      <c r="D253" s="3881"/>
      <c r="E253" s="3881"/>
      <c r="F253" s="3881"/>
      <c r="G253" s="3881"/>
      <c r="H253" s="3881"/>
      <c r="I253" s="3881"/>
      <c r="J253" s="3881"/>
      <c r="K253" s="3881"/>
      <c r="L253" s="3881"/>
      <c r="M253" s="3881"/>
      <c r="N253" s="3881"/>
      <c r="O253" s="3881"/>
      <c r="P253" s="3882"/>
      <c r="Q253" s="1027"/>
      <c r="R253" s="3744"/>
      <c r="S253" s="3745"/>
      <c r="V253" s="1070"/>
      <c r="W253" s="1070"/>
    </row>
    <row r="254" spans="1:23" ht="11.25" customHeight="1">
      <c r="A254" s="508"/>
      <c r="B254" s="463" t="s">
        <v>2436</v>
      </c>
      <c r="C254" s="1032" t="s">
        <v>4130</v>
      </c>
      <c r="D254" s="2312"/>
      <c r="E254" s="2312"/>
      <c r="F254" s="2312"/>
      <c r="G254" s="2312"/>
      <c r="H254" s="2312"/>
      <c r="I254" s="2312"/>
      <c r="J254" s="2312"/>
      <c r="K254" s="2312"/>
      <c r="L254" s="3975" t="s">
        <v>4134</v>
      </c>
      <c r="M254" s="3975"/>
      <c r="N254" s="3976" t="s">
        <v>4135</v>
      </c>
      <c r="O254" s="3976"/>
      <c r="P254" s="3976"/>
      <c r="Q254" s="1027"/>
      <c r="R254" s="3744"/>
      <c r="S254" s="3745"/>
      <c r="V254" s="1070"/>
      <c r="W254" s="1070"/>
    </row>
    <row r="255" spans="1:23" ht="11.25" customHeight="1">
      <c r="A255" s="508"/>
      <c r="B255" s="1030"/>
      <c r="C255" s="3823" t="s">
        <v>4606</v>
      </c>
      <c r="D255" s="3824"/>
      <c r="E255" s="3824"/>
      <c r="F255" s="3824"/>
      <c r="G255" s="3824"/>
      <c r="H255" s="3824"/>
      <c r="I255" s="3824"/>
      <c r="J255" s="3824"/>
      <c r="K255" s="3825"/>
      <c r="L255" s="3823"/>
      <c r="M255" s="3825"/>
      <c r="N255" s="3823"/>
      <c r="O255" s="3824"/>
      <c r="P255" s="3825"/>
      <c r="Q255" s="1074"/>
      <c r="R255" s="3744"/>
      <c r="S255" s="3745"/>
      <c r="V255" s="1070"/>
      <c r="W255" s="1070"/>
    </row>
    <row r="256" spans="1:23" ht="11.25" customHeight="1">
      <c r="A256" s="508"/>
      <c r="B256" s="1030"/>
      <c r="C256" s="3806" t="s">
        <v>226</v>
      </c>
      <c r="D256" s="3807"/>
      <c r="E256" s="3807"/>
      <c r="F256" s="3807"/>
      <c r="G256" s="3807"/>
      <c r="H256" s="3807"/>
      <c r="I256" s="3807"/>
      <c r="J256" s="3807"/>
      <c r="K256" s="3808"/>
      <c r="L256" s="3806"/>
      <c r="M256" s="3808"/>
      <c r="N256" s="3806"/>
      <c r="O256" s="3807"/>
      <c r="P256" s="3808"/>
      <c r="Q256" s="1027"/>
      <c r="R256" s="3744"/>
      <c r="S256" s="3745"/>
      <c r="V256" s="1070"/>
      <c r="W256" s="1070"/>
    </row>
    <row r="257" spans="1:23" ht="11.25" customHeight="1">
      <c r="A257" s="508"/>
      <c r="B257" s="1030"/>
      <c r="C257" s="3871" t="s">
        <v>1404</v>
      </c>
      <c r="D257" s="3872"/>
      <c r="E257" s="3872"/>
      <c r="F257" s="3872"/>
      <c r="G257" s="3872"/>
      <c r="H257" s="3872"/>
      <c r="I257" s="3872"/>
      <c r="J257" s="3872"/>
      <c r="K257" s="3873"/>
      <c r="L257" s="3871"/>
      <c r="M257" s="3873"/>
      <c r="N257" s="3871"/>
      <c r="O257" s="3872"/>
      <c r="P257" s="3873"/>
      <c r="Q257" s="1027"/>
      <c r="R257" s="3744"/>
      <c r="S257" s="3745"/>
      <c r="V257" s="1070"/>
      <c r="W257" s="1070"/>
    </row>
    <row r="258" spans="1:23" ht="11.25" customHeight="1">
      <c r="A258" s="508"/>
      <c r="B258" s="586" t="s">
        <v>2534</v>
      </c>
      <c r="C258" s="1028" t="s">
        <v>4027</v>
      </c>
      <c r="D258" s="1023"/>
      <c r="E258" s="1023"/>
      <c r="F258" s="1023"/>
      <c r="G258" s="1023"/>
      <c r="H258" s="1023"/>
      <c r="I258" s="1023"/>
      <c r="J258" s="1023"/>
      <c r="K258" s="1023"/>
      <c r="L258" s="1023"/>
      <c r="M258" s="1023"/>
      <c r="N258" s="1023"/>
      <c r="O258" s="516"/>
      <c r="P258" s="516"/>
      <c r="Q258" s="1023"/>
      <c r="R258" s="3746"/>
      <c r="S258" s="3747"/>
    </row>
    <row r="259" spans="1:23" s="32" customFormat="1" ht="11.25" customHeight="1">
      <c r="A259" s="508"/>
      <c r="B259" s="1031"/>
      <c r="C259" s="3805" t="s">
        <v>4031</v>
      </c>
      <c r="D259" s="3805"/>
      <c r="E259" s="3805"/>
      <c r="F259" s="3805"/>
      <c r="G259" s="3805"/>
      <c r="H259" s="3805"/>
      <c r="I259" s="3805"/>
      <c r="J259" s="3805"/>
      <c r="K259" s="3805"/>
      <c r="L259" s="3805"/>
      <c r="M259" s="3805"/>
      <c r="N259" s="390" t="s">
        <v>2534</v>
      </c>
      <c r="O259" s="2674"/>
      <c r="P259" s="533"/>
      <c r="Q259" s="1027"/>
      <c r="V259" s="1070"/>
      <c r="W259" s="1070"/>
    </row>
    <row r="260" spans="1:23" ht="11.25" customHeight="1">
      <c r="A260" s="138"/>
      <c r="B260" s="888" t="s">
        <v>1224</v>
      </c>
      <c r="C260" s="583" t="s">
        <v>3782</v>
      </c>
      <c r="D260" s="32"/>
      <c r="N260" s="26"/>
      <c r="O260" s="26"/>
      <c r="P260" s="26"/>
      <c r="Q260" s="114"/>
    </row>
    <row r="261" spans="1:23" s="32" customFormat="1" ht="21.75" customHeight="1">
      <c r="A261" s="508"/>
      <c r="B261" s="1031"/>
      <c r="C261" s="3809" t="s">
        <v>4033</v>
      </c>
      <c r="D261" s="3809"/>
      <c r="E261" s="3809"/>
      <c r="F261" s="3809"/>
      <c r="G261" s="3809"/>
      <c r="H261" s="3809"/>
      <c r="I261" s="3809"/>
      <c r="J261" s="3809"/>
      <c r="K261" s="3809"/>
      <c r="L261" s="3809"/>
      <c r="M261" s="3809"/>
      <c r="N261" s="390" t="s">
        <v>1224</v>
      </c>
      <c r="O261" s="2691"/>
      <c r="P261" s="1150"/>
      <c r="Q261" s="1027"/>
      <c r="V261" s="1070"/>
      <c r="W261" s="1070"/>
    </row>
    <row r="262" spans="1:23" s="32" customFormat="1" ht="10.5" customHeight="1">
      <c r="A262" s="508"/>
      <c r="B262" s="1031"/>
      <c r="C262" s="2313"/>
      <c r="D262" s="2313"/>
      <c r="E262" s="2313"/>
      <c r="F262" s="2313"/>
      <c r="G262" s="614" t="s">
        <v>4943</v>
      </c>
      <c r="H262" s="2313"/>
      <c r="J262" s="3957"/>
      <c r="K262" s="3958"/>
      <c r="L262" s="2313"/>
      <c r="M262" s="2313"/>
      <c r="N262" s="2313"/>
      <c r="O262" s="2313"/>
      <c r="P262" s="2313"/>
      <c r="Q262" s="1027"/>
      <c r="V262" s="1070"/>
      <c r="W262" s="1070"/>
    </row>
    <row r="263" spans="1:23" s="32" customFormat="1" ht="11.25" customHeight="1">
      <c r="A263" s="508"/>
      <c r="B263" s="387" t="s">
        <v>2435</v>
      </c>
      <c r="C263" s="3805" t="s">
        <v>4034</v>
      </c>
      <c r="D263" s="3805"/>
      <c r="E263" s="3805"/>
      <c r="F263" s="3805"/>
      <c r="G263" s="3805"/>
      <c r="H263" s="3805"/>
      <c r="I263" s="3805"/>
      <c r="J263" s="3805"/>
      <c r="K263" s="3805"/>
      <c r="L263" s="3805"/>
      <c r="M263" s="3805"/>
      <c r="N263" s="387" t="s">
        <v>2435</v>
      </c>
      <c r="O263" s="2671"/>
      <c r="P263" s="534"/>
      <c r="Q263" s="1027"/>
      <c r="V263" s="1070"/>
      <c r="W263" s="1070"/>
    </row>
    <row r="264" spans="1:23" s="32" customFormat="1" ht="11.25" customHeight="1">
      <c r="A264" s="508"/>
      <c r="B264" s="387" t="s">
        <v>2436</v>
      </c>
      <c r="C264" s="3805" t="s">
        <v>4843</v>
      </c>
      <c r="D264" s="3805"/>
      <c r="E264" s="3805"/>
      <c r="F264" s="3805"/>
      <c r="G264" s="3805"/>
      <c r="H264" s="3805"/>
      <c r="I264" s="3805"/>
      <c r="J264" s="3805"/>
      <c r="K264" s="3805"/>
      <c r="L264" s="3805"/>
      <c r="M264" s="3805"/>
      <c r="N264" s="387" t="s">
        <v>2436</v>
      </c>
      <c r="O264" s="2673"/>
      <c r="P264" s="536"/>
      <c r="Q264" s="1027"/>
      <c r="V264" s="1070"/>
      <c r="W264" s="1070"/>
    </row>
    <row r="265" spans="1:23" ht="11.25" customHeight="1">
      <c r="A265" s="138"/>
      <c r="B265" s="888" t="s">
        <v>1225</v>
      </c>
      <c r="C265" s="583" t="s">
        <v>4844</v>
      </c>
      <c r="D265" s="32"/>
      <c r="N265" s="390" t="s">
        <v>1225</v>
      </c>
      <c r="O265" s="26"/>
      <c r="P265" s="26"/>
      <c r="Q265" s="114"/>
    </row>
    <row r="266" spans="1:23" s="32" customFormat="1" ht="11.25" customHeight="1">
      <c r="A266" s="508"/>
      <c r="B266" s="387" t="s">
        <v>2435</v>
      </c>
      <c r="C266" s="3805" t="s">
        <v>4845</v>
      </c>
      <c r="D266" s="3805"/>
      <c r="E266" s="3805"/>
      <c r="F266" s="3805"/>
      <c r="G266" s="3805"/>
      <c r="H266" s="3805"/>
      <c r="I266" s="3805"/>
      <c r="J266" s="3805"/>
      <c r="K266" s="3805"/>
      <c r="L266" s="3805"/>
      <c r="M266" s="3805"/>
      <c r="N266" s="387" t="s">
        <v>2435</v>
      </c>
      <c r="O266" s="2671"/>
      <c r="P266" s="534"/>
      <c r="Q266" s="1027"/>
      <c r="V266" s="1070"/>
      <c r="W266" s="1070"/>
    </row>
    <row r="267" spans="1:23" s="32" customFormat="1" ht="11.25" customHeight="1">
      <c r="A267" s="508"/>
      <c r="B267" s="387" t="s">
        <v>2436</v>
      </c>
      <c r="C267" s="3805" t="s">
        <v>4846</v>
      </c>
      <c r="D267" s="3805"/>
      <c r="E267" s="3805"/>
      <c r="F267" s="3805"/>
      <c r="G267" s="3805"/>
      <c r="H267" s="3805"/>
      <c r="I267" s="3805"/>
      <c r="J267" s="3805"/>
      <c r="K267" s="3805"/>
      <c r="L267" s="3805"/>
      <c r="M267" s="3805"/>
      <c r="N267" s="387" t="s">
        <v>2436</v>
      </c>
      <c r="O267" s="2673"/>
      <c r="P267" s="536"/>
      <c r="Q267" s="1027"/>
      <c r="V267" s="1070"/>
      <c r="W267" s="1070"/>
    </row>
    <row r="268" spans="1:23" ht="11.7" customHeight="1">
      <c r="A268" s="138" t="s">
        <v>1985</v>
      </c>
      <c r="B268" s="177" t="s">
        <v>4028</v>
      </c>
      <c r="D268" s="32"/>
      <c r="G268" s="474" t="s">
        <v>3779</v>
      </c>
      <c r="N268" s="26"/>
      <c r="O268" s="516" t="s">
        <v>2510</v>
      </c>
      <c r="P268" s="516" t="s">
        <v>2510</v>
      </c>
      <c r="Q268" s="1026"/>
    </row>
    <row r="269" spans="1:23" ht="22.5" customHeight="1">
      <c r="B269" s="586" t="s">
        <v>1986</v>
      </c>
      <c r="C269" s="3775" t="s">
        <v>4029</v>
      </c>
      <c r="D269" s="3775"/>
      <c r="E269" s="3775"/>
      <c r="F269" s="3775"/>
      <c r="G269" s="3775"/>
      <c r="H269" s="3775"/>
      <c r="I269" s="3775"/>
      <c r="J269" s="3775"/>
      <c r="K269" s="3775"/>
      <c r="L269" s="3775"/>
      <c r="M269" s="1124" t="s">
        <v>1985</v>
      </c>
      <c r="N269" s="390" t="s">
        <v>1986</v>
      </c>
      <c r="O269" s="2683"/>
      <c r="P269" s="1149"/>
      <c r="Q269" s="1026"/>
      <c r="V269" s="1070"/>
      <c r="W269" s="1070"/>
    </row>
    <row r="270" spans="1:23" s="32" customFormat="1" ht="11.25" customHeight="1">
      <c r="A270" s="508"/>
      <c r="B270" s="586" t="s">
        <v>1988</v>
      </c>
      <c r="C270" s="433" t="s">
        <v>4847</v>
      </c>
      <c r="D270" s="972"/>
      <c r="E270" s="972"/>
      <c r="F270" s="972"/>
      <c r="G270" s="972"/>
      <c r="H270" s="972"/>
      <c r="I270" s="972"/>
      <c r="J270" s="972"/>
      <c r="K270" s="972"/>
      <c r="L270" s="972"/>
      <c r="M270" s="972"/>
      <c r="N270" s="390" t="s">
        <v>1988</v>
      </c>
      <c r="O270" s="2672"/>
      <c r="P270" s="535"/>
      <c r="Q270" s="1027"/>
      <c r="V270" s="1216"/>
      <c r="W270" s="1216"/>
    </row>
    <row r="271" spans="1:23" s="32" customFormat="1" ht="11.25" customHeight="1">
      <c r="A271" s="508"/>
      <c r="B271" s="586" t="s">
        <v>2534</v>
      </c>
      <c r="C271" s="433" t="s">
        <v>4848</v>
      </c>
      <c r="D271" s="972"/>
      <c r="E271" s="972"/>
      <c r="F271" s="972"/>
      <c r="G271" s="972"/>
      <c r="H271" s="972"/>
      <c r="I271" s="972"/>
      <c r="J271" s="972"/>
      <c r="K271" s="972"/>
      <c r="L271" s="972"/>
      <c r="M271" s="972"/>
      <c r="N271" s="390" t="s">
        <v>2534</v>
      </c>
      <c r="O271" s="2673"/>
      <c r="P271" s="536"/>
      <c r="Q271" s="1027"/>
      <c r="V271" s="1216"/>
      <c r="W271" s="1216"/>
    </row>
    <row r="272" spans="1:23" s="42" customFormat="1" ht="12" customHeight="1" thickBot="1">
      <c r="A272" s="41"/>
      <c r="B272" s="1206" t="s">
        <v>3750</v>
      </c>
      <c r="C272" s="41"/>
      <c r="D272" s="47"/>
      <c r="E272" s="47"/>
      <c r="F272" s="47"/>
      <c r="G272" s="47"/>
      <c r="H272" s="35"/>
      <c r="I272" s="134"/>
      <c r="M272" s="45"/>
      <c r="N272" s="61"/>
      <c r="O272" s="2"/>
      <c r="P272" s="2295"/>
    </row>
    <row r="273" spans="1:18" s="42" customFormat="1" ht="21.75" customHeight="1" thickTop="1" thickBot="1">
      <c r="A273" s="4052" t="s">
        <v>970</v>
      </c>
      <c r="B273" s="4053"/>
      <c r="C273" s="4053"/>
      <c r="D273" s="4053"/>
      <c r="E273" s="4053"/>
      <c r="F273" s="4053"/>
      <c r="G273" s="4053"/>
      <c r="H273" s="4053"/>
      <c r="I273" s="4053"/>
      <c r="J273" s="4053"/>
      <c r="K273" s="4053"/>
      <c r="L273" s="4053"/>
      <c r="M273" s="4053"/>
      <c r="N273" s="4053"/>
      <c r="O273" s="4053"/>
      <c r="P273" s="4054"/>
      <c r="Q273" s="1074" t="s">
        <v>1254</v>
      </c>
    </row>
    <row r="274" spans="1:18" s="42" customFormat="1" ht="10.5" customHeight="1" thickTop="1">
      <c r="A274" s="41"/>
      <c r="B274" s="85" t="s">
        <v>1866</v>
      </c>
      <c r="C274" s="41"/>
      <c r="D274" s="85"/>
      <c r="E274" s="2304"/>
      <c r="F274" s="2304"/>
      <c r="G274" s="2304"/>
      <c r="H274" s="2304"/>
      <c r="I274" s="2304"/>
      <c r="J274" s="2304"/>
      <c r="K274" s="2304"/>
      <c r="L274" s="2304"/>
      <c r="M274" s="2304"/>
      <c r="N274" s="74"/>
      <c r="O274" s="70"/>
      <c r="P274" s="2292"/>
      <c r="Q274" s="426"/>
    </row>
    <row r="275" spans="1:18" s="42" customFormat="1" ht="11.25" customHeight="1">
      <c r="A275" s="3962"/>
      <c r="B275" s="3963"/>
      <c r="C275" s="3963"/>
      <c r="D275" s="3963"/>
      <c r="E275" s="3963"/>
      <c r="F275" s="3963"/>
      <c r="G275" s="3963"/>
      <c r="H275" s="3963"/>
      <c r="I275" s="3963"/>
      <c r="J275" s="3963"/>
      <c r="K275" s="3963"/>
      <c r="L275" s="3963"/>
      <c r="M275" s="3963"/>
      <c r="N275" s="3963"/>
      <c r="O275" s="3963"/>
      <c r="P275" s="3964"/>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4175</v>
      </c>
      <c r="M277" s="2292">
        <v>6</v>
      </c>
      <c r="N277" s="6"/>
      <c r="O277" s="1141">
        <f>O279+O288+O293</f>
        <v>5</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65" t="s">
        <v>3599</v>
      </c>
      <c r="B279" s="869" t="s">
        <v>4852</v>
      </c>
      <c r="C279" s="92"/>
      <c r="D279" s="58"/>
      <c r="E279" s="58"/>
      <c r="G279" s="474" t="s">
        <v>4859</v>
      </c>
      <c r="I279" s="26"/>
      <c r="J279" s="3959" t="str">
        <f>'Part I-Project Information'!$O$38</f>
        <v>13169030301</v>
      </c>
      <c r="K279" s="3959"/>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531"/>
      <c r="Q279" s="109"/>
      <c r="R279" s="42"/>
    </row>
    <row r="280" spans="1:18" ht="11.7" customHeight="1">
      <c r="A280" s="3965"/>
      <c r="B280" s="110" t="s">
        <v>2794</v>
      </c>
      <c r="C280" s="512"/>
      <c r="D280" s="512"/>
      <c r="G280" s="513" t="str">
        <f>'Part I-Project Information'!$H$105</f>
        <v>Rural</v>
      </c>
      <c r="M280" s="1024" t="s">
        <v>4853</v>
      </c>
      <c r="N280" s="2101"/>
      <c r="O280" s="1174" t="s">
        <v>2510</v>
      </c>
      <c r="P280" s="1174" t="s">
        <v>2510</v>
      </c>
    </row>
    <row r="281" spans="1:18" ht="11.7" customHeight="1">
      <c r="A281" s="3965"/>
      <c r="B281" s="888" t="s">
        <v>1986</v>
      </c>
      <c r="C281" s="438" t="s">
        <v>2685</v>
      </c>
      <c r="E281" s="116"/>
      <c r="M281" s="80"/>
      <c r="N281" s="174" t="s">
        <v>1986</v>
      </c>
      <c r="O281" s="2671" t="s">
        <v>2990</v>
      </c>
      <c r="P281" s="534"/>
      <c r="Q281" s="3954" t="str">
        <f>IF(AND(O281="Yes",O284="Yes"),"Only 1 or 4 can be 'Yes'!","")</f>
        <v/>
      </c>
      <c r="R281" s="3954"/>
    </row>
    <row r="282" spans="1:18" ht="11.7" customHeight="1">
      <c r="B282" s="888" t="s">
        <v>1988</v>
      </c>
      <c r="C282" s="438" t="s">
        <v>2739</v>
      </c>
      <c r="G282" s="100" t="s">
        <v>2389</v>
      </c>
      <c r="H282" s="2735">
        <v>0.1</v>
      </c>
      <c r="I282" s="438" t="s">
        <v>2740</v>
      </c>
      <c r="L282" s="134" t="s">
        <v>2738</v>
      </c>
      <c r="M282" s="889" t="str">
        <f>IF(O282&gt;H282,"CHECK ACTUAL PERCENT!!!","")</f>
        <v/>
      </c>
      <c r="N282" s="174" t="s">
        <v>1988</v>
      </c>
      <c r="O282" s="2736">
        <v>8.0500000000000002E-2</v>
      </c>
      <c r="P282" s="2102"/>
      <c r="Q282" s="3954"/>
      <c r="R282" s="3954"/>
    </row>
    <row r="283" spans="1:18" ht="11.7" customHeight="1">
      <c r="B283" s="888" t="s">
        <v>2534</v>
      </c>
      <c r="C283" s="415" t="s">
        <v>2390</v>
      </c>
      <c r="E283" s="116"/>
      <c r="G283" s="100" t="s">
        <v>2391</v>
      </c>
      <c r="J283" s="3973" t="s">
        <v>5056</v>
      </c>
      <c r="L283" s="433" t="s">
        <v>2732</v>
      </c>
      <c r="M283" s="32"/>
      <c r="N283" s="174" t="s">
        <v>2534</v>
      </c>
      <c r="O283" s="2737" t="s">
        <v>5214</v>
      </c>
      <c r="P283" s="2103" t="s">
        <v>201</v>
      </c>
      <c r="Q283" s="3954"/>
      <c r="R283" s="3954"/>
    </row>
    <row r="284" spans="1:18" s="392" customFormat="1" ht="11.7" customHeight="1">
      <c r="B284" s="586" t="s">
        <v>1224</v>
      </c>
      <c r="C284" s="3781" t="s">
        <v>4868</v>
      </c>
      <c r="D284" s="3781"/>
      <c r="E284" s="3781"/>
      <c r="F284" s="3781"/>
      <c r="G284" s="3781"/>
      <c r="H284" s="3781"/>
      <c r="I284" s="3781"/>
      <c r="J284" s="4036"/>
      <c r="K284" s="3973" t="s">
        <v>4036</v>
      </c>
      <c r="M284" s="1128">
        <v>2</v>
      </c>
      <c r="N284" s="174" t="s">
        <v>1224</v>
      </c>
      <c r="O284" s="2684" t="s">
        <v>5170</v>
      </c>
      <c r="P284" s="2303"/>
      <c r="Q284" s="3954"/>
      <c r="R284" s="3954"/>
    </row>
    <row r="285" spans="1:18" ht="11.7" customHeight="1">
      <c r="B285" s="374"/>
      <c r="C285" s="3781"/>
      <c r="D285" s="3781"/>
      <c r="E285" s="3781"/>
      <c r="F285" s="3781"/>
      <c r="G285" s="3781"/>
      <c r="H285" s="3781"/>
      <c r="I285" s="3781"/>
      <c r="J285" s="3974"/>
      <c r="K285" s="3974"/>
      <c r="L285" s="4055" t="s">
        <v>4092</v>
      </c>
      <c r="M285" s="4056"/>
      <c r="N285" s="116"/>
    </row>
    <row r="286" spans="1:18" ht="23.25" customHeight="1">
      <c r="B286" s="374"/>
      <c r="C286" s="3781"/>
      <c r="D286" s="3781"/>
      <c r="E286" s="3781"/>
      <c r="F286" s="3781"/>
      <c r="G286" s="3781"/>
      <c r="H286" s="3781"/>
      <c r="I286" s="3781"/>
      <c r="J286" s="2738"/>
      <c r="K286" s="2739"/>
      <c r="L286" s="1125">
        <f>O61</f>
        <v>10</v>
      </c>
      <c r="M286" s="1126">
        <f>P61</f>
        <v>0</v>
      </c>
      <c r="N286" s="26"/>
    </row>
    <row r="287" spans="1:18" ht="2.25" customHeight="1">
      <c r="A287" s="515"/>
      <c r="B287" s="888"/>
      <c r="C287" s="415"/>
      <c r="E287" s="116"/>
      <c r="M287" s="1127"/>
      <c r="N287" s="1120"/>
      <c r="O287" s="887"/>
      <c r="P287" s="887"/>
    </row>
    <row r="288" spans="1:18" ht="11.7" customHeight="1">
      <c r="A288" s="515" t="s">
        <v>749</v>
      </c>
      <c r="B288" s="888" t="s">
        <v>4854</v>
      </c>
      <c r="C288" s="415"/>
      <c r="E288" s="116"/>
      <c r="G288" s="431" t="s">
        <v>4855</v>
      </c>
      <c r="M288" s="1127">
        <v>2</v>
      </c>
      <c r="N288" s="1129"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7" customHeight="1">
      <c r="A289" s="515"/>
      <c r="B289" s="888" t="s">
        <v>1986</v>
      </c>
      <c r="C289" s="134" t="s">
        <v>5051</v>
      </c>
      <c r="D289" s="134"/>
      <c r="G289" s="134" t="s">
        <v>4856</v>
      </c>
      <c r="H289" s="972"/>
      <c r="I289" s="972"/>
      <c r="J289" s="32"/>
      <c r="K289" s="32"/>
      <c r="L289" s="32"/>
      <c r="M289" s="32"/>
      <c r="N289" s="174" t="s">
        <v>1986</v>
      </c>
      <c r="O289" s="2740">
        <v>83</v>
      </c>
      <c r="P289" s="2104"/>
    </row>
    <row r="290" spans="1:21" ht="11.7" customHeight="1">
      <c r="A290" s="515"/>
      <c r="B290" s="888" t="s">
        <v>1988</v>
      </c>
      <c r="C290" s="134" t="s">
        <v>5052</v>
      </c>
      <c r="D290" s="134"/>
      <c r="G290" s="134" t="s">
        <v>4857</v>
      </c>
      <c r="H290" s="972"/>
      <c r="I290" s="972"/>
      <c r="J290" s="32"/>
      <c r="K290" s="32"/>
      <c r="L290" s="32"/>
      <c r="M290" s="32"/>
      <c r="N290" s="174" t="s">
        <v>1988</v>
      </c>
      <c r="O290" s="2741">
        <v>80</v>
      </c>
      <c r="P290" s="2105"/>
      <c r="R290" s="158" t="s">
        <v>5062</v>
      </c>
    </row>
    <row r="291" spans="1:21" ht="11.7" customHeight="1">
      <c r="A291" s="515"/>
      <c r="B291" s="888" t="s">
        <v>2534</v>
      </c>
      <c r="C291" s="134" t="s">
        <v>5053</v>
      </c>
      <c r="D291" s="134"/>
      <c r="G291" s="134" t="s">
        <v>4858</v>
      </c>
      <c r="H291" s="972"/>
      <c r="I291" s="972"/>
      <c r="J291" s="32"/>
      <c r="K291" s="32"/>
      <c r="L291" s="32"/>
      <c r="M291" s="32"/>
      <c r="N291" s="174" t="s">
        <v>2534</v>
      </c>
      <c r="O291" s="2742">
        <v>81</v>
      </c>
      <c r="P291" s="2106"/>
    </row>
    <row r="292" spans="1:21" ht="2.25" customHeight="1">
      <c r="A292" s="515"/>
      <c r="B292" s="888"/>
      <c r="C292" s="415"/>
      <c r="E292" s="116"/>
      <c r="M292" s="1127"/>
      <c r="N292" s="1120"/>
      <c r="O292" s="887"/>
      <c r="P292" s="887"/>
    </row>
    <row r="293" spans="1:21" ht="11.7" customHeight="1">
      <c r="A293" s="515" t="s">
        <v>2115</v>
      </c>
      <c r="B293" s="888" t="s">
        <v>3600</v>
      </c>
      <c r="C293" s="415"/>
      <c r="E293" s="116"/>
      <c r="G293" s="2302" t="s">
        <v>3604</v>
      </c>
      <c r="H293" s="2107">
        <f>IF('Part VI-Revenues &amp; Expenses'!$O$67=0,0,'Part VI-Revenues &amp; Expenses'!$O$64/'Part VI-Revenues &amp; Expenses'!$O$67)</f>
        <v>0</v>
      </c>
      <c r="J293" s="2094" t="s">
        <v>4860</v>
      </c>
      <c r="K293" s="3960" t="str">
        <f>'Part I-Project Information'!$K$94</f>
        <v>40% of Units at 60% of AMI</v>
      </c>
      <c r="L293" s="3961"/>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304"/>
      <c r="F295" s="2304"/>
      <c r="G295" s="2304"/>
      <c r="H295" s="2304"/>
      <c r="I295" s="2304"/>
      <c r="J295" s="2304"/>
      <c r="K295" s="2304"/>
      <c r="L295" s="2304"/>
      <c r="M295" s="2304"/>
      <c r="N295" s="74"/>
      <c r="O295" s="70"/>
      <c r="P295" s="2292"/>
      <c r="Q295" s="426"/>
    </row>
    <row r="296" spans="1:21" s="42" customFormat="1" ht="11.25" customHeight="1">
      <c r="A296" s="3962"/>
      <c r="B296" s="3963"/>
      <c r="C296" s="3963"/>
      <c r="D296" s="3963"/>
      <c r="E296" s="3963"/>
      <c r="F296" s="3963"/>
      <c r="G296" s="3963"/>
      <c r="H296" s="3963"/>
      <c r="I296" s="3963"/>
      <c r="J296" s="3963"/>
      <c r="K296" s="3963"/>
      <c r="L296" s="3963"/>
      <c r="M296" s="3963"/>
      <c r="N296" s="3963"/>
      <c r="O296" s="3963"/>
      <c r="P296" s="3964"/>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4039</v>
      </c>
      <c r="C298" s="92"/>
      <c r="D298" s="58"/>
      <c r="E298" s="58"/>
      <c r="H298" s="172"/>
      <c r="I298" s="432" t="s">
        <v>3795</v>
      </c>
      <c r="M298" s="2292">
        <v>10</v>
      </c>
      <c r="N298" s="6"/>
      <c r="O298" s="1090">
        <f>IF(OR(O299="Yes",O300="Yes"),$M$298,0)</f>
        <v>0</v>
      </c>
      <c r="P298" s="1090">
        <f>IF(OR(P299="Yes",P300="Yes"),$M$298,0)</f>
        <v>0</v>
      </c>
      <c r="Q298" s="109" t="s">
        <v>441</v>
      </c>
      <c r="R298" s="42"/>
    </row>
    <row r="299" spans="1:21" ht="11.25" customHeight="1">
      <c r="A299" s="2293" t="s">
        <v>1983</v>
      </c>
      <c r="B299" s="1130" t="s">
        <v>3786</v>
      </c>
      <c r="D299" s="614"/>
      <c r="E299" s="614"/>
      <c r="F299" s="614"/>
      <c r="G299" s="614"/>
      <c r="H299" s="614"/>
      <c r="I299" s="614"/>
      <c r="J299" s="614"/>
      <c r="K299" s="614"/>
      <c r="L299" s="1032"/>
      <c r="M299" s="3949" t="str">
        <f>IF(OR(SUM(T299:T300)&gt;1,SUM(U299:U300)&gt;1),"Only one category can be met by other means!","")</f>
        <v/>
      </c>
      <c r="N299" s="463" t="s">
        <v>1983</v>
      </c>
      <c r="O299" s="2671"/>
      <c r="P299" s="534"/>
      <c r="U299" s="1218">
        <f>IF(L299="Yes",1,0)</f>
        <v>0</v>
      </c>
    </row>
    <row r="300" spans="1:21" ht="11.25" customHeight="1">
      <c r="A300" s="2293" t="s">
        <v>1985</v>
      </c>
      <c r="B300" s="1130" t="s">
        <v>3787</v>
      </c>
      <c r="D300" s="614"/>
      <c r="L300" s="1032"/>
      <c r="M300" s="3949"/>
      <c r="N300" s="463" t="s">
        <v>1985</v>
      </c>
      <c r="O300" s="2673"/>
      <c r="P300" s="536"/>
      <c r="U300" s="1218">
        <f>IF(L300="Yes",1,0)</f>
        <v>0</v>
      </c>
    </row>
    <row r="301" spans="1:21" s="42" customFormat="1" ht="10.5" customHeight="1" thickBot="1">
      <c r="A301" s="41"/>
      <c r="B301" s="1206" t="s">
        <v>3750</v>
      </c>
      <c r="C301" s="41"/>
      <c r="D301" s="47"/>
      <c r="E301" s="47"/>
      <c r="F301" s="47"/>
      <c r="G301" s="47"/>
      <c r="H301" s="35"/>
      <c r="I301" s="35"/>
      <c r="J301" s="35"/>
      <c r="K301" s="35"/>
      <c r="M301" s="45"/>
      <c r="N301" s="61"/>
      <c r="O301" s="2"/>
      <c r="P301" s="2295"/>
    </row>
    <row r="302" spans="1:21" s="42" customFormat="1" ht="21.75" customHeight="1" thickTop="1" thickBot="1">
      <c r="A302" s="3756" t="s">
        <v>970</v>
      </c>
      <c r="B302" s="3757"/>
      <c r="C302" s="3757"/>
      <c r="D302" s="3757"/>
      <c r="E302" s="3757"/>
      <c r="F302" s="3757"/>
      <c r="G302" s="3757"/>
      <c r="H302" s="3757"/>
      <c r="I302" s="3757"/>
      <c r="J302" s="3757"/>
      <c r="K302" s="3757"/>
      <c r="L302" s="3757"/>
      <c r="M302" s="3757"/>
      <c r="N302" s="3757"/>
      <c r="O302" s="3757"/>
      <c r="P302" s="3758"/>
      <c r="Q302" s="1074" t="s">
        <v>1254</v>
      </c>
    </row>
    <row r="303" spans="1:21" s="42" customFormat="1" ht="10.5" customHeight="1" thickTop="1">
      <c r="A303" s="41"/>
      <c r="B303" s="85" t="s">
        <v>1866</v>
      </c>
      <c r="C303" s="41"/>
      <c r="D303" s="85"/>
      <c r="E303" s="2304"/>
      <c r="F303" s="2304"/>
      <c r="G303" s="2304"/>
      <c r="H303" s="2304"/>
      <c r="I303" s="2304"/>
      <c r="J303" s="2304"/>
      <c r="K303" s="2304"/>
      <c r="L303" s="2304"/>
      <c r="M303" s="2304"/>
      <c r="N303" s="74"/>
      <c r="O303" s="70"/>
      <c r="P303" s="2292"/>
      <c r="Q303" s="426"/>
    </row>
    <row r="304" spans="1:21" s="42" customFormat="1" ht="11.25" customHeight="1">
      <c r="A304" s="3962"/>
      <c r="B304" s="3963"/>
      <c r="C304" s="3963"/>
      <c r="D304" s="3963"/>
      <c r="E304" s="3963"/>
      <c r="F304" s="3963"/>
      <c r="G304" s="3963"/>
      <c r="H304" s="3963"/>
      <c r="I304" s="3963"/>
      <c r="J304" s="3963"/>
      <c r="K304" s="3963"/>
      <c r="L304" s="3963"/>
      <c r="M304" s="3963"/>
      <c r="N304" s="3963"/>
      <c r="O304" s="3963"/>
      <c r="P304" s="3964"/>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2459</v>
      </c>
      <c r="D306" s="40"/>
      <c r="E306" s="40"/>
      <c r="F306" s="40"/>
      <c r="H306" s="60" t="s">
        <v>4864</v>
      </c>
      <c r="J306" s="86" t="s">
        <v>2794</v>
      </c>
      <c r="K306" s="47"/>
      <c r="L306" s="613" t="str">
        <f>'Part I-Project Information'!$H$105</f>
        <v>Rural</v>
      </c>
      <c r="M306" s="2292">
        <v>4</v>
      </c>
      <c r="N306" s="5"/>
      <c r="O306" s="1136">
        <f>IF(AND($L$306="Flexible",O307=$M307),$M307,IF(AND($L$306="Flexible",O316&gt;0),O316,IF(AND($L$306="Rural",O320&gt;0),O320,0)))</f>
        <v>2</v>
      </c>
      <c r="P306" s="1136">
        <f>IF(AND($L$306="Flexible",P307=$M307),$M307,IF(AND($L$306="Flexible",P316&gt;0),P316,IF(AND($L$306="Rural",P320&gt;0),P320,0)))</f>
        <v>0</v>
      </c>
      <c r="Q306" s="109" t="s">
        <v>441</v>
      </c>
    </row>
    <row r="307" spans="1:27" ht="11.25" customHeight="1">
      <c r="A307" s="2293" t="s">
        <v>1983</v>
      </c>
      <c r="B307" s="177" t="s">
        <v>4040</v>
      </c>
      <c r="D307" s="32"/>
      <c r="E307" s="32"/>
      <c r="F307" s="32"/>
      <c r="H307" s="86" t="s">
        <v>3681</v>
      </c>
      <c r="I307" s="431"/>
      <c r="J307" s="3969" t="str">
        <f>'Part I-Project Information'!$O$34</f>
        <v>No</v>
      </c>
      <c r="K307" s="3969"/>
      <c r="L307" s="929">
        <f>'Part I-Project Information'!$O$35</f>
        <v>0</v>
      </c>
      <c r="M307" s="72">
        <v>3</v>
      </c>
      <c r="N307" s="463" t="s">
        <v>1983</v>
      </c>
      <c r="O307" s="2711"/>
      <c r="P307" s="860"/>
      <c r="Q307" s="1020" t="str">
        <f>IF(OR($O307=$M307,$O307=0,$O307=""),"","*CHECK!*")</f>
        <v/>
      </c>
      <c r="R307" s="1088" t="s">
        <v>2706</v>
      </c>
    </row>
    <row r="308" spans="1:27" s="100" customFormat="1" ht="22.95" customHeight="1">
      <c r="B308" s="586" t="s">
        <v>1986</v>
      </c>
      <c r="C308" s="3809" t="s">
        <v>4869</v>
      </c>
      <c r="D308" s="3809"/>
      <c r="E308" s="3809"/>
      <c r="F308" s="3809"/>
      <c r="G308" s="3809"/>
      <c r="H308" s="3809"/>
      <c r="I308" s="3809"/>
      <c r="J308" s="3809"/>
      <c r="K308" s="3809"/>
      <c r="L308" s="3809"/>
      <c r="M308" s="1025"/>
      <c r="N308" s="390" t="s">
        <v>1986</v>
      </c>
      <c r="O308" s="2743"/>
      <c r="P308" s="1131"/>
      <c r="Q308" s="3955" t="s">
        <v>4189</v>
      </c>
      <c r="R308" s="3781"/>
      <c r="S308" s="3781"/>
      <c r="T308" s="1025"/>
      <c r="U308" s="1025"/>
      <c r="V308" s="1025"/>
      <c r="W308" s="1025"/>
      <c r="X308" s="1025"/>
      <c r="Y308" s="1025"/>
      <c r="Z308" s="1025"/>
      <c r="AA308" s="1025"/>
    </row>
    <row r="309" spans="1:27" s="117" customFormat="1" ht="11.25" customHeight="1">
      <c r="B309" s="888"/>
      <c r="C309" s="134" t="s">
        <v>3801</v>
      </c>
      <c r="I309" s="387" t="s">
        <v>4865</v>
      </c>
      <c r="J309" s="2744"/>
      <c r="K309" s="433" t="s">
        <v>2301</v>
      </c>
      <c r="L309" s="3946"/>
      <c r="M309" s="3947"/>
      <c r="N309" s="3947"/>
      <c r="O309" s="3947"/>
      <c r="P309" s="3948"/>
      <c r="Q309" s="3955"/>
      <c r="R309" s="3781"/>
      <c r="S309" s="3781"/>
    </row>
    <row r="310" spans="1:27" s="117" customFormat="1" ht="11.25" customHeight="1">
      <c r="B310" s="888"/>
      <c r="C310" s="134" t="s">
        <v>3856</v>
      </c>
      <c r="I310" s="387" t="s">
        <v>4865</v>
      </c>
      <c r="J310" s="2745"/>
      <c r="K310" s="433" t="s">
        <v>2301</v>
      </c>
      <c r="L310" s="3951"/>
      <c r="M310" s="3952"/>
      <c r="N310" s="3952"/>
      <c r="O310" s="3952"/>
      <c r="P310" s="3953"/>
      <c r="Q310" s="3955"/>
      <c r="R310" s="3781"/>
      <c r="S310" s="3781"/>
    </row>
    <row r="311" spans="1:27" s="117" customFormat="1" ht="11.25" customHeight="1">
      <c r="B311" s="888" t="s">
        <v>1988</v>
      </c>
      <c r="C311" s="117" t="s">
        <v>963</v>
      </c>
      <c r="M311" s="6"/>
      <c r="N311" s="174" t="s">
        <v>1988</v>
      </c>
      <c r="O311" s="2680"/>
      <c r="P311" s="940"/>
      <c r="Q311" s="3955"/>
      <c r="R311" s="3781"/>
      <c r="S311" s="3781"/>
    </row>
    <row r="312" spans="1:27" s="117" customFormat="1" ht="11.25" customHeight="1">
      <c r="B312" s="888" t="s">
        <v>2534</v>
      </c>
      <c r="C312" s="117" t="s">
        <v>964</v>
      </c>
      <c r="M312" s="6"/>
      <c r="N312" s="174" t="s">
        <v>2534</v>
      </c>
      <c r="O312" s="2672"/>
      <c r="P312" s="535"/>
      <c r="Q312" s="3955"/>
      <c r="R312" s="3781"/>
      <c r="S312" s="3781"/>
    </row>
    <row r="313" spans="1:27" s="117" customFormat="1" ht="11.25" customHeight="1">
      <c r="B313" s="888" t="s">
        <v>1224</v>
      </c>
      <c r="C313" s="134" t="s">
        <v>4870</v>
      </c>
      <c r="M313" s="6"/>
      <c r="N313" s="174" t="s">
        <v>1224</v>
      </c>
      <c r="O313" s="2672"/>
      <c r="P313" s="535"/>
      <c r="Q313" s="3955"/>
      <c r="R313" s="3781"/>
      <c r="S313" s="3781"/>
    </row>
    <row r="314" spans="1:27" s="117" customFormat="1" ht="11.25" customHeight="1">
      <c r="A314" s="508"/>
      <c r="B314" s="888" t="s">
        <v>1225</v>
      </c>
      <c r="C314" s="117" t="s">
        <v>965</v>
      </c>
      <c r="M314" s="6"/>
      <c r="N314" s="174" t="s">
        <v>1225</v>
      </c>
      <c r="O314" s="2673"/>
      <c r="P314" s="536"/>
      <c r="Q314" s="3955"/>
      <c r="R314" s="3781"/>
      <c r="S314" s="3781"/>
    </row>
    <row r="315" spans="1:27" s="32" customFormat="1" ht="11.25" customHeight="1">
      <c r="A315" s="2293" t="s">
        <v>1985</v>
      </c>
      <c r="B315" s="177" t="s">
        <v>4041</v>
      </c>
      <c r="D315" s="585"/>
      <c r="H315" s="60" t="s">
        <v>4866</v>
      </c>
    </row>
    <row r="316" spans="1:27" s="32" customFormat="1" ht="11.25" customHeight="1">
      <c r="A316" s="2293"/>
      <c r="B316" s="2108" t="s">
        <v>4871</v>
      </c>
      <c r="C316" s="2108"/>
      <c r="D316" s="2108"/>
      <c r="E316" s="2108"/>
      <c r="F316" s="2108"/>
      <c r="G316" s="2108"/>
      <c r="H316" s="2108"/>
      <c r="I316" s="2108"/>
      <c r="J316" s="2108"/>
      <c r="K316" s="2108"/>
      <c r="L316" s="2108"/>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4043</v>
      </c>
      <c r="L317" s="376" t="str">
        <f>IF(OR($O317=$M317,$O317=0,$O317=""),"","* * Check Score! * *")</f>
        <v/>
      </c>
      <c r="M317" s="72">
        <v>3</v>
      </c>
      <c r="N317" s="435" t="s">
        <v>1986</v>
      </c>
      <c r="O317" s="2746"/>
      <c r="P317" s="528"/>
      <c r="Q317" s="1020" t="str">
        <f>IF(OR($O317=$M317,$O317=0,$O317=""),"","*CHECK!*")</f>
        <v/>
      </c>
      <c r="R317" s="1088" t="s">
        <v>2706</v>
      </c>
    </row>
    <row r="318" spans="1:27" ht="11.25" customHeight="1">
      <c r="A318" s="584"/>
      <c r="B318" s="586" t="s">
        <v>1988</v>
      </c>
      <c r="C318" s="439" t="s">
        <v>3606</v>
      </c>
      <c r="D318" s="32"/>
      <c r="E318" s="32"/>
      <c r="F318" s="32"/>
      <c r="G318" s="39"/>
      <c r="H318" s="60"/>
      <c r="I318" s="39"/>
      <c r="L318" s="376" t="str">
        <f>IF(OR($O318=$M318,$O318=0,$O318=""),"","* * Check Score! * *")</f>
        <v/>
      </c>
      <c r="M318" s="80">
        <v>2</v>
      </c>
      <c r="N318" s="892" t="s">
        <v>1988</v>
      </c>
      <c r="O318" s="2707"/>
      <c r="P318" s="530"/>
      <c r="Q318" s="1020" t="str">
        <f>IF(OR($O318=$M318,$O318=0,$O318=""),"","*CHECK!*")</f>
        <v/>
      </c>
      <c r="R318" s="1088" t="s">
        <v>2706</v>
      </c>
    </row>
    <row r="319" spans="1:27" s="32" customFormat="1" ht="11.25" customHeight="1">
      <c r="A319" s="2293" t="s">
        <v>749</v>
      </c>
      <c r="B319" s="177" t="s">
        <v>4042</v>
      </c>
      <c r="D319" s="585"/>
      <c r="H319" s="60" t="s">
        <v>4867</v>
      </c>
    </row>
    <row r="320" spans="1:27" s="32" customFormat="1" ht="11.25" customHeight="1">
      <c r="A320" s="2293"/>
      <c r="B320" s="891" t="s">
        <v>3608</v>
      </c>
      <c r="D320" s="585"/>
      <c r="H320" s="60"/>
      <c r="M320" s="581">
        <v>4</v>
      </c>
      <c r="N320" s="463" t="s">
        <v>749</v>
      </c>
      <c r="O320" s="894">
        <f>IF(OR(AND(O321&gt;0,O322&gt;0,O323&gt;0),AND(O321&gt;0,O322&gt;0),AND(O321&gt;0,O323&gt;0),AND(O322&gt;0,O323&gt;0)),"choose",IF($L$306="Rural", MIN($M$320, SUM(O321:O323)), 0))</f>
        <v>2</v>
      </c>
      <c r="P320" s="894">
        <f>IF($L$306="Rural", MIN($M$320, SUM(P321:P323)), 0)</f>
        <v>0</v>
      </c>
    </row>
    <row r="321" spans="1:21" s="32" customFormat="1" ht="11.25" customHeight="1">
      <c r="B321" s="888" t="s">
        <v>1986</v>
      </c>
      <c r="C321" s="431" t="s">
        <v>3607</v>
      </c>
      <c r="K321" s="3950" t="str">
        <f>IF(OR(AND(O321&gt;0,O323&gt;0), AND(O322&gt;0,O323&gt;0), AND(O321&gt;0,O322&gt;0)),"Choose option 1 or 2 or 3!!!","")</f>
        <v/>
      </c>
      <c r="L321" s="3950"/>
      <c r="M321" s="72">
        <v>4</v>
      </c>
      <c r="N321" s="435" t="s">
        <v>1986</v>
      </c>
      <c r="O321" s="2746"/>
      <c r="P321" s="528"/>
      <c r="Q321" s="1020" t="str">
        <f>IF(OR($O321=$M321,$O321=0,$O321=""),"","*CHECK!*")</f>
        <v/>
      </c>
      <c r="R321" s="1088" t="s">
        <v>2706</v>
      </c>
    </row>
    <row r="322" spans="1:21" ht="11.25" customHeight="1">
      <c r="A322" s="584"/>
      <c r="B322" s="586" t="s">
        <v>1988</v>
      </c>
      <c r="C322" s="583" t="s">
        <v>4044</v>
      </c>
      <c r="D322" s="32"/>
      <c r="E322" s="32"/>
      <c r="F322" s="32"/>
      <c r="G322" s="39"/>
      <c r="H322" s="893"/>
      <c r="I322" s="39"/>
      <c r="K322" s="3950"/>
      <c r="L322" s="3950"/>
      <c r="M322" s="80">
        <v>3</v>
      </c>
      <c r="N322" s="892" t="s">
        <v>1988</v>
      </c>
      <c r="O322" s="2706"/>
      <c r="P322" s="529"/>
      <c r="Q322" s="1020" t="str">
        <f>IF(OR($O322=$M322,$O322=0,$O322=""),"","*CHECK!*")</f>
        <v/>
      </c>
      <c r="R322" s="1088" t="s">
        <v>2706</v>
      </c>
    </row>
    <row r="323" spans="1:21" ht="11.25" customHeight="1">
      <c r="A323" s="584"/>
      <c r="B323" s="586" t="s">
        <v>2534</v>
      </c>
      <c r="C323" s="439" t="s">
        <v>3609</v>
      </c>
      <c r="D323" s="32"/>
      <c r="E323" s="32"/>
      <c r="F323" s="32"/>
      <c r="G323" s="39"/>
      <c r="H323" s="60"/>
      <c r="I323" s="39"/>
      <c r="K323" s="3950"/>
      <c r="L323" s="3950"/>
      <c r="M323" s="80">
        <v>2</v>
      </c>
      <c r="N323" s="892" t="s">
        <v>2534</v>
      </c>
      <c r="O323" s="2707">
        <v>2</v>
      </c>
      <c r="P323" s="530"/>
      <c r="Q323" s="1020" t="str">
        <f>IF(OR($O323=$M323,$O323=0,$O323=""),"","*CHECK!*")</f>
        <v/>
      </c>
      <c r="R323" s="1088" t="s">
        <v>2706</v>
      </c>
    </row>
    <row r="324" spans="1:21" s="42" customFormat="1" ht="10.5" customHeight="1" thickBot="1">
      <c r="A324" s="41"/>
      <c r="B324" s="1206" t="s">
        <v>3750</v>
      </c>
      <c r="C324" s="41"/>
      <c r="D324" s="47"/>
      <c r="E324" s="47"/>
      <c r="F324" s="47"/>
      <c r="G324" s="47"/>
      <c r="H324" s="35"/>
      <c r="I324" s="35"/>
      <c r="J324" s="35"/>
      <c r="K324" s="35"/>
      <c r="M324" s="45"/>
      <c r="N324" s="61"/>
      <c r="O324" s="2"/>
      <c r="P324" s="2295"/>
    </row>
    <row r="325" spans="1:21" s="42" customFormat="1" ht="21.75" customHeight="1" thickTop="1" thickBot="1">
      <c r="A325" s="3756" t="s">
        <v>5215</v>
      </c>
      <c r="B325" s="3757"/>
      <c r="C325" s="3757"/>
      <c r="D325" s="3757"/>
      <c r="E325" s="3757"/>
      <c r="F325" s="3757"/>
      <c r="G325" s="3757"/>
      <c r="H325" s="3757"/>
      <c r="I325" s="3757"/>
      <c r="J325" s="3757"/>
      <c r="K325" s="3757"/>
      <c r="L325" s="3757"/>
      <c r="M325" s="3757"/>
      <c r="N325" s="3757"/>
      <c r="O325" s="3757"/>
      <c r="P325" s="3758"/>
      <c r="Q325" s="1074" t="s">
        <v>1254</v>
      </c>
    </row>
    <row r="326" spans="1:21" s="42" customFormat="1" ht="10.5" customHeight="1" thickTop="1">
      <c r="B326" s="85" t="s">
        <v>1866</v>
      </c>
      <c r="C326" s="98"/>
      <c r="D326" s="85"/>
      <c r="E326" s="99"/>
      <c r="F326" s="2304"/>
      <c r="G326" s="2304"/>
      <c r="H326" s="2304"/>
      <c r="I326" s="2304"/>
      <c r="J326" s="2304"/>
      <c r="K326" s="2304"/>
      <c r="L326" s="2304"/>
      <c r="M326" s="2304"/>
      <c r="N326" s="74"/>
      <c r="O326" s="70"/>
      <c r="P326" s="2292"/>
      <c r="Q326" s="426"/>
    </row>
    <row r="327" spans="1:21" s="42" customFormat="1" ht="11.25" customHeight="1">
      <c r="A327" s="3489"/>
      <c r="B327" s="3490"/>
      <c r="C327" s="3490"/>
      <c r="D327" s="3490"/>
      <c r="E327" s="3490"/>
      <c r="F327" s="3490"/>
      <c r="G327" s="3490"/>
      <c r="H327" s="3490"/>
      <c r="I327" s="3490"/>
      <c r="J327" s="3490"/>
      <c r="K327" s="3490"/>
      <c r="L327" s="3490"/>
      <c r="M327" s="3490"/>
      <c r="N327" s="3490"/>
      <c r="O327" s="3490"/>
      <c r="P327" s="3491"/>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4872</v>
      </c>
      <c r="D331" s="60"/>
      <c r="E331" s="60"/>
      <c r="F331" s="43"/>
      <c r="G331" s="26"/>
      <c r="L331" s="376"/>
      <c r="M331" s="6">
        <v>3</v>
      </c>
      <c r="N331" s="435" t="s">
        <v>1986</v>
      </c>
      <c r="O331" s="2671" t="s">
        <v>2990</v>
      </c>
      <c r="P331" s="534"/>
      <c r="Q331" s="1020"/>
      <c r="R331" s="1088"/>
      <c r="T331" s="1070"/>
      <c r="U331" s="1070"/>
    </row>
    <row r="332" spans="1:21" s="102" customFormat="1" ht="11.25" customHeight="1">
      <c r="A332" s="138"/>
      <c r="B332" s="586" t="s">
        <v>1988</v>
      </c>
      <c r="C332" s="39" t="s">
        <v>4873</v>
      </c>
      <c r="D332" s="60"/>
      <c r="E332" s="60"/>
      <c r="F332" s="43"/>
      <c r="G332" s="26"/>
      <c r="L332" s="376"/>
      <c r="M332" s="6">
        <v>2</v>
      </c>
      <c r="N332" s="892" t="s">
        <v>1988</v>
      </c>
      <c r="O332" s="2672"/>
      <c r="P332" s="535"/>
      <c r="Q332" s="1020"/>
      <c r="R332" s="1088"/>
      <c r="T332" s="1070"/>
      <c r="U332" s="1070"/>
    </row>
    <row r="333" spans="1:21" s="102" customFormat="1" ht="10.5" customHeight="1">
      <c r="A333" s="138"/>
      <c r="B333" s="586" t="s">
        <v>2534</v>
      </c>
      <c r="C333" s="39" t="s">
        <v>4874</v>
      </c>
      <c r="D333" s="60"/>
      <c r="E333" s="60"/>
      <c r="F333" s="43"/>
      <c r="G333" s="26"/>
      <c r="K333" s="463"/>
      <c r="M333" s="6">
        <v>1</v>
      </c>
      <c r="N333" s="892" t="s">
        <v>2534</v>
      </c>
      <c r="O333" s="2673"/>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685" t="s">
        <v>4876</v>
      </c>
      <c r="C335" s="3685"/>
      <c r="D335" s="3685"/>
      <c r="E335" s="3685"/>
      <c r="F335" s="3685"/>
      <c r="G335" s="3685"/>
      <c r="H335" s="3685"/>
      <c r="I335" s="3685"/>
      <c r="J335" s="3685"/>
      <c r="K335" s="3685"/>
      <c r="L335" s="3685"/>
      <c r="M335" s="6"/>
      <c r="N335" s="463"/>
      <c r="O335" s="2747"/>
      <c r="P335" s="1212"/>
      <c r="Q335" s="389"/>
      <c r="R335" s="376"/>
      <c r="T335" s="1070"/>
      <c r="U335" s="1070"/>
    </row>
    <row r="336" spans="1:21" s="42" customFormat="1" ht="11.25" customHeight="1">
      <c r="A336" s="138" t="s">
        <v>749</v>
      </c>
      <c r="B336" s="165" t="s">
        <v>4875</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537" t="s">
        <v>5027</v>
      </c>
      <c r="C337" s="3537"/>
      <c r="D337" s="3537"/>
      <c r="E337" s="3537"/>
      <c r="F337" s="3537"/>
      <c r="G337" s="3537"/>
      <c r="H337" s="3537"/>
      <c r="I337" s="3537"/>
      <c r="J337" s="3537"/>
      <c r="K337" s="3537"/>
      <c r="L337" s="3537"/>
      <c r="M337" s="6"/>
      <c r="N337" s="463"/>
      <c r="O337" s="2684" t="s">
        <v>2990</v>
      </c>
      <c r="P337" s="2303"/>
      <c r="Q337" s="389"/>
      <c r="R337" s="376"/>
      <c r="T337" s="1070"/>
      <c r="U337" s="1070"/>
    </row>
    <row r="338" spans="1:21" s="42" customFormat="1" ht="22.5" customHeight="1">
      <c r="B338" s="3537" t="s">
        <v>5028</v>
      </c>
      <c r="C338" s="3537"/>
      <c r="D338" s="3537"/>
      <c r="E338" s="3537"/>
      <c r="F338" s="3537"/>
      <c r="G338" s="3537"/>
      <c r="H338" s="3537"/>
      <c r="I338" s="3537"/>
      <c r="J338" s="3537"/>
      <c r="K338" s="3537"/>
      <c r="L338" s="3537"/>
      <c r="M338" s="6"/>
      <c r="N338" s="6"/>
      <c r="O338" s="6"/>
      <c r="P338" s="6"/>
      <c r="Q338" s="389"/>
      <c r="R338" s="376"/>
      <c r="T338" s="1070"/>
      <c r="U338" s="1070"/>
    </row>
    <row r="339" spans="1:21" s="42" customFormat="1" ht="10.5" customHeight="1">
      <c r="A339" s="41"/>
      <c r="B339" s="85" t="s">
        <v>1866</v>
      </c>
      <c r="C339" s="98"/>
      <c r="D339" s="85"/>
      <c r="E339" s="99"/>
      <c r="F339" s="2304"/>
      <c r="G339" s="2304"/>
      <c r="H339" s="2304"/>
      <c r="I339" s="2304"/>
      <c r="J339" s="2304"/>
      <c r="K339" s="2304"/>
      <c r="L339" s="2304"/>
      <c r="M339" s="2304"/>
      <c r="N339" s="74"/>
      <c r="O339" s="70"/>
      <c r="P339" s="2292"/>
      <c r="Q339" s="426"/>
    </row>
    <row r="340" spans="1:21" s="42" customFormat="1" ht="11.25" customHeight="1">
      <c r="A340" s="3489"/>
      <c r="B340" s="3490"/>
      <c r="C340" s="3490"/>
      <c r="D340" s="3490"/>
      <c r="E340" s="3490"/>
      <c r="F340" s="3490"/>
      <c r="G340" s="3490"/>
      <c r="H340" s="3490"/>
      <c r="I340" s="3490"/>
      <c r="J340" s="3490"/>
      <c r="K340" s="3490"/>
      <c r="L340" s="3490"/>
      <c r="M340" s="3490"/>
      <c r="N340" s="3490"/>
      <c r="O340" s="3490"/>
      <c r="P340" s="3491"/>
      <c r="Q340" s="445"/>
    </row>
    <row r="341" spans="1:21" s="42" customFormat="1" ht="1.5" customHeight="1" thickBot="1">
      <c r="A341" s="41"/>
      <c r="B341" s="41"/>
      <c r="C341" s="2304"/>
      <c r="D341" s="2304"/>
      <c r="E341" s="2304"/>
      <c r="F341" s="2304"/>
      <c r="G341" s="2304"/>
      <c r="H341" s="2304"/>
      <c r="I341" s="2304"/>
      <c r="J341" s="2304"/>
      <c r="K341" s="2304"/>
      <c r="L341" s="2304"/>
      <c r="M341" s="2304"/>
      <c r="N341" s="74"/>
      <c r="O341" s="70"/>
      <c r="P341" s="887"/>
    </row>
    <row r="342" spans="1:21" s="42" customFormat="1" ht="12" customHeight="1" thickBot="1">
      <c r="A342" s="153" t="s">
        <v>1726</v>
      </c>
      <c r="B342" s="106" t="s">
        <v>4047</v>
      </c>
      <c r="C342" s="87"/>
      <c r="D342" s="57"/>
      <c r="E342" s="51"/>
      <c r="G342" s="54"/>
      <c r="M342" s="2292">
        <v>2</v>
      </c>
      <c r="N342" s="5"/>
      <c r="O342" s="5"/>
      <c r="P342" s="1136">
        <f>P343+P351</f>
        <v>0</v>
      </c>
      <c r="Q342" s="109" t="s">
        <v>441</v>
      </c>
    </row>
    <row r="343" spans="1:21" s="42" customFormat="1" ht="12" customHeight="1">
      <c r="A343" s="138" t="s">
        <v>1983</v>
      </c>
      <c r="B343" s="165" t="s">
        <v>4048</v>
      </c>
      <c r="C343" s="87"/>
      <c r="D343" s="57"/>
      <c r="E343" s="51"/>
      <c r="G343" s="487">
        <f>'Part VIII-Threshold Criteria'!I361</f>
        <v>0</v>
      </c>
      <c r="J343" s="39" t="s">
        <v>2686</v>
      </c>
      <c r="L343" s="35"/>
      <c r="N343" s="463" t="s">
        <v>1983</v>
      </c>
      <c r="O343" s="462" t="str">
        <f>'Part I-Project Information'!$H$100</f>
        <v>No</v>
      </c>
      <c r="P343" s="531"/>
      <c r="Q343" s="109"/>
      <c r="R343" s="1088" t="s">
        <v>2706</v>
      </c>
    </row>
    <row r="344" spans="1:21" s="102" customFormat="1" ht="10.5" customHeight="1">
      <c r="A344" s="138"/>
      <c r="B344" s="374" t="s">
        <v>1986</v>
      </c>
      <c r="C344" s="35" t="s">
        <v>4947</v>
      </c>
      <c r="D344" s="32"/>
      <c r="N344" s="435" t="s">
        <v>4949</v>
      </c>
      <c r="O344" s="2671"/>
      <c r="P344" s="534"/>
      <c r="R344" s="376"/>
    </row>
    <row r="345" spans="1:21" s="102" customFormat="1" ht="10.5" customHeight="1">
      <c r="A345" s="138"/>
      <c r="B345" s="374"/>
      <c r="C345" s="35" t="s">
        <v>4948</v>
      </c>
      <c r="D345" s="32"/>
      <c r="N345" s="435" t="s">
        <v>4950</v>
      </c>
      <c r="O345" s="2672"/>
      <c r="P345" s="535"/>
      <c r="R345" s="376"/>
    </row>
    <row r="346" spans="1:21" s="102" customFormat="1" ht="10.5" customHeight="1">
      <c r="A346" s="138"/>
      <c r="B346" s="374" t="s">
        <v>1988</v>
      </c>
      <c r="C346" s="35" t="s">
        <v>4065</v>
      </c>
      <c r="D346" s="32"/>
      <c r="N346" s="892" t="s">
        <v>1988</v>
      </c>
      <c r="O346" s="2672"/>
      <c r="P346" s="535"/>
      <c r="R346" s="376"/>
    </row>
    <row r="347" spans="1:21" s="102" customFormat="1" ht="10.5" customHeight="1">
      <c r="A347" s="138"/>
      <c r="B347" s="374" t="s">
        <v>2534</v>
      </c>
      <c r="C347" s="35" t="s">
        <v>4951</v>
      </c>
      <c r="D347" s="32"/>
      <c r="N347" s="892" t="s">
        <v>2534</v>
      </c>
      <c r="O347" s="2672"/>
      <c r="P347" s="535"/>
      <c r="R347" s="376"/>
    </row>
    <row r="348" spans="1:21" s="102" customFormat="1" ht="10.5" customHeight="1">
      <c r="B348" s="374" t="s">
        <v>1224</v>
      </c>
      <c r="C348" s="35" t="s">
        <v>4877</v>
      </c>
      <c r="D348" s="32"/>
      <c r="N348" s="892" t="s">
        <v>1224</v>
      </c>
      <c r="O348" s="2672"/>
      <c r="P348" s="535"/>
      <c r="R348" s="376"/>
    </row>
    <row r="349" spans="1:21" s="102" customFormat="1" ht="10.5" customHeight="1">
      <c r="A349" s="138"/>
      <c r="B349" s="374" t="s">
        <v>1225</v>
      </c>
      <c r="C349" s="35" t="s">
        <v>4878</v>
      </c>
      <c r="D349" s="32"/>
      <c r="N349" s="892" t="s">
        <v>1225</v>
      </c>
      <c r="O349" s="2672"/>
      <c r="P349" s="535"/>
      <c r="R349" s="376"/>
    </row>
    <row r="350" spans="1:21" s="102" customFormat="1" ht="10.5" customHeight="1">
      <c r="A350" s="138"/>
      <c r="B350" s="374" t="s">
        <v>1881</v>
      </c>
      <c r="C350" s="35" t="s">
        <v>4066</v>
      </c>
      <c r="D350" s="32"/>
      <c r="N350" s="892" t="s">
        <v>1881</v>
      </c>
      <c r="O350" s="2673"/>
      <c r="P350" s="536"/>
      <c r="R350" s="376"/>
    </row>
    <row r="351" spans="1:21" s="42" customFormat="1" ht="12" customHeight="1">
      <c r="A351" s="138" t="s">
        <v>1985</v>
      </c>
      <c r="B351" s="165" t="s">
        <v>4049</v>
      </c>
      <c r="C351" s="87"/>
      <c r="D351" s="57"/>
      <c r="E351" s="51"/>
      <c r="G351" s="487">
        <f>'Part I-Project Information'!D165</f>
        <v>0</v>
      </c>
      <c r="I351" s="487"/>
      <c r="L351" s="1174"/>
      <c r="M351" s="1174"/>
      <c r="N351" s="463" t="s">
        <v>1985</v>
      </c>
      <c r="P351" s="531"/>
      <c r="Q351" s="109"/>
      <c r="R351" s="1088" t="s">
        <v>2706</v>
      </c>
    </row>
    <row r="352" spans="1:21" s="102" customFormat="1" ht="10.5" customHeight="1">
      <c r="A352" s="153"/>
      <c r="B352" s="374" t="s">
        <v>1986</v>
      </c>
      <c r="C352" s="35" t="s">
        <v>4947</v>
      </c>
      <c r="D352" s="51"/>
      <c r="E352" s="51"/>
      <c r="M352" s="2292"/>
      <c r="N352" s="435" t="s">
        <v>4949</v>
      </c>
      <c r="O352" s="2671"/>
      <c r="P352" s="534"/>
      <c r="Q352" s="109"/>
    </row>
    <row r="353" spans="1:18" s="102" customFormat="1" ht="10.5" customHeight="1">
      <c r="A353" s="138"/>
      <c r="B353" s="374"/>
      <c r="C353" s="35" t="s">
        <v>4952</v>
      </c>
      <c r="D353" s="32"/>
      <c r="N353" s="435" t="s">
        <v>4950</v>
      </c>
      <c r="O353" s="2672"/>
      <c r="P353" s="535"/>
      <c r="R353" s="376"/>
    </row>
    <row r="354" spans="1:18" s="102" customFormat="1" ht="10.5" customHeight="1">
      <c r="A354" s="138"/>
      <c r="B354" s="374" t="s">
        <v>1988</v>
      </c>
      <c r="C354" s="35" t="s">
        <v>4078</v>
      </c>
      <c r="D354" s="32"/>
      <c r="N354" s="892" t="s">
        <v>1988</v>
      </c>
      <c r="O354" s="2672"/>
      <c r="P354" s="535"/>
      <c r="R354" s="376"/>
    </row>
    <row r="355" spans="1:18" s="102" customFormat="1" ht="10.5" customHeight="1">
      <c r="B355" s="374" t="s">
        <v>2534</v>
      </c>
      <c r="C355" s="35" t="s">
        <v>4066</v>
      </c>
      <c r="D355" s="32"/>
      <c r="N355" s="892" t="s">
        <v>2534</v>
      </c>
      <c r="O355" s="2673"/>
      <c r="P355" s="536"/>
      <c r="R355" s="376"/>
    </row>
    <row r="356" spans="1:18" s="42" customFormat="1" ht="10.5" customHeight="1">
      <c r="B356" s="85" t="s">
        <v>1866</v>
      </c>
      <c r="C356" s="98"/>
      <c r="D356" s="85"/>
      <c r="E356" s="99"/>
      <c r="F356" s="2304"/>
      <c r="G356" s="2304"/>
      <c r="H356" s="2304"/>
      <c r="I356" s="2304"/>
      <c r="J356" s="2304"/>
      <c r="K356" s="2304"/>
      <c r="L356" s="2304"/>
      <c r="M356" s="2304"/>
      <c r="N356" s="74"/>
      <c r="O356" s="70"/>
      <c r="P356" s="2292"/>
      <c r="Q356" s="426"/>
    </row>
    <row r="357" spans="1:18" s="42" customFormat="1" ht="11.25" customHeight="1">
      <c r="A357" s="3489"/>
      <c r="B357" s="3490"/>
      <c r="C357" s="3490"/>
      <c r="D357" s="3490"/>
      <c r="E357" s="3490"/>
      <c r="F357" s="3490"/>
      <c r="G357" s="3490"/>
      <c r="H357" s="3490"/>
      <c r="I357" s="3490"/>
      <c r="J357" s="3490"/>
      <c r="K357" s="3490"/>
      <c r="L357" s="3490"/>
      <c r="M357" s="3490"/>
      <c r="N357" s="3490"/>
      <c r="O357" s="3490"/>
      <c r="P357" s="3491"/>
      <c r="Q357" s="445"/>
    </row>
    <row r="358" spans="1:18" ht="2.25" customHeight="1" thickBot="1"/>
    <row r="359" spans="1:18" s="62" customFormat="1" ht="12.6" customHeight="1" thickBot="1">
      <c r="A359" s="153" t="s">
        <v>2782</v>
      </c>
      <c r="B359" s="105" t="s">
        <v>4050</v>
      </c>
      <c r="H359" s="463" t="s">
        <v>3576</v>
      </c>
      <c r="I359" s="2316" t="str">
        <f>'Part I-Project Information'!$H$105</f>
        <v>Rural</v>
      </c>
      <c r="J359" s="2069"/>
      <c r="L359" s="376" t="str">
        <f>IF(OR($O359=$M359,$O359=0,$O359=""),"","* * Check Score! * *")</f>
        <v/>
      </c>
      <c r="M359" s="2292">
        <v>1</v>
      </c>
      <c r="N359" s="395"/>
      <c r="O359" s="2748">
        <v>1</v>
      </c>
      <c r="P359" s="1139"/>
      <c r="Q359" s="109" t="s">
        <v>441</v>
      </c>
    </row>
    <row r="360" spans="1:18" s="62" customFormat="1" ht="12" customHeight="1">
      <c r="C360" s="898"/>
      <c r="D360" s="898"/>
      <c r="E360" s="898"/>
      <c r="F360" s="898"/>
      <c r="G360" s="898"/>
      <c r="H360" s="898"/>
      <c r="I360" s="3968" t="s">
        <v>4879</v>
      </c>
      <c r="J360" s="3968"/>
      <c r="K360" s="3968"/>
      <c r="L360" s="3968"/>
      <c r="M360" s="3968"/>
      <c r="N360" s="3968"/>
      <c r="O360" s="3968"/>
      <c r="P360" s="3968"/>
      <c r="R360" s="376"/>
    </row>
    <row r="361" spans="1:18" s="62" customFormat="1" ht="12" customHeight="1">
      <c r="A361" s="898"/>
      <c r="B361" s="3537" t="s">
        <v>4921</v>
      </c>
      <c r="C361" s="3537"/>
      <c r="D361" s="3537"/>
      <c r="E361" s="3537"/>
      <c r="F361" s="3537"/>
      <c r="G361" s="3537"/>
      <c r="H361" s="3696"/>
      <c r="I361" s="3966">
        <v>1</v>
      </c>
      <c r="J361" s="3966"/>
      <c r="K361" s="3966"/>
      <c r="L361" s="3966">
        <v>4</v>
      </c>
      <c r="M361" s="3966"/>
      <c r="N361" s="3966"/>
      <c r="O361" s="3966"/>
      <c r="P361" s="3966"/>
      <c r="R361" s="376"/>
    </row>
    <row r="362" spans="1:18" s="62" customFormat="1" ht="12" customHeight="1">
      <c r="A362" s="898"/>
      <c r="B362" s="3537"/>
      <c r="C362" s="3537"/>
      <c r="D362" s="3537"/>
      <c r="E362" s="3537"/>
      <c r="F362" s="3537"/>
      <c r="G362" s="3537"/>
      <c r="H362" s="3696"/>
      <c r="I362" s="3967">
        <v>2</v>
      </c>
      <c r="J362" s="3967"/>
      <c r="K362" s="3967"/>
      <c r="L362" s="3967">
        <v>5</v>
      </c>
      <c r="M362" s="3967"/>
      <c r="N362" s="3967"/>
      <c r="O362" s="3967"/>
      <c r="P362" s="3967"/>
      <c r="R362" s="376"/>
    </row>
    <row r="363" spans="1:18" s="62" customFormat="1" ht="12" customHeight="1">
      <c r="A363" s="2304"/>
      <c r="B363" s="3537"/>
      <c r="C363" s="3537"/>
      <c r="D363" s="3537"/>
      <c r="E363" s="3537"/>
      <c r="F363" s="3537"/>
      <c r="G363" s="3537"/>
      <c r="H363" s="3696"/>
      <c r="I363" s="4041">
        <v>3</v>
      </c>
      <c r="J363" s="4041"/>
      <c r="K363" s="4041"/>
      <c r="L363" s="4041">
        <v>6</v>
      </c>
      <c r="M363" s="4041"/>
      <c r="N363" s="4041"/>
      <c r="O363" s="4041"/>
      <c r="P363" s="4041"/>
      <c r="R363" s="376"/>
    </row>
    <row r="364" spans="1:18" s="102" customFormat="1" ht="10.5" customHeight="1" thickBot="1">
      <c r="A364" s="41"/>
      <c r="B364" s="1206" t="s">
        <v>3750</v>
      </c>
      <c r="C364" s="41"/>
      <c r="D364" s="47"/>
      <c r="E364" s="47"/>
      <c r="F364" s="47"/>
      <c r="G364" s="47"/>
      <c r="H364" s="35"/>
      <c r="I364" s="35"/>
      <c r="J364" s="35"/>
      <c r="K364" s="35"/>
      <c r="M364" s="45"/>
      <c r="N364" s="5"/>
      <c r="O364" s="2"/>
      <c r="P364" s="2292"/>
    </row>
    <row r="365" spans="1:18" s="42" customFormat="1" ht="21.75" customHeight="1" thickTop="1" thickBot="1">
      <c r="A365" s="3756" t="s">
        <v>5276</v>
      </c>
      <c r="B365" s="3757"/>
      <c r="C365" s="3757"/>
      <c r="D365" s="3757"/>
      <c r="E365" s="3757"/>
      <c r="F365" s="3757"/>
      <c r="G365" s="3757"/>
      <c r="H365" s="3757"/>
      <c r="I365" s="3757"/>
      <c r="J365" s="3757"/>
      <c r="K365" s="3757"/>
      <c r="L365" s="3757"/>
      <c r="M365" s="3757"/>
      <c r="N365" s="3757"/>
      <c r="O365" s="3757"/>
      <c r="P365" s="3758"/>
      <c r="Q365" s="1074" t="s">
        <v>1254</v>
      </c>
    </row>
    <row r="366" spans="1:18" s="102" customFormat="1" ht="10.5" customHeight="1" thickTop="1">
      <c r="A366" s="41"/>
      <c r="B366" s="97" t="s">
        <v>1866</v>
      </c>
      <c r="C366" s="41"/>
      <c r="D366" s="97"/>
      <c r="E366" s="2310"/>
      <c r="F366" s="2310"/>
      <c r="G366" s="2310"/>
      <c r="H366" s="2310"/>
      <c r="I366" s="2310"/>
      <c r="J366" s="2310"/>
      <c r="K366" s="2310"/>
      <c r="L366" s="2310"/>
      <c r="M366" s="2310"/>
      <c r="N366" s="93"/>
      <c r="O366" s="872"/>
      <c r="P366" s="2292"/>
      <c r="Q366" s="426"/>
    </row>
    <row r="367" spans="1:18" s="42" customFormat="1" ht="11.25" customHeight="1">
      <c r="A367" s="3489"/>
      <c r="B367" s="3490"/>
      <c r="C367" s="3490"/>
      <c r="D367" s="3490"/>
      <c r="E367" s="3490"/>
      <c r="F367" s="3490"/>
      <c r="G367" s="3490"/>
      <c r="H367" s="3490"/>
      <c r="I367" s="3490"/>
      <c r="J367" s="3490"/>
      <c r="K367" s="3490"/>
      <c r="L367" s="3490"/>
      <c r="M367" s="3490"/>
      <c r="N367" s="3490"/>
      <c r="O367" s="3490"/>
      <c r="P367" s="3491"/>
      <c r="Q367" s="445"/>
    </row>
    <row r="368" spans="1:18" s="42" customFormat="1" ht="2.25" customHeight="1" thickBot="1">
      <c r="A368" s="41"/>
      <c r="C368" s="2304"/>
      <c r="D368" s="2304"/>
      <c r="E368" s="2304"/>
      <c r="F368" s="2304"/>
      <c r="G368" s="2304"/>
      <c r="H368" s="2304"/>
      <c r="I368" s="2304"/>
      <c r="J368" s="2304"/>
      <c r="K368" s="2304"/>
      <c r="L368" s="2304"/>
      <c r="M368" s="2304"/>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1</v>
      </c>
      <c r="P369" s="1090">
        <f>IF(AND(NOT($I$370="&lt; Select applicable GICH &gt;"),OR(P371="Yes",P372="Yes"),P374="Yes",P375="Yes",P376="Yes"),$M$369,0)</f>
        <v>0</v>
      </c>
      <c r="Q369" s="109" t="s">
        <v>441</v>
      </c>
    </row>
    <row r="370" spans="1:18" s="42" customFormat="1" ht="11.25" customHeight="1">
      <c r="A370" s="138"/>
      <c r="B370" s="113" t="s">
        <v>3612</v>
      </c>
      <c r="D370" s="88"/>
      <c r="E370" s="88"/>
      <c r="G370" s="51"/>
      <c r="I370" s="3353" t="s">
        <v>1637</v>
      </c>
      <c r="J370" s="3354"/>
      <c r="K370" s="3354"/>
      <c r="L370" s="3355"/>
      <c r="M370" s="430"/>
      <c r="N370" s="395"/>
      <c r="Q370" s="1020"/>
      <c r="R370" s="1088" t="s">
        <v>2706</v>
      </c>
    </row>
    <row r="371" spans="1:18" s="42" customFormat="1" ht="11.25" customHeight="1">
      <c r="A371" s="138"/>
      <c r="B371" s="374" t="s">
        <v>1986</v>
      </c>
      <c r="C371" s="54" t="s">
        <v>4894</v>
      </c>
      <c r="D371" s="88"/>
      <c r="E371" s="54" t="s">
        <v>4895</v>
      </c>
      <c r="G371" s="51"/>
      <c r="I371" s="1577"/>
      <c r="J371" s="1042"/>
      <c r="K371" s="1042"/>
      <c r="L371" s="1042"/>
      <c r="M371" s="2300"/>
      <c r="N371" s="2120"/>
      <c r="O371" s="2671"/>
      <c r="P371" s="534"/>
      <c r="Q371" s="2121"/>
      <c r="R371" s="1088"/>
    </row>
    <row r="372" spans="1:18" s="42" customFormat="1" ht="11.25" customHeight="1">
      <c r="A372" s="138"/>
      <c r="B372" s="50"/>
      <c r="C372" s="54"/>
      <c r="D372" s="88"/>
      <c r="E372" s="1060" t="s">
        <v>4896</v>
      </c>
      <c r="G372" s="51"/>
      <c r="H372" s="1104"/>
      <c r="I372" s="54"/>
      <c r="J372" s="54"/>
      <c r="K372" s="54"/>
      <c r="L372" s="2120"/>
      <c r="M372" s="2711">
        <v>2019</v>
      </c>
      <c r="N372" s="2120"/>
      <c r="O372" s="2673" t="s">
        <v>2990</v>
      </c>
      <c r="P372" s="536"/>
      <c r="Q372" s="2121"/>
      <c r="R372" s="1088"/>
    </row>
    <row r="373" spans="1:18" s="42" customFormat="1" ht="11.25" customHeight="1">
      <c r="B373" s="374" t="s">
        <v>1988</v>
      </c>
      <c r="C373" s="39" t="s">
        <v>4897</v>
      </c>
      <c r="D373" s="102"/>
      <c r="E373" s="88"/>
      <c r="F373" s="51"/>
      <c r="G373" s="51"/>
      <c r="N373" s="463" t="s">
        <v>1983</v>
      </c>
      <c r="O373" s="1174" t="s">
        <v>2510</v>
      </c>
      <c r="P373" s="1174" t="s">
        <v>2510</v>
      </c>
    </row>
    <row r="374" spans="1:18" s="117" customFormat="1" ht="10.5" customHeight="1">
      <c r="B374" s="375" t="s">
        <v>2435</v>
      </c>
      <c r="C374" s="433" t="s">
        <v>4051</v>
      </c>
      <c r="H374" s="38"/>
      <c r="I374" s="38"/>
      <c r="J374" s="38"/>
      <c r="K374" s="38"/>
      <c r="N374" s="375" t="s">
        <v>2435</v>
      </c>
      <c r="O374" s="2671" t="s">
        <v>2990</v>
      </c>
      <c r="P374" s="534"/>
    </row>
    <row r="375" spans="1:18" s="117" customFormat="1" ht="10.5" customHeight="1">
      <c r="B375" s="388" t="s">
        <v>2436</v>
      </c>
      <c r="C375" s="433" t="s">
        <v>4052</v>
      </c>
      <c r="N375" s="388" t="s">
        <v>2436</v>
      </c>
      <c r="O375" s="2672" t="s">
        <v>2990</v>
      </c>
      <c r="P375" s="535"/>
    </row>
    <row r="376" spans="1:18" s="117" customFormat="1" ht="10.5" customHeight="1">
      <c r="B376" s="375" t="s">
        <v>2437</v>
      </c>
      <c r="C376" s="433" t="s">
        <v>4880</v>
      </c>
      <c r="N376" s="375" t="s">
        <v>2437</v>
      </c>
      <c r="O376" s="2673" t="s">
        <v>2990</v>
      </c>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3750</v>
      </c>
      <c r="C379" s="41"/>
      <c r="D379" s="47"/>
      <c r="E379" s="47"/>
      <c r="F379" s="47"/>
      <c r="G379" s="47"/>
      <c r="H379" s="35"/>
      <c r="I379" s="35"/>
      <c r="J379" s="35"/>
      <c r="K379" s="35"/>
      <c r="M379" s="45"/>
      <c r="N379" s="5"/>
      <c r="O379" s="2"/>
      <c r="P379" s="2292"/>
    </row>
    <row r="380" spans="1:18" s="42" customFormat="1" ht="27" customHeight="1" thickTop="1" thickBot="1">
      <c r="A380" s="3756" t="s">
        <v>5268</v>
      </c>
      <c r="B380" s="3757"/>
      <c r="C380" s="3757"/>
      <c r="D380" s="3757"/>
      <c r="E380" s="3757"/>
      <c r="F380" s="3757"/>
      <c r="G380" s="3757"/>
      <c r="H380" s="3757"/>
      <c r="I380" s="3757"/>
      <c r="J380" s="3757"/>
      <c r="K380" s="3757"/>
      <c r="L380" s="3757"/>
      <c r="M380" s="3757"/>
      <c r="N380" s="3757"/>
      <c r="O380" s="3757"/>
      <c r="P380" s="3758"/>
      <c r="Q380" s="1074" t="s">
        <v>1254</v>
      </c>
    </row>
    <row r="381" spans="1:18" s="102" customFormat="1" ht="10.5" customHeight="1" thickTop="1">
      <c r="A381" s="41"/>
      <c r="B381" s="97" t="s">
        <v>1866</v>
      </c>
      <c r="C381" s="41"/>
      <c r="D381" s="97"/>
      <c r="E381" s="2310"/>
      <c r="F381" s="2310"/>
      <c r="G381" s="2310"/>
      <c r="H381" s="2310"/>
      <c r="I381" s="2310"/>
      <c r="J381" s="2310"/>
      <c r="K381" s="2310"/>
      <c r="L381" s="2310"/>
      <c r="M381" s="2310"/>
      <c r="N381" s="93"/>
      <c r="O381" s="872"/>
      <c r="P381" s="2292"/>
      <c r="Q381" s="426"/>
    </row>
    <row r="382" spans="1:18" s="42" customFormat="1" ht="11.25" customHeight="1">
      <c r="A382" s="3489"/>
      <c r="B382" s="3490"/>
      <c r="C382" s="3490"/>
      <c r="D382" s="3490"/>
      <c r="E382" s="3490"/>
      <c r="F382" s="3490"/>
      <c r="G382" s="3490"/>
      <c r="H382" s="3490"/>
      <c r="I382" s="3490"/>
      <c r="J382" s="3490"/>
      <c r="K382" s="3490"/>
      <c r="L382" s="3490"/>
      <c r="M382" s="3490"/>
      <c r="N382" s="3490"/>
      <c r="O382" s="3490"/>
      <c r="P382" s="3491"/>
      <c r="Q382" s="445"/>
    </row>
    <row r="383" spans="1:18" ht="3" customHeight="1" thickBot="1"/>
    <row r="384" spans="1:18" s="42" customFormat="1" ht="12.75" customHeight="1" thickBot="1">
      <c r="A384" s="152" t="s">
        <v>4096</v>
      </c>
      <c r="B384" s="105" t="s">
        <v>4057</v>
      </c>
      <c r="D384" s="88"/>
      <c r="E384" s="88"/>
      <c r="F384" s="51"/>
      <c r="G384" s="51"/>
      <c r="H384" s="165" t="s">
        <v>2794</v>
      </c>
      <c r="J384" s="513" t="str">
        <f>'Part I-Project Information'!$H$105</f>
        <v>Rural</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4882</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39" t="str">
        <f>IF(OR(O386="No",O386="",O387="No",O387="",O388="No",O388="",O389="No",O389=""),"Unmet criterion results in no points!","")</f>
        <v>Unmet criterion results in no points!</v>
      </c>
      <c r="M386" s="3939"/>
      <c r="N386" s="375" t="s">
        <v>2435</v>
      </c>
      <c r="O386" s="2671"/>
      <c r="P386" s="534"/>
      <c r="R386" s="3956" t="str">
        <f>IF(OR(P386="No",P386="",P387="No",P387="",P388="No",P388="",P389="No",P389=""),"Unmet criterion results in no points!","")</f>
        <v>Unmet criterion results in no points!</v>
      </c>
      <c r="S386" s="3956" t="e">
        <f>IF(OR(V386="No",V386="",V387="No",V387="",V388="No",V388="",V389="No",V389="",#REF!="No",#REF!="",#REF!="No",#REF!=""),"Unmet criterion results in no points!","")</f>
        <v>#REF!</v>
      </c>
    </row>
    <row r="387" spans="1:19" s="100" customFormat="1" ht="12.75" customHeight="1">
      <c r="B387" s="375" t="s">
        <v>2436</v>
      </c>
      <c r="C387" s="134" t="s">
        <v>3804</v>
      </c>
      <c r="L387" s="3939"/>
      <c r="M387" s="3939"/>
      <c r="N387" s="375" t="s">
        <v>2436</v>
      </c>
      <c r="O387" s="2672"/>
      <c r="P387" s="535"/>
      <c r="R387" s="3956"/>
      <c r="S387" s="3956"/>
    </row>
    <row r="388" spans="1:19" s="100" customFormat="1" ht="12.75" customHeight="1">
      <c r="B388" s="375" t="s">
        <v>2437</v>
      </c>
      <c r="C388" s="134" t="s">
        <v>3803</v>
      </c>
      <c r="L388" s="3939"/>
      <c r="M388" s="3939"/>
      <c r="N388" s="375" t="s">
        <v>2437</v>
      </c>
      <c r="O388" s="2672"/>
      <c r="P388" s="535"/>
      <c r="R388" s="3956"/>
      <c r="S388" s="3956"/>
    </row>
    <row r="389" spans="1:19" s="100" customFormat="1" ht="33.75" customHeight="1">
      <c r="B389" s="388" t="s">
        <v>2438</v>
      </c>
      <c r="C389" s="3809" t="s">
        <v>4881</v>
      </c>
      <c r="D389" s="3809"/>
      <c r="E389" s="3809"/>
      <c r="F389" s="3809"/>
      <c r="G389" s="3809"/>
      <c r="H389" s="3809"/>
      <c r="I389" s="3809"/>
      <c r="J389" s="3809"/>
      <c r="K389" s="3809"/>
      <c r="L389" s="3809"/>
      <c r="M389" s="3809"/>
      <c r="N389" s="388" t="s">
        <v>2438</v>
      </c>
      <c r="O389" s="2684"/>
      <c r="P389" s="2303"/>
    </row>
    <row r="390" spans="1:19" ht="3" customHeight="1">
      <c r="C390" s="3809"/>
      <c r="D390" s="3809"/>
      <c r="E390" s="3809"/>
      <c r="F390" s="3809"/>
      <c r="G390" s="3809"/>
      <c r="H390" s="3809"/>
      <c r="I390" s="3809"/>
      <c r="J390" s="3809"/>
      <c r="K390" s="3809"/>
      <c r="L390" s="3809"/>
      <c r="M390" s="3809"/>
    </row>
    <row r="391" spans="1:19" ht="12.75" customHeight="1">
      <c r="A391" s="1039" t="s">
        <v>1983</v>
      </c>
      <c r="B391" s="177" t="s">
        <v>4059</v>
      </c>
      <c r="L391" s="376" t="str">
        <f>IF(OR($O391=$M391,$O391=0,$O391=""),"","* * Check Score! * *")</f>
        <v/>
      </c>
      <c r="M391" s="1128">
        <v>3</v>
      </c>
      <c r="N391" s="463" t="s">
        <v>1983</v>
      </c>
      <c r="O391" s="2711"/>
      <c r="P391" s="860"/>
      <c r="Q391" s="1020" t="str">
        <f>IF(OR($O391=$M391,$O391=0,$O391=""),"","*CHECK!*")</f>
        <v/>
      </c>
      <c r="R391" s="1088" t="s">
        <v>2706</v>
      </c>
    </row>
    <row r="392" spans="1:19" ht="12.75" customHeight="1">
      <c r="A392" s="1039"/>
      <c r="B392" s="586" t="s">
        <v>1986</v>
      </c>
      <c r="C392" s="1023" t="s">
        <v>4884</v>
      </c>
      <c r="D392" s="1023"/>
      <c r="E392" s="1023"/>
      <c r="F392" s="1023"/>
      <c r="G392" s="1023"/>
      <c r="H392" s="1023"/>
      <c r="I392" s="1023"/>
      <c r="N392" s="26"/>
      <c r="O392" s="26"/>
      <c r="P392" s="26"/>
    </row>
    <row r="393" spans="1:19" ht="12.75" customHeight="1">
      <c r="A393" s="1039"/>
      <c r="B393" s="440"/>
      <c r="C393" s="1023" t="s">
        <v>4883</v>
      </c>
      <c r="D393" s="1023"/>
      <c r="E393" s="1023"/>
      <c r="F393" s="1023"/>
      <c r="G393" s="1023"/>
      <c r="H393" s="1023"/>
      <c r="I393" s="1023"/>
      <c r="J393" s="3938" t="s">
        <v>1990</v>
      </c>
      <c r="K393" s="3938"/>
      <c r="M393" s="3938" t="s">
        <v>1990</v>
      </c>
      <c r="N393" s="3938"/>
      <c r="O393" s="3938"/>
      <c r="P393" s="3938"/>
    </row>
    <row r="394" spans="1:19" s="42" customFormat="1" ht="12.75" customHeight="1">
      <c r="A394" s="175"/>
      <c r="B394" s="375" t="s">
        <v>2435</v>
      </c>
      <c r="C394" s="35" t="s">
        <v>1482</v>
      </c>
      <c r="I394" s="375" t="s">
        <v>2435</v>
      </c>
      <c r="J394" s="4050"/>
      <c r="K394" s="4051"/>
      <c r="L394" s="375" t="s">
        <v>2435</v>
      </c>
      <c r="M394" s="3933"/>
      <c r="N394" s="3934"/>
      <c r="O394" s="3934"/>
      <c r="P394" s="3935"/>
      <c r="R394" s="376"/>
    </row>
    <row r="395" spans="1:19" ht="12.75" customHeight="1">
      <c r="A395" s="176"/>
      <c r="B395" s="388" t="s">
        <v>2436</v>
      </c>
      <c r="C395" s="35" t="s">
        <v>3619</v>
      </c>
      <c r="I395" s="388" t="s">
        <v>2436</v>
      </c>
      <c r="J395" s="3936"/>
      <c r="K395" s="3937"/>
      <c r="L395" s="388" t="s">
        <v>2436</v>
      </c>
      <c r="M395" s="3930"/>
      <c r="N395" s="3931"/>
      <c r="O395" s="3931"/>
      <c r="P395" s="3932"/>
      <c r="R395" s="376"/>
    </row>
    <row r="396" spans="1:19" ht="12.75" customHeight="1">
      <c r="B396" s="375" t="s">
        <v>2437</v>
      </c>
      <c r="C396" s="35" t="s">
        <v>2626</v>
      </c>
      <c r="I396" s="375" t="s">
        <v>2437</v>
      </c>
      <c r="J396" s="3936"/>
      <c r="K396" s="3937"/>
      <c r="L396" s="375" t="s">
        <v>2437</v>
      </c>
      <c r="M396" s="3930"/>
      <c r="N396" s="3931"/>
      <c r="O396" s="3931"/>
      <c r="P396" s="3932"/>
      <c r="R396" s="376"/>
    </row>
    <row r="397" spans="1:19" ht="12.75" customHeight="1">
      <c r="A397" s="176"/>
      <c r="B397" s="375" t="s">
        <v>2438</v>
      </c>
      <c r="C397" s="35" t="s">
        <v>3461</v>
      </c>
      <c r="I397" s="375" t="s">
        <v>2438</v>
      </c>
      <c r="J397" s="3936"/>
      <c r="K397" s="3937"/>
      <c r="L397" s="375" t="s">
        <v>2438</v>
      </c>
      <c r="M397" s="3930"/>
      <c r="N397" s="3931"/>
      <c r="O397" s="3931"/>
      <c r="P397" s="3932"/>
      <c r="R397" s="376"/>
    </row>
    <row r="398" spans="1:19" s="42" customFormat="1" ht="12.75" customHeight="1">
      <c r="A398" s="175"/>
      <c r="B398" s="388" t="s">
        <v>2439</v>
      </c>
      <c r="C398" s="35" t="s">
        <v>2731</v>
      </c>
      <c r="I398" s="388" t="s">
        <v>2439</v>
      </c>
      <c r="J398" s="3936"/>
      <c r="K398" s="3937"/>
      <c r="L398" s="388" t="s">
        <v>2439</v>
      </c>
      <c r="M398" s="3930"/>
      <c r="N398" s="3931"/>
      <c r="O398" s="3931"/>
      <c r="P398" s="3932"/>
      <c r="R398" s="376"/>
    </row>
    <row r="399" spans="1:19" ht="12.75" customHeight="1">
      <c r="B399" s="375" t="s">
        <v>2455</v>
      </c>
      <c r="C399" s="35" t="s">
        <v>1481</v>
      </c>
      <c r="I399" s="375" t="s">
        <v>2455</v>
      </c>
      <c r="J399" s="3936"/>
      <c r="K399" s="3937"/>
      <c r="L399" s="375" t="s">
        <v>2455</v>
      </c>
      <c r="M399" s="3930"/>
      <c r="N399" s="3931"/>
      <c r="O399" s="3931"/>
      <c r="P399" s="3932"/>
      <c r="R399" s="376"/>
    </row>
    <row r="400" spans="1:19" ht="12.75" customHeight="1">
      <c r="A400" s="176"/>
      <c r="B400" s="375" t="s">
        <v>2456</v>
      </c>
      <c r="C400" s="35" t="s">
        <v>3617</v>
      </c>
      <c r="I400" s="375" t="s">
        <v>2456</v>
      </c>
      <c r="J400" s="3936"/>
      <c r="K400" s="3937"/>
      <c r="L400" s="375" t="s">
        <v>2456</v>
      </c>
      <c r="M400" s="3930"/>
      <c r="N400" s="3931"/>
      <c r="O400" s="3931"/>
      <c r="P400" s="3932"/>
      <c r="R400" s="376"/>
    </row>
    <row r="401" spans="1:23" ht="12.75" customHeight="1">
      <c r="B401" s="387" t="s">
        <v>2457</v>
      </c>
      <c r="C401" s="35" t="s">
        <v>4885</v>
      </c>
      <c r="I401" s="387" t="s">
        <v>2457</v>
      </c>
      <c r="J401" s="3936"/>
      <c r="K401" s="3937"/>
      <c r="L401" s="387" t="s">
        <v>2457</v>
      </c>
      <c r="M401" s="3930"/>
      <c r="N401" s="3931"/>
      <c r="O401" s="3931"/>
      <c r="P401" s="3932"/>
      <c r="R401" s="376"/>
    </row>
    <row r="402" spans="1:23" ht="12.75" customHeight="1">
      <c r="B402" s="387" t="s">
        <v>2458</v>
      </c>
      <c r="C402" s="35" t="s">
        <v>4886</v>
      </c>
      <c r="I402" s="387" t="s">
        <v>2458</v>
      </c>
      <c r="J402" s="3936"/>
      <c r="K402" s="3937"/>
      <c r="L402" s="387" t="s">
        <v>2458</v>
      </c>
      <c r="M402" s="3930"/>
      <c r="N402" s="3931"/>
      <c r="O402" s="3931"/>
      <c r="P402" s="3932"/>
      <c r="R402" s="376"/>
    </row>
    <row r="403" spans="1:23" ht="12.75" customHeight="1" thickBot="1">
      <c r="B403" s="387" t="s">
        <v>3620</v>
      </c>
      <c r="C403" s="35" t="s">
        <v>4887</v>
      </c>
      <c r="I403" s="387" t="s">
        <v>3620</v>
      </c>
      <c r="J403" s="3936"/>
      <c r="K403" s="3937"/>
      <c r="L403" s="387" t="s">
        <v>3620</v>
      </c>
      <c r="M403" s="3995"/>
      <c r="N403" s="3996"/>
      <c r="O403" s="3996"/>
      <c r="P403" s="3997"/>
      <c r="R403" s="376"/>
    </row>
    <row r="404" spans="1:23" ht="12.75" customHeight="1" thickBot="1">
      <c r="B404" s="1172" t="s">
        <v>4888</v>
      </c>
      <c r="H404" s="1205" t="s">
        <v>2628</v>
      </c>
      <c r="J404" s="3943">
        <f>SUM(J394:K403)</f>
        <v>0</v>
      </c>
      <c r="K404" s="3944"/>
      <c r="M404" s="3943">
        <f>SUM($M394:$M403)</f>
        <v>0</v>
      </c>
      <c r="N404" s="3945"/>
      <c r="O404" s="3945"/>
      <c r="P404" s="3944"/>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4037" t="s">
        <v>5030</v>
      </c>
      <c r="D407" s="4037"/>
      <c r="E407" s="4037"/>
      <c r="F407" s="433" t="s">
        <v>4929</v>
      </c>
      <c r="H407" s="26"/>
      <c r="I407" s="2749"/>
      <c r="J407" s="3983">
        <f>'Part IV-A-Uses of Funds'!$G$132</f>
        <v>9013295</v>
      </c>
      <c r="K407" s="3984"/>
      <c r="L407" s="547"/>
      <c r="M407" s="502"/>
      <c r="N407" s="502"/>
      <c r="O407" s="1114"/>
      <c r="P407" s="502"/>
    </row>
    <row r="408" spans="1:23" ht="12.75" customHeight="1">
      <c r="C408" s="4037"/>
      <c r="D408" s="4037"/>
      <c r="E408" s="4037"/>
      <c r="F408" s="437" t="s">
        <v>4928</v>
      </c>
      <c r="I408" s="2750"/>
      <c r="J408" s="3990">
        <f>IF($J407=0,0,$J404/$J407)</f>
        <v>0</v>
      </c>
      <c r="K408" s="3991"/>
      <c r="M408" s="3992">
        <f>IF($J407=0,0,$M404/$J407)</f>
        <v>0</v>
      </c>
      <c r="N408" s="3993"/>
      <c r="O408" s="3993"/>
      <c r="P408" s="3994"/>
    </row>
    <row r="409" spans="1:23" s="42" customFormat="1" ht="12.75" customHeight="1">
      <c r="C409" s="4037"/>
      <c r="D409" s="4037"/>
      <c r="E409" s="4037"/>
      <c r="F409" s="1060" t="s">
        <v>4927</v>
      </c>
      <c r="I409" s="2751"/>
      <c r="J409" s="3987">
        <f>IF(L386="", IF($J408&gt;=0.1, 3,IF($J408&gt;=0.05, 2,IF($J408&gt;=0.02,1,0))),0)</f>
        <v>0</v>
      </c>
      <c r="K409" s="3989"/>
      <c r="L409" s="513"/>
      <c r="M409" s="3987">
        <f>IF(R386="", IF($M408&gt;=0.1, 3,IF($M408&gt;=0.05, 2,IF($M408&gt;=0.02,1,0))),0)</f>
        <v>0</v>
      </c>
      <c r="N409" s="3988"/>
      <c r="O409" s="3988"/>
      <c r="P409" s="3989"/>
    </row>
    <row r="410" spans="1:23" ht="3" customHeight="1" thickBot="1"/>
    <row r="411" spans="1:23" s="102" customFormat="1" ht="12.75" customHeight="1" thickBot="1">
      <c r="A411" s="138" t="s">
        <v>1985</v>
      </c>
      <c r="B411" s="179" t="s">
        <v>3621</v>
      </c>
      <c r="D411" s="38"/>
      <c r="E411" s="35"/>
      <c r="F411" s="887"/>
      <c r="H411" s="35"/>
      <c r="I411" s="887"/>
      <c r="J411" s="897"/>
      <c r="K411" s="897"/>
      <c r="L411" s="376" t="str">
        <f>IF(OR($O411=$M411,$O411=0,$O411=""),"","* * Check Score! * *")</f>
        <v/>
      </c>
      <c r="M411" s="590">
        <v>1</v>
      </c>
      <c r="N411" s="64" t="s">
        <v>1985</v>
      </c>
      <c r="O411" s="2712"/>
      <c r="P411" s="1123"/>
      <c r="Q411" s="109" t="s">
        <v>441</v>
      </c>
      <c r="R411" s="1088" t="s">
        <v>2706</v>
      </c>
      <c r="V411" s="1070"/>
      <c r="W411" s="1070"/>
    </row>
    <row r="412" spans="1:23" s="42" customFormat="1" ht="22.5" customHeight="1">
      <c r="A412" s="138"/>
      <c r="B412" s="1029" t="s">
        <v>2435</v>
      </c>
      <c r="C412" s="3537" t="s">
        <v>4061</v>
      </c>
      <c r="D412" s="3537"/>
      <c r="E412" s="3537"/>
      <c r="F412" s="3537"/>
      <c r="G412" s="3537"/>
      <c r="H412" s="3537"/>
      <c r="I412" s="3537"/>
      <c r="J412" s="3537"/>
      <c r="K412" s="3537"/>
      <c r="L412" s="3537"/>
      <c r="M412" s="3537"/>
      <c r="N412" s="388" t="s">
        <v>2435</v>
      </c>
      <c r="O412" s="2693"/>
      <c r="P412" s="1137"/>
      <c r="V412" s="1070"/>
      <c r="W412" s="1070"/>
    </row>
    <row r="413" spans="1:23" s="42" customFormat="1" ht="12.75" customHeight="1">
      <c r="A413" s="138"/>
      <c r="B413" s="375" t="s">
        <v>2436</v>
      </c>
      <c r="C413" s="51" t="s">
        <v>3796</v>
      </c>
      <c r="D413" s="51"/>
      <c r="E413" s="51"/>
      <c r="F413" s="51"/>
      <c r="G413" s="51"/>
      <c r="H413" s="51"/>
      <c r="I413" s="51"/>
      <c r="J413" s="51"/>
      <c r="K413" s="51"/>
      <c r="M413" s="51"/>
      <c r="N413" s="388" t="s">
        <v>2436</v>
      </c>
      <c r="O413" s="2673"/>
      <c r="P413" s="536"/>
      <c r="V413" s="1070"/>
      <c r="W413" s="1070"/>
    </row>
    <row r="414" spans="1:23" ht="12.75" customHeight="1">
      <c r="B414" s="375" t="s">
        <v>2437</v>
      </c>
      <c r="C414" s="431" t="s">
        <v>4889</v>
      </c>
      <c r="N414" s="375" t="s">
        <v>2437</v>
      </c>
      <c r="O414" s="2673"/>
      <c r="P414" s="536"/>
    </row>
    <row r="415" spans="1:23" ht="12" customHeight="1" thickBot="1">
      <c r="B415" s="1206" t="s">
        <v>3750</v>
      </c>
    </row>
    <row r="416" spans="1:23" s="42" customFormat="1" ht="21.75" customHeight="1" thickTop="1" thickBot="1">
      <c r="A416" s="3756" t="s">
        <v>970</v>
      </c>
      <c r="B416" s="3757"/>
      <c r="C416" s="3757"/>
      <c r="D416" s="3757"/>
      <c r="E416" s="3757"/>
      <c r="F416" s="3757"/>
      <c r="G416" s="3757"/>
      <c r="H416" s="3757"/>
      <c r="I416" s="3757"/>
      <c r="J416" s="3757"/>
      <c r="K416" s="3757"/>
      <c r="L416" s="3757"/>
      <c r="M416" s="3757"/>
      <c r="N416" s="3757"/>
      <c r="O416" s="3757"/>
      <c r="P416" s="3758"/>
      <c r="Q416" s="1074" t="s">
        <v>1254</v>
      </c>
    </row>
    <row r="417" spans="1:19" s="102" customFormat="1" ht="11.25" customHeight="1" thickTop="1">
      <c r="A417" s="41"/>
      <c r="B417" s="504" t="s">
        <v>1866</v>
      </c>
      <c r="C417" s="98"/>
      <c r="D417" s="97"/>
      <c r="E417" s="2317"/>
      <c r="F417" s="2310"/>
      <c r="G417" s="2310"/>
      <c r="H417" s="2310"/>
      <c r="I417" s="2310"/>
      <c r="J417" s="2310"/>
      <c r="K417" s="2310"/>
      <c r="L417" s="2310"/>
      <c r="M417" s="2310"/>
      <c r="N417" s="93"/>
      <c r="O417" s="872"/>
      <c r="P417" s="2292"/>
      <c r="Q417" s="426"/>
    </row>
    <row r="418" spans="1:19" s="42" customFormat="1" ht="11.25" customHeight="1">
      <c r="A418" s="3489"/>
      <c r="B418" s="3490"/>
      <c r="C418" s="3490"/>
      <c r="D418" s="3490"/>
      <c r="E418" s="3490"/>
      <c r="F418" s="3490"/>
      <c r="G418" s="3490"/>
      <c r="H418" s="3490"/>
      <c r="I418" s="3490"/>
      <c r="J418" s="3490"/>
      <c r="K418" s="3490"/>
      <c r="L418" s="3490"/>
      <c r="M418" s="3490"/>
      <c r="N418" s="3490"/>
      <c r="O418" s="3490"/>
      <c r="P418" s="3491"/>
      <c r="Q418" s="445"/>
    </row>
    <row r="419" spans="1:19" s="42" customFormat="1" ht="3" customHeight="1" thickBot="1">
      <c r="A419" s="41"/>
      <c r="B419" s="41"/>
      <c r="C419" s="2304"/>
      <c r="D419" s="2304"/>
      <c r="E419" s="2304"/>
      <c r="F419" s="2304"/>
      <c r="G419" s="2304"/>
      <c r="H419" s="2304"/>
      <c r="I419" s="2304"/>
      <c r="J419" s="2304"/>
      <c r="K419" s="2304"/>
      <c r="L419" s="2304"/>
      <c r="M419" s="2304"/>
      <c r="N419" s="74"/>
      <c r="O419" s="70"/>
      <c r="P419" s="887"/>
    </row>
    <row r="420" spans="1:19" s="42" customFormat="1" ht="13.5" customHeight="1" thickBot="1">
      <c r="A420" s="152" t="s">
        <v>4097</v>
      </c>
      <c r="B420" s="105" t="s">
        <v>2721</v>
      </c>
      <c r="D420" s="39"/>
      <c r="G420" s="60" t="s">
        <v>3391</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53" t="s">
        <v>5019</v>
      </c>
      <c r="E422" s="3354"/>
      <c r="F422" s="3354"/>
      <c r="G422" s="3354"/>
      <c r="H422" s="3354"/>
      <c r="I422" s="3355"/>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3673</v>
      </c>
      <c r="C424" s="391"/>
      <c r="D424" s="391"/>
      <c r="E424" s="391"/>
      <c r="F424" s="391"/>
      <c r="G424" s="391"/>
      <c r="H424" s="391"/>
      <c r="I424" s="391"/>
      <c r="M424" s="413">
        <v>2</v>
      </c>
      <c r="N424" s="160" t="s">
        <v>1983</v>
      </c>
      <c r="O424" s="2711"/>
      <c r="P424" s="860"/>
      <c r="Q424" s="1020" t="str">
        <f>IF(OR($O424=$M424,$O424=0,$O424=""),"","*CHECK!*")</f>
        <v/>
      </c>
      <c r="R424" s="1088" t="s">
        <v>2706</v>
      </c>
    </row>
    <row r="425" spans="1:19" s="412" customFormat="1" ht="12" customHeight="1">
      <c r="A425" s="411"/>
      <c r="B425" s="3551" t="s">
        <v>4891</v>
      </c>
      <c r="C425" s="3551"/>
      <c r="D425" s="3551"/>
      <c r="E425" s="3551"/>
      <c r="F425" s="3551"/>
      <c r="G425" s="3551"/>
      <c r="H425" s="3551"/>
      <c r="I425" s="3551"/>
      <c r="J425" s="3551"/>
      <c r="K425" s="3551"/>
      <c r="L425" s="3551"/>
      <c r="M425" s="3981" t="s">
        <v>5020</v>
      </c>
      <c r="N425" s="3981"/>
      <c r="Q425" s="172"/>
    </row>
    <row r="426" spans="1:19" s="412" customFormat="1" ht="12" customHeight="1">
      <c r="B426" s="3551"/>
      <c r="C426" s="3551"/>
      <c r="D426" s="3551"/>
      <c r="E426" s="3551"/>
      <c r="F426" s="3551"/>
      <c r="G426" s="3551"/>
      <c r="H426" s="3551"/>
      <c r="I426" s="3551"/>
      <c r="J426" s="3551"/>
      <c r="K426" s="3551"/>
      <c r="L426" s="3551"/>
      <c r="M426" s="3981"/>
      <c r="N426" s="3981"/>
      <c r="O426" s="3985">
        <f>'Part VI-Revenues &amp; Expenses'!$O$111</f>
        <v>0</v>
      </c>
      <c r="P426" s="3986"/>
      <c r="Q426" s="172"/>
    </row>
    <row r="427" spans="1:19" s="412" customFormat="1" ht="12" customHeight="1">
      <c r="B427" s="3551"/>
      <c r="C427" s="3551"/>
      <c r="D427" s="3551"/>
      <c r="E427" s="3551"/>
      <c r="F427" s="3551"/>
      <c r="G427" s="3551"/>
      <c r="H427" s="3551"/>
      <c r="I427" s="3551"/>
      <c r="J427" s="3551"/>
      <c r="K427" s="3551"/>
      <c r="L427" s="3551"/>
      <c r="M427" s="1026" t="s">
        <v>2830</v>
      </c>
      <c r="N427" s="413"/>
      <c r="O427" s="3979">
        <f>'Part VI-Revenues &amp; Expenses'!$O$67</f>
        <v>48</v>
      </c>
      <c r="P427" s="3980"/>
      <c r="Q427" s="172"/>
    </row>
    <row r="428" spans="1:19" s="412" customFormat="1" ht="12" customHeight="1">
      <c r="B428" s="3982"/>
      <c r="C428" s="3982"/>
      <c r="D428" s="3982"/>
      <c r="E428" s="3982"/>
      <c r="F428" s="3982"/>
      <c r="G428" s="3982"/>
      <c r="H428" s="3982"/>
      <c r="I428" s="3982"/>
      <c r="J428" s="3982"/>
      <c r="K428" s="3982"/>
      <c r="L428" s="3982"/>
      <c r="M428" s="2112" t="s">
        <v>2831</v>
      </c>
      <c r="N428" s="413"/>
      <c r="O428" s="3977">
        <f>IF(O427=0,0,O426/O427)</f>
        <v>0</v>
      </c>
      <c r="P428" s="3978"/>
      <c r="Q428" s="172"/>
    </row>
    <row r="429" spans="1:19" s="42" customFormat="1" ht="66.75" customHeight="1">
      <c r="A429" s="525"/>
      <c r="B429" s="3530" t="s">
        <v>970</v>
      </c>
      <c r="C429" s="3531"/>
      <c r="D429" s="3531"/>
      <c r="E429" s="3531"/>
      <c r="F429" s="3531"/>
      <c r="G429" s="3531"/>
      <c r="H429" s="3531"/>
      <c r="I429" s="3531"/>
      <c r="J429" s="3531"/>
      <c r="K429" s="3531"/>
      <c r="L429" s="3531"/>
      <c r="M429" s="3531"/>
      <c r="N429" s="3531"/>
      <c r="O429" s="3531"/>
      <c r="P429" s="3532"/>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4195</v>
      </c>
      <c r="B431" s="928" t="s">
        <v>3357</v>
      </c>
      <c r="C431" s="139"/>
      <c r="D431" s="871"/>
      <c r="H431" s="391"/>
      <c r="M431" s="413">
        <v>2</v>
      </c>
      <c r="N431" s="160" t="s">
        <v>1985</v>
      </c>
      <c r="O431" s="2711"/>
      <c r="P431" s="860"/>
      <c r="Q431" s="1020" t="str">
        <f>IF(OR($O431=$M431,$O431=0,$O431=""),"","*CHECK!*")</f>
        <v/>
      </c>
      <c r="R431" s="1088" t="s">
        <v>2706</v>
      </c>
    </row>
    <row r="432" spans="1:19" s="412" customFormat="1" ht="11.25" customHeight="1">
      <c r="A432" s="526"/>
      <c r="B432" s="3537" t="s">
        <v>4890</v>
      </c>
      <c r="C432" s="3537"/>
      <c r="D432" s="3537"/>
      <c r="E432" s="3537"/>
      <c r="F432" s="3537"/>
      <c r="G432" s="3537"/>
      <c r="H432" s="3537"/>
      <c r="I432" s="3537"/>
      <c r="J432" s="3537"/>
      <c r="K432" s="3537"/>
      <c r="L432" s="3537"/>
      <c r="M432" s="2185" t="s">
        <v>4892</v>
      </c>
      <c r="O432" s="3941">
        <f>'Part VI-Revenues &amp; Expenses'!$O$113</f>
        <v>0</v>
      </c>
      <c r="P432" s="3942"/>
      <c r="Q432" s="172"/>
    </row>
    <row r="433" spans="1:18" s="412" customFormat="1" ht="11.25" customHeight="1">
      <c r="A433" s="526"/>
      <c r="B433" s="3537"/>
      <c r="C433" s="3537"/>
      <c r="D433" s="3537"/>
      <c r="E433" s="3537"/>
      <c r="F433" s="3537"/>
      <c r="G433" s="3537"/>
      <c r="H433" s="3537"/>
      <c r="I433" s="3537"/>
      <c r="J433" s="3537"/>
      <c r="K433" s="3537"/>
      <c r="L433" s="3537"/>
      <c r="M433" s="1227" t="s">
        <v>2830</v>
      </c>
      <c r="N433" s="413"/>
      <c r="O433" s="3979">
        <f>'Part VI-Revenues &amp; Expenses'!$O$67</f>
        <v>48</v>
      </c>
      <c r="P433" s="3980"/>
      <c r="Q433" s="172"/>
    </row>
    <row r="434" spans="1:18" s="412" customFormat="1" ht="11.25" customHeight="1">
      <c r="A434" s="526"/>
      <c r="B434" s="3537"/>
      <c r="C434" s="3537"/>
      <c r="D434" s="3537"/>
      <c r="E434" s="3537"/>
      <c r="F434" s="3537"/>
      <c r="G434" s="3537"/>
      <c r="H434" s="3537"/>
      <c r="I434" s="3537"/>
      <c r="J434" s="3537"/>
      <c r="K434" s="3537"/>
      <c r="L434" s="3537"/>
      <c r="M434" s="2112" t="s">
        <v>2831</v>
      </c>
      <c r="N434" s="413"/>
      <c r="O434" s="3977">
        <f>IF(O433=0,0,L420/O433)</f>
        <v>0</v>
      </c>
      <c r="P434" s="3978"/>
      <c r="Q434" s="172"/>
    </row>
    <row r="435" spans="1:18" s="42" customFormat="1" ht="11.25" customHeight="1" thickBot="1">
      <c r="A435" s="41"/>
      <c r="B435" s="1206" t="s">
        <v>3750</v>
      </c>
      <c r="C435" s="41"/>
      <c r="D435" s="47"/>
      <c r="E435" s="47"/>
      <c r="F435" s="47"/>
      <c r="G435" s="47"/>
      <c r="H435" s="35"/>
      <c r="I435" s="35"/>
      <c r="J435" s="35"/>
      <c r="K435" s="35"/>
      <c r="M435" s="45"/>
      <c r="N435" s="61"/>
      <c r="O435" s="2"/>
      <c r="P435" s="2295"/>
    </row>
    <row r="436" spans="1:18" s="42" customFormat="1" ht="21.75" customHeight="1" thickTop="1" thickBot="1">
      <c r="A436" s="3756" t="s">
        <v>970</v>
      </c>
      <c r="B436" s="3757"/>
      <c r="C436" s="3757"/>
      <c r="D436" s="3757"/>
      <c r="E436" s="3757"/>
      <c r="F436" s="3757"/>
      <c r="G436" s="3757"/>
      <c r="H436" s="3757"/>
      <c r="I436" s="3757"/>
      <c r="J436" s="3757"/>
      <c r="K436" s="3757"/>
      <c r="L436" s="3757"/>
      <c r="M436" s="3757"/>
      <c r="N436" s="3757"/>
      <c r="O436" s="3757"/>
      <c r="P436" s="3758"/>
      <c r="Q436" s="1074" t="s">
        <v>1254</v>
      </c>
      <c r="R436" s="446"/>
    </row>
    <row r="437" spans="1:18" s="42" customFormat="1" ht="10.5" customHeight="1" thickTop="1">
      <c r="B437" s="85" t="s">
        <v>1866</v>
      </c>
      <c r="C437" s="98"/>
      <c r="D437" s="85"/>
      <c r="E437" s="99"/>
      <c r="F437" s="2304"/>
      <c r="G437" s="2304"/>
      <c r="H437" s="2304"/>
      <c r="I437" s="2304"/>
      <c r="J437" s="2304"/>
      <c r="K437" s="2304"/>
      <c r="L437" s="2304"/>
      <c r="M437" s="2304"/>
      <c r="N437" s="74"/>
      <c r="O437" s="70"/>
      <c r="P437" s="2292"/>
      <c r="Q437" s="426"/>
    </row>
    <row r="438" spans="1:18" s="42" customFormat="1" ht="11.25" customHeight="1">
      <c r="A438" s="3489"/>
      <c r="B438" s="3490"/>
      <c r="C438" s="3490"/>
      <c r="D438" s="3490"/>
      <c r="E438" s="3490"/>
      <c r="F438" s="3490"/>
      <c r="G438" s="3490"/>
      <c r="H438" s="3490"/>
      <c r="I438" s="3490"/>
      <c r="J438" s="3490"/>
      <c r="K438" s="3490"/>
      <c r="L438" s="3490"/>
      <c r="M438" s="3490"/>
      <c r="N438" s="3490"/>
      <c r="O438" s="3490"/>
      <c r="P438" s="3491"/>
      <c r="Q438" s="445"/>
    </row>
    <row r="439" spans="1:18" s="42" customFormat="1" ht="3" customHeight="1" thickBot="1">
      <c r="A439" s="41"/>
      <c r="B439" s="41"/>
      <c r="C439" s="2304"/>
      <c r="D439" s="2304"/>
      <c r="E439" s="2304"/>
      <c r="F439" s="2304"/>
      <c r="G439" s="2304"/>
      <c r="H439" s="2304"/>
      <c r="I439" s="2304"/>
      <c r="J439" s="2304"/>
      <c r="K439" s="2304"/>
      <c r="L439" s="2304"/>
      <c r="M439" s="2304"/>
      <c r="N439" s="74"/>
      <c r="O439" s="70"/>
      <c r="P439" s="887"/>
    </row>
    <row r="440" spans="1:18" s="102" customFormat="1" ht="11.25" customHeight="1" thickBot="1">
      <c r="A440" s="153" t="s">
        <v>4095</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3655</v>
      </c>
      <c r="D442" s="44"/>
      <c r="E442" s="44"/>
      <c r="F442" s="38"/>
      <c r="G442" s="35"/>
      <c r="I442" s="35"/>
      <c r="J442" s="35"/>
      <c r="K442" s="35"/>
      <c r="L442" s="376"/>
      <c r="M442" s="2292"/>
      <c r="N442" s="5"/>
      <c r="O442" s="1147">
        <v>10</v>
      </c>
      <c r="P442" s="1147">
        <v>10</v>
      </c>
      <c r="Q442" s="109"/>
    </row>
    <row r="443" spans="1:18" s="102" customFormat="1" ht="10.5" customHeight="1">
      <c r="A443" s="153"/>
      <c r="B443" s="86" t="s">
        <v>3656</v>
      </c>
      <c r="D443" s="44"/>
      <c r="E443" s="44"/>
      <c r="F443" s="38"/>
      <c r="G443" s="35"/>
      <c r="I443" s="35"/>
      <c r="J443" s="35"/>
      <c r="K443" s="35"/>
      <c r="L443" s="376"/>
      <c r="M443" s="2292"/>
      <c r="N443" s="5"/>
      <c r="O443" s="2752"/>
      <c r="P443" s="1140"/>
      <c r="Q443" s="109"/>
    </row>
    <row r="444" spans="1:18" s="102" customFormat="1" ht="10.5" customHeight="1">
      <c r="A444" s="153"/>
      <c r="B444" s="86" t="s">
        <v>3657</v>
      </c>
      <c r="D444" s="44"/>
      <c r="E444" s="44"/>
      <c r="F444" s="38"/>
      <c r="G444" s="35"/>
      <c r="I444" s="35"/>
      <c r="J444" s="35"/>
      <c r="K444" s="35"/>
      <c r="L444" s="376"/>
      <c r="M444" s="2292"/>
      <c r="N444" s="5"/>
      <c r="O444" s="2753"/>
      <c r="P444" s="530"/>
      <c r="Q444" s="109"/>
    </row>
    <row r="445" spans="1:18" s="102" customFormat="1" ht="10.5" customHeight="1">
      <c r="A445" s="66"/>
      <c r="B445" s="66" t="s">
        <v>1866</v>
      </c>
      <c r="C445" s="49"/>
      <c r="D445" s="66"/>
      <c r="E445" s="2310"/>
      <c r="F445" s="2310"/>
      <c r="G445" s="2310"/>
      <c r="H445" s="2310"/>
      <c r="I445" s="2310"/>
      <c r="J445" s="2310"/>
      <c r="K445" s="2310"/>
      <c r="L445" s="2310"/>
      <c r="M445" s="2310"/>
      <c r="N445" s="93"/>
      <c r="O445" s="872"/>
      <c r="P445" s="2292"/>
    </row>
    <row r="446" spans="1:18" s="42" customFormat="1" ht="11.25" customHeight="1">
      <c r="A446" s="3489"/>
      <c r="B446" s="3490"/>
      <c r="C446" s="3490"/>
      <c r="D446" s="3490"/>
      <c r="E446" s="3490"/>
      <c r="F446" s="3490"/>
      <c r="G446" s="3490"/>
      <c r="H446" s="3490"/>
      <c r="I446" s="3490"/>
      <c r="J446" s="3490"/>
      <c r="K446" s="3490"/>
      <c r="L446" s="3490"/>
      <c r="M446" s="3490"/>
      <c r="N446" s="3490"/>
      <c r="O446" s="3490"/>
      <c r="P446" s="3491"/>
      <c r="Q446" s="445"/>
      <c r="R446" s="446"/>
    </row>
    <row r="447" spans="1:18" s="42" customFormat="1" ht="6" customHeight="1" thickBot="1">
      <c r="A447" s="153"/>
      <c r="B447" s="41"/>
      <c r="C447" s="2304"/>
      <c r="D447" s="2304"/>
      <c r="E447" s="2304"/>
      <c r="F447" s="2304"/>
      <c r="G447" s="2304"/>
      <c r="H447" s="2304"/>
      <c r="I447" s="2304"/>
      <c r="J447" s="2304"/>
      <c r="K447" s="2304"/>
      <c r="L447" s="2304"/>
      <c r="M447" s="2304"/>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54</v>
      </c>
      <c r="P448" s="1135">
        <f>-P8+P22+P47+P61+P71+P107+P153+P189+P228+P277+P298+P306+P329+P342+P359+P369+P384+P420+P440</f>
        <v>20</v>
      </c>
    </row>
    <row r="449" spans="1:19" s="41" customFormat="1" ht="11.25" customHeight="1" thickTop="1">
      <c r="A449" s="53"/>
      <c r="B449" s="67"/>
      <c r="C449" s="53"/>
      <c r="D449" s="34"/>
      <c r="E449" s="34"/>
      <c r="F449" s="69"/>
      <c r="G449" s="69"/>
      <c r="H449" s="165" t="s">
        <v>4185</v>
      </c>
      <c r="J449" s="68"/>
      <c r="K449" s="68"/>
      <c r="L449" s="42"/>
      <c r="M449" s="34"/>
      <c r="N449" s="2292"/>
      <c r="O449" s="2292"/>
      <c r="P449" s="461">
        <f>P228</f>
        <v>0</v>
      </c>
    </row>
    <row r="450" spans="1:19" s="41" customFormat="1" ht="11.25" customHeight="1">
      <c r="A450" s="53"/>
      <c r="B450" s="67"/>
      <c r="C450" s="53"/>
      <c r="D450" s="34"/>
      <c r="E450" s="34"/>
      <c r="F450" s="69"/>
      <c r="G450" s="69"/>
      <c r="H450" s="165" t="s">
        <v>4186</v>
      </c>
      <c r="J450" s="68"/>
      <c r="K450" s="68"/>
      <c r="L450" s="42"/>
      <c r="M450" s="34"/>
      <c r="N450" s="2292"/>
      <c r="O450" s="461"/>
      <c r="P450" s="461">
        <f>P342</f>
        <v>0</v>
      </c>
    </row>
    <row r="451" spans="1:19" s="42" customFormat="1" ht="11.25" customHeight="1">
      <c r="A451" s="41"/>
      <c r="D451" s="38"/>
      <c r="E451" s="35"/>
      <c r="F451" s="887"/>
      <c r="H451" s="165" t="s">
        <v>4193</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940" t="s">
        <v>3686</v>
      </c>
      <c r="B453" s="3940"/>
      <c r="C453" s="3940"/>
      <c r="D453" s="3940"/>
      <c r="E453" s="3940"/>
      <c r="F453" s="3940"/>
      <c r="G453" s="3940"/>
      <c r="H453" s="3940"/>
      <c r="I453" s="3940"/>
      <c r="J453" s="3940"/>
      <c r="K453" s="3940"/>
      <c r="L453" s="3940"/>
      <c r="M453" s="3940"/>
      <c r="N453" s="3940"/>
      <c r="O453" s="3940"/>
      <c r="P453" s="3940"/>
    </row>
    <row r="454" spans="1:19" s="42" customFormat="1" ht="198.75" customHeight="1">
      <c r="A454" s="3508" t="s">
        <v>5273</v>
      </c>
      <c r="B454" s="3509"/>
      <c r="C454" s="3509"/>
      <c r="D454" s="3509"/>
      <c r="E454" s="3509"/>
      <c r="F454" s="3509"/>
      <c r="G454" s="3509"/>
      <c r="H454" s="3509"/>
      <c r="I454" s="3509"/>
      <c r="J454" s="3509"/>
      <c r="K454" s="3509"/>
      <c r="L454" s="3509"/>
      <c r="M454" s="3509"/>
      <c r="N454" s="3509"/>
      <c r="O454" s="3509"/>
      <c r="P454" s="3510"/>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3415</v>
      </c>
      <c r="K477" s="451"/>
      <c r="L477" s="451"/>
      <c r="M477" s="451"/>
      <c r="N477" s="452"/>
      <c r="O477" s="1197" t="s">
        <v>3764</v>
      </c>
      <c r="P477" s="1193"/>
      <c r="Q477" s="1121"/>
    </row>
    <row r="478" spans="3:17" s="482" customFormat="1">
      <c r="C478" s="1122" t="s">
        <v>1389</v>
      </c>
      <c r="D478" s="451"/>
      <c r="E478" s="451"/>
      <c r="F478" s="451"/>
      <c r="G478" s="451"/>
      <c r="H478" s="451"/>
      <c r="I478" s="451"/>
      <c r="J478" s="1194" t="s">
        <v>3416</v>
      </c>
      <c r="K478" s="451"/>
      <c r="L478" s="451"/>
      <c r="M478" s="451"/>
      <c r="N478" s="452"/>
      <c r="O478" s="1193"/>
      <c r="P478" s="1193"/>
      <c r="Q478" s="1121"/>
    </row>
    <row r="479" spans="3:17" s="482" customFormat="1">
      <c r="C479" s="1122" t="s">
        <v>2282</v>
      </c>
      <c r="D479" s="89"/>
      <c r="E479" s="89"/>
      <c r="F479" s="451"/>
      <c r="G479" s="451"/>
      <c r="H479" s="451"/>
      <c r="I479" s="451"/>
      <c r="J479" s="451" t="s">
        <v>3400</v>
      </c>
      <c r="K479" s="451"/>
      <c r="L479" s="89"/>
      <c r="M479" s="451"/>
      <c r="N479" s="452"/>
      <c r="O479" s="1193">
        <v>2</v>
      </c>
      <c r="P479" s="1193"/>
      <c r="Q479" s="1121"/>
    </row>
    <row r="480" spans="3:17" s="482" customFormat="1">
      <c r="C480" s="451"/>
      <c r="D480" s="89"/>
      <c r="E480" s="89"/>
      <c r="F480" s="451"/>
      <c r="G480" s="451"/>
      <c r="H480" s="451"/>
      <c r="I480" s="451"/>
      <c r="J480" s="451" t="s">
        <v>3401</v>
      </c>
      <c r="K480" s="451"/>
      <c r="L480" s="89"/>
      <c r="M480" s="451"/>
      <c r="N480" s="452"/>
      <c r="O480" s="1193">
        <v>2</v>
      </c>
      <c r="P480" s="1193"/>
      <c r="Q480" s="1121"/>
    </row>
    <row r="481" spans="1:17" s="482" customFormat="1">
      <c r="C481" s="451"/>
      <c r="D481" s="89"/>
      <c r="E481" s="89"/>
      <c r="F481" s="451"/>
      <c r="G481" s="451"/>
      <c r="H481" s="451"/>
      <c r="I481" s="451"/>
      <c r="J481" s="451" t="s">
        <v>3402</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3403</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3762</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3404</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3405</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3406</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3763</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3414</v>
      </c>
      <c r="K488" s="451"/>
      <c r="L488" s="2062"/>
      <c r="M488" s="451"/>
      <c r="N488" s="452"/>
      <c r="O488" s="1193">
        <v>1</v>
      </c>
      <c r="P488" s="1193"/>
      <c r="Q488" s="1121"/>
    </row>
    <row r="489" spans="1:17" s="482" customFormat="1">
      <c r="C489" s="1200"/>
      <c r="D489" s="89"/>
      <c r="E489" s="89"/>
      <c r="F489" s="451"/>
      <c r="G489" s="1201" t="s">
        <v>3802</v>
      </c>
      <c r="H489" s="1199"/>
      <c r="I489" s="1202"/>
      <c r="J489" s="1199" t="s">
        <v>3407</v>
      </c>
      <c r="K489" s="451"/>
      <c r="L489" s="2062"/>
      <c r="M489" s="451"/>
      <c r="N489" s="452"/>
      <c r="O489" s="1193">
        <v>1</v>
      </c>
      <c r="P489" s="1193"/>
      <c r="Q489" s="1121"/>
    </row>
    <row r="490" spans="1:17" s="482" customFormat="1">
      <c r="C490" s="1200"/>
      <c r="D490" s="89"/>
      <c r="E490" s="89"/>
      <c r="F490" s="451"/>
      <c r="G490" s="1201" t="s">
        <v>11</v>
      </c>
      <c r="H490" s="1199"/>
      <c r="I490" s="1202"/>
      <c r="J490" s="1199" t="s">
        <v>3408</v>
      </c>
      <c r="K490" s="451"/>
      <c r="L490" s="2062"/>
      <c r="M490" s="451"/>
      <c r="N490" s="452"/>
      <c r="O490" s="1193">
        <v>1</v>
      </c>
      <c r="P490" s="1193"/>
      <c r="Q490" s="1121"/>
    </row>
    <row r="491" spans="1:17" s="482" customFormat="1">
      <c r="C491" s="1200"/>
      <c r="D491" s="451"/>
      <c r="E491" s="451"/>
      <c r="F491" s="451"/>
      <c r="G491" s="1201" t="s">
        <v>356</v>
      </c>
      <c r="H491" s="1199"/>
      <c r="I491" s="1202"/>
      <c r="J491" s="1199" t="s">
        <v>3409</v>
      </c>
      <c r="K491" s="451"/>
      <c r="L491" s="1202"/>
      <c r="M491" s="451"/>
      <c r="N491" s="452"/>
      <c r="O491" s="1193">
        <v>1</v>
      </c>
      <c r="P491" s="1193"/>
      <c r="Q491" s="1121"/>
    </row>
    <row r="492" spans="1:17" s="482" customFormat="1">
      <c r="C492" s="451"/>
      <c r="D492" s="451"/>
      <c r="E492" s="451"/>
      <c r="F492" s="451"/>
      <c r="G492" s="1201" t="s">
        <v>1332</v>
      </c>
      <c r="H492" s="1199"/>
      <c r="I492" s="1202"/>
      <c r="J492" s="1199" t="s">
        <v>3410</v>
      </c>
      <c r="K492" s="451"/>
      <c r="L492" s="1202"/>
      <c r="M492" s="451"/>
      <c r="N492" s="452"/>
      <c r="O492" s="1193">
        <v>1</v>
      </c>
      <c r="P492" s="1193"/>
      <c r="Q492" s="1121"/>
    </row>
    <row r="493" spans="1:17" s="482" customFormat="1">
      <c r="C493" s="451"/>
      <c r="D493" s="451"/>
      <c r="E493" s="451"/>
      <c r="F493" s="451"/>
      <c r="G493" s="1201" t="s">
        <v>1504</v>
      </c>
      <c r="H493" s="1199"/>
      <c r="I493" s="1202"/>
      <c r="J493" s="1199" t="s">
        <v>3413</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3411</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3412</v>
      </c>
      <c r="K495" s="451"/>
      <c r="L495" s="1202"/>
      <c r="M495" s="451"/>
      <c r="N495" s="452"/>
      <c r="O495" s="1193">
        <v>1</v>
      </c>
      <c r="P495" s="1193"/>
      <c r="Q495" s="1121"/>
    </row>
    <row r="496" spans="1:17" s="482" customFormat="1">
      <c r="A496" s="1052" t="s">
        <v>3376</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3377</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3378</v>
      </c>
      <c r="C498" s="451"/>
      <c r="D498" s="1200"/>
      <c r="E498" s="1200">
        <v>10</v>
      </c>
      <c r="F498" s="451"/>
      <c r="G498" s="1201" t="s">
        <v>2489</v>
      </c>
      <c r="H498" s="1199"/>
      <c r="I498" s="1202"/>
      <c r="J498" s="2064" t="s">
        <v>3773</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3975</v>
      </c>
      <c r="K499" s="451"/>
      <c r="L499" s="2062"/>
      <c r="M499" s="451"/>
      <c r="N499" s="452"/>
      <c r="O499" s="1193"/>
      <c r="P499" s="1193"/>
      <c r="Q499" s="1121"/>
    </row>
    <row r="500" spans="1:17" s="482" customFormat="1">
      <c r="C500" s="1200"/>
      <c r="D500" s="451"/>
      <c r="E500" s="451"/>
      <c r="F500" s="451"/>
      <c r="G500" s="1201" t="s">
        <v>2140</v>
      </c>
      <c r="H500" s="1199"/>
      <c r="I500" s="1202"/>
      <c r="J500" s="1199" t="s">
        <v>3970</v>
      </c>
      <c r="K500" s="451"/>
      <c r="L500" s="2062"/>
      <c r="M500" s="451"/>
      <c r="N500" s="452"/>
      <c r="O500" s="1193"/>
      <c r="P500" s="1193"/>
      <c r="Q500" s="1121"/>
    </row>
    <row r="501" spans="1:17" s="482" customFormat="1">
      <c r="C501" s="1200"/>
      <c r="D501" s="451"/>
      <c r="E501" s="451"/>
      <c r="F501" s="451"/>
      <c r="G501" s="1201" t="s">
        <v>2058</v>
      </c>
      <c r="H501" s="1199"/>
      <c r="I501" s="1202"/>
      <c r="J501" s="1199" t="s">
        <v>3766</v>
      </c>
      <c r="K501" s="1199"/>
      <c r="L501" s="2062"/>
      <c r="M501" s="451"/>
      <c r="N501" s="452"/>
      <c r="O501" s="1193"/>
      <c r="P501" s="1193"/>
      <c r="Q501" s="1121"/>
    </row>
    <row r="502" spans="1:17" s="482" customFormat="1">
      <c r="C502" s="1200"/>
      <c r="D502" s="451"/>
      <c r="E502" s="451"/>
      <c r="F502" s="451"/>
      <c r="G502" s="1201" t="s">
        <v>601</v>
      </c>
      <c r="H502" s="1202"/>
      <c r="I502" s="1199"/>
      <c r="J502" s="1199" t="s">
        <v>3964</v>
      </c>
      <c r="K502" s="451"/>
      <c r="L502" s="2062"/>
      <c r="M502" s="451"/>
      <c r="N502" s="452"/>
      <c r="O502" s="1193"/>
      <c r="P502" s="1193"/>
      <c r="Q502" s="1121"/>
    </row>
    <row r="503" spans="1:17" s="482" customFormat="1">
      <c r="C503" s="1200"/>
      <c r="D503" s="451"/>
      <c r="E503" s="451"/>
      <c r="F503" s="451"/>
      <c r="G503" s="1201" t="s">
        <v>335</v>
      </c>
      <c r="H503" s="1202"/>
      <c r="I503" s="1199"/>
      <c r="J503" s="1199" t="s">
        <v>3767</v>
      </c>
      <c r="K503" s="1199"/>
      <c r="L503" s="2062"/>
      <c r="M503" s="451"/>
      <c r="N503" s="452"/>
      <c r="O503" s="1193"/>
      <c r="P503" s="1193"/>
      <c r="Q503" s="1121"/>
    </row>
    <row r="504" spans="1:17" s="482" customFormat="1">
      <c r="C504" s="451"/>
      <c r="D504" s="451"/>
      <c r="E504" s="451"/>
      <c r="F504" s="451"/>
      <c r="G504" s="1201" t="s">
        <v>873</v>
      </c>
      <c r="H504" s="1202"/>
      <c r="I504" s="1199"/>
      <c r="J504" s="1199" t="s">
        <v>3965</v>
      </c>
      <c r="K504" s="451"/>
      <c r="L504" s="2062"/>
      <c r="M504" s="451"/>
      <c r="N504" s="452"/>
      <c r="O504" s="1193"/>
      <c r="P504" s="1193"/>
      <c r="Q504" s="1121"/>
    </row>
    <row r="505" spans="1:17" s="482" customFormat="1">
      <c r="C505" s="451"/>
      <c r="D505" s="451"/>
      <c r="E505" s="451"/>
      <c r="F505" s="451"/>
      <c r="G505" s="1201" t="s">
        <v>1924</v>
      </c>
      <c r="H505" s="1202"/>
      <c r="I505" s="1199"/>
      <c r="J505" s="1199" t="s">
        <v>3768</v>
      </c>
      <c r="K505" s="451"/>
      <c r="L505" s="2063"/>
      <c r="M505" s="451"/>
      <c r="N505" s="452"/>
      <c r="O505" s="1193"/>
      <c r="P505" s="1193"/>
      <c r="Q505" s="1121"/>
    </row>
    <row r="506" spans="1:17" s="482" customFormat="1">
      <c r="C506" s="451"/>
      <c r="D506" s="451"/>
      <c r="E506" s="451"/>
      <c r="F506" s="451"/>
      <c r="G506" s="1201" t="s">
        <v>1928</v>
      </c>
      <c r="H506" s="1202"/>
      <c r="I506" s="1199"/>
      <c r="J506" s="1199" t="s">
        <v>3966</v>
      </c>
      <c r="K506" s="451"/>
      <c r="L506" s="2062"/>
      <c r="M506" s="451"/>
      <c r="N506" s="452"/>
      <c r="O506" s="1193"/>
      <c r="P506" s="1193"/>
      <c r="Q506" s="1121"/>
    </row>
    <row r="507" spans="1:17" s="482" customFormat="1">
      <c r="C507" s="451"/>
      <c r="D507" s="451"/>
      <c r="E507" s="451"/>
      <c r="F507" s="451"/>
      <c r="G507" s="1201" t="s">
        <v>455</v>
      </c>
      <c r="H507" s="1202"/>
      <c r="I507" s="1199"/>
      <c r="J507" s="1199" t="s">
        <v>3971</v>
      </c>
      <c r="K507" s="451"/>
      <c r="L507" s="2062"/>
      <c r="M507" s="451"/>
      <c r="N507" s="452"/>
      <c r="O507" s="1193"/>
      <c r="P507" s="1193"/>
      <c r="Q507" s="1121"/>
    </row>
    <row r="508" spans="1:17" s="482" customFormat="1">
      <c r="C508" s="451"/>
      <c r="D508" s="451"/>
      <c r="E508" s="451"/>
      <c r="F508" s="451"/>
      <c r="G508" s="1201" t="s">
        <v>3616</v>
      </c>
      <c r="H508" s="1202"/>
      <c r="I508" s="1199"/>
      <c r="J508" s="1199" t="s">
        <v>3974</v>
      </c>
      <c r="K508" s="1199"/>
      <c r="L508" s="2063"/>
      <c r="M508" s="451"/>
      <c r="N508" s="452"/>
      <c r="O508" s="1193"/>
      <c r="P508" s="1193"/>
      <c r="Q508" s="1121"/>
    </row>
    <row r="509" spans="1:17" s="482" customFormat="1">
      <c r="C509" s="451"/>
      <c r="D509" s="1203"/>
      <c r="E509" s="451"/>
      <c r="F509" s="451"/>
      <c r="G509" s="1201" t="s">
        <v>420</v>
      </c>
      <c r="H509" s="1202"/>
      <c r="I509" s="1199"/>
      <c r="J509" s="1199" t="s">
        <v>3769</v>
      </c>
      <c r="K509" s="451"/>
      <c r="L509" s="2062"/>
      <c r="M509" s="451"/>
      <c r="N509" s="452"/>
      <c r="O509" s="1193"/>
      <c r="P509" s="1193"/>
      <c r="Q509" s="1121"/>
    </row>
    <row r="510" spans="1:17" s="482" customFormat="1">
      <c r="C510" s="451"/>
      <c r="D510" s="1203"/>
      <c r="E510" s="451"/>
      <c r="F510" s="451"/>
      <c r="G510" s="1201" t="s">
        <v>234</v>
      </c>
      <c r="H510" s="1202"/>
      <c r="I510" s="1199"/>
      <c r="J510" s="1199" t="s">
        <v>3770</v>
      </c>
      <c r="K510" s="451"/>
      <c r="L510" s="2062"/>
      <c r="M510" s="451"/>
      <c r="N510" s="452"/>
      <c r="O510" s="1193"/>
      <c r="P510" s="1193"/>
      <c r="Q510" s="1121"/>
    </row>
    <row r="511" spans="1:17" s="482" customFormat="1">
      <c r="C511" s="451"/>
      <c r="D511" s="1204"/>
      <c r="E511" s="451"/>
      <c r="F511" s="451"/>
      <c r="G511" s="1201" t="s">
        <v>1221</v>
      </c>
      <c r="H511" s="1202"/>
      <c r="I511" s="1199"/>
      <c r="J511" s="1199" t="s">
        <v>3969</v>
      </c>
      <c r="K511" s="451"/>
      <c r="L511" s="2062"/>
      <c r="M511" s="451"/>
      <c r="N511" s="452"/>
      <c r="O511" s="1193"/>
      <c r="P511" s="1193"/>
      <c r="Q511" s="1121"/>
    </row>
    <row r="512" spans="1:17" s="482" customFormat="1">
      <c r="C512" s="451"/>
      <c r="D512" s="1204"/>
      <c r="E512" s="1204"/>
      <c r="F512" s="451"/>
      <c r="G512" s="1201" t="s">
        <v>1223</v>
      </c>
      <c r="H512" s="1202"/>
      <c r="I512" s="1199"/>
      <c r="J512" s="1199" t="s">
        <v>3972</v>
      </c>
      <c r="K512" s="451"/>
      <c r="L512" s="2063"/>
      <c r="M512" s="451"/>
      <c r="N512" s="452"/>
      <c r="O512" s="1193"/>
      <c r="P512" s="1193"/>
      <c r="Q512" s="1121"/>
    </row>
    <row r="513" spans="3:17" s="482" customFormat="1">
      <c r="C513" s="451"/>
      <c r="D513" s="451"/>
      <c r="E513" s="451"/>
      <c r="F513" s="451"/>
      <c r="G513" s="1201" t="s">
        <v>1637</v>
      </c>
      <c r="H513" s="1202"/>
      <c r="I513" s="1199"/>
      <c r="J513" s="1199" t="s">
        <v>3973</v>
      </c>
      <c r="K513" s="451"/>
      <c r="L513" s="2062"/>
      <c r="M513" s="451"/>
      <c r="N513" s="452"/>
      <c r="O513" s="1193"/>
      <c r="P513" s="1193"/>
      <c r="Q513" s="1121"/>
    </row>
    <row r="514" spans="3:17" s="482" customFormat="1">
      <c r="C514" s="451"/>
      <c r="D514" s="451"/>
      <c r="E514" s="451"/>
      <c r="F514" s="451"/>
      <c r="G514" s="1201" t="s">
        <v>985</v>
      </c>
      <c r="H514" s="1202"/>
      <c r="I514" s="1199"/>
      <c r="J514" s="1199" t="s">
        <v>3771</v>
      </c>
      <c r="K514" s="451"/>
      <c r="L514" s="2062"/>
      <c r="M514" s="451"/>
      <c r="N514" s="452"/>
      <c r="O514" s="1193"/>
      <c r="P514" s="1193"/>
      <c r="Q514" s="1121"/>
    </row>
    <row r="515" spans="3:17" s="482" customFormat="1">
      <c r="C515" s="1203"/>
      <c r="D515" s="451"/>
      <c r="E515" s="451"/>
      <c r="F515" s="451"/>
      <c r="G515" s="1201" t="s">
        <v>574</v>
      </c>
      <c r="H515" s="1199"/>
      <c r="I515" s="1199"/>
      <c r="J515" s="1199" t="s">
        <v>3772</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3393</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4056</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4601</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sOtHBFDVl/KLZlPyK7TfiXIYYCgJ/Y54NS6fx7qwAzo/yVoaTgfBQhunwhxymTmxko79p/E3Xa0oeyKw1GTm8A==" saltValue="pYAWvCn/K5B6qNiPAOyac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3" priority="79" operator="greaterThan">
      <formula>M153</formula>
    </cfRule>
  </conditionalFormatting>
  <conditionalFormatting sqref="F63">
    <cfRule type="expression" dxfId="92" priority="116">
      <formula>AND($O$277&gt;0,$O$277&lt;4,OR($I$277="Statutory Redevelopment Plan",$I$277="Redevelopment Zone",$I$277="Local Redevelopment Plan"))</formula>
    </cfRule>
  </conditionalFormatting>
  <conditionalFormatting sqref="F231:F235">
    <cfRule type="expression" dxfId="91" priority="117">
      <formula>AND($O$126&gt;0,$O$126&lt;4,OR($I$127="Statutory Redevelopment Plan",$I$127="Redevelopment Zone",$I$127="Local Redevelopment Plan"))</formula>
    </cfRule>
  </conditionalFormatting>
  <conditionalFormatting sqref="O52">
    <cfRule type="cellIs" dxfId="90" priority="26" operator="notEqual">
      <formula>$M52</formula>
    </cfRule>
  </conditionalFormatting>
  <conditionalFormatting sqref="O88">
    <cfRule type="cellIs" dxfId="89" priority="19" operator="notEqual">
      <formula>$M88</formula>
    </cfRule>
  </conditionalFormatting>
  <conditionalFormatting sqref="O87">
    <cfRule type="cellIs" dxfId="88" priority="20" operator="notEqual">
      <formula>$M87</formula>
    </cfRule>
  </conditionalFormatting>
  <conditionalFormatting sqref="O89">
    <cfRule type="cellIs" dxfId="87" priority="18" operator="notEqual">
      <formula>$M89</formula>
    </cfRule>
  </conditionalFormatting>
  <conditionalFormatting sqref="O53">
    <cfRule type="cellIs" dxfId="86" priority="7" operator="notEqual">
      <formula>$M53</formula>
    </cfRule>
  </conditionalFormatting>
  <conditionalFormatting sqref="O96">
    <cfRule type="cellIs" dxfId="85" priority="16" operator="notEqual">
      <formula>$M96</formula>
    </cfRule>
  </conditionalFormatting>
  <conditionalFormatting sqref="O95">
    <cfRule type="cellIs" dxfId="84" priority="17" operator="notEqual">
      <formula>$M95</formula>
    </cfRule>
  </conditionalFormatting>
  <conditionalFormatting sqref="O97">
    <cfRule type="cellIs" dxfId="83" priority="15" operator="notEqual">
      <formula>$M97</formula>
    </cfRule>
  </conditionalFormatting>
  <conditionalFormatting sqref="O100">
    <cfRule type="cellIs" dxfId="82" priority="14" operator="notEqual">
      <formula>$M100</formula>
    </cfRule>
  </conditionalFormatting>
  <conditionalFormatting sqref="O109">
    <cfRule type="cellIs" dxfId="81" priority="13" operator="notEqual">
      <formula>$M109</formula>
    </cfRule>
  </conditionalFormatting>
  <conditionalFormatting sqref="O115">
    <cfRule type="cellIs" dxfId="80" priority="12" operator="notEqual">
      <formula>$M115</formula>
    </cfRule>
  </conditionalFormatting>
  <conditionalFormatting sqref="O137">
    <cfRule type="cellIs" dxfId="79" priority="11" operator="notEqual">
      <formula>$M137</formula>
    </cfRule>
  </conditionalFormatting>
  <conditionalFormatting sqref="O206">
    <cfRule type="cellIs" dxfId="78" priority="10" operator="notEqual">
      <formula>$M206</formula>
    </cfRule>
  </conditionalFormatting>
  <conditionalFormatting sqref="O207">
    <cfRule type="cellIs" dxfId="77" priority="9" operator="notEqual">
      <formula>$M207</formula>
    </cfRule>
  </conditionalFormatting>
  <conditionalFormatting sqref="O210">
    <cfRule type="cellIs" dxfId="76" priority="8" operator="notEqual">
      <formula>$M210</formula>
    </cfRule>
  </conditionalFormatting>
  <conditionalFormatting sqref="F236">
    <cfRule type="expression" dxfId="75" priority="6">
      <formula>AND($O$126&gt;0,$O$126&lt;4,OR($I$127="Statutory Redevelopment Plan",$I$127="Redevelopment Zone",$I$127="Local Redevelopment Plan"))</formula>
    </cfRule>
  </conditionalFormatting>
  <conditionalFormatting sqref="J49:K49">
    <cfRule type="containsText" dxfId="74" priority="4" operator="containsText" text="&lt;&lt; Select Election or Income Averaging &gt;&gt;">
      <formula>NOT(ISERROR(SEARCH("&lt;&lt; Select Election or Income Averaging &gt;&gt;",J49)))</formula>
    </cfRule>
  </conditionalFormatting>
  <conditionalFormatting sqref="O47">
    <cfRule type="containsText" dxfId="73" priority="3" operator="containsText" text="AorB?">
      <formula>NOT(ISERROR(SEARCH("AorB?",O47)))</formula>
    </cfRule>
  </conditionalFormatting>
  <conditionalFormatting sqref="H88">
    <cfRule type="containsText" dxfId="72" priority="2" operator="containsText" text="Pick A1 or A2!">
      <formula>NOT(ISERROR(SEARCH("Pick A1 or A2!",H88)))</formula>
    </cfRule>
  </conditionalFormatting>
  <conditionalFormatting sqref="F98">
    <cfRule type="containsText" dxfId="71"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6" t="s">
        <v>4197</v>
      </c>
    </row>
    <row r="2" spans="1:6" s="32" customFormat="1" ht="13.5" customHeight="1">
      <c r="A2" s="865" t="str">
        <f>'Part I-Project Information'!$F$34</f>
        <v>Dulles Park II</v>
      </c>
    </row>
    <row r="3" spans="1:6" s="32" customFormat="1" ht="13.5" customHeight="1">
      <c r="A3" s="865" t="str">
        <f>CONCATENATE('Part I-Project Information'!$F$38,", ", 'Part I-Project Information'!$J$39," County")</f>
        <v>Gray, Jones County</v>
      </c>
    </row>
    <row r="4" spans="1:6" ht="6.75" customHeight="1"/>
    <row r="5" spans="1:6" ht="113.25" customHeight="1">
      <c r="A5" s="4057" t="s">
        <v>4198</v>
      </c>
      <c r="B5" s="4058" t="s">
        <v>4199</v>
      </c>
      <c r="C5" s="4058"/>
      <c r="D5" s="4058"/>
      <c r="E5" s="4058"/>
      <c r="F5" s="4058"/>
    </row>
    <row r="6" spans="1:6" ht="6.6" customHeight="1">
      <c r="A6" s="4057"/>
      <c r="B6" s="4058"/>
      <c r="C6" s="4058"/>
      <c r="D6" s="4058"/>
      <c r="E6" s="4058"/>
      <c r="F6" s="4058"/>
    </row>
    <row r="7" spans="1:6" ht="134.25" customHeight="1">
      <c r="A7" s="4057"/>
      <c r="B7" s="4058"/>
      <c r="C7" s="4058"/>
      <c r="D7" s="4058"/>
      <c r="E7" s="4058"/>
      <c r="F7" s="4058"/>
    </row>
    <row r="8" spans="1:6" ht="6.6" customHeight="1">
      <c r="A8" s="4057"/>
    </row>
    <row r="9" spans="1:6" ht="111" customHeight="1">
      <c r="A9" s="4057"/>
    </row>
    <row r="10" spans="1:6" ht="6.6" customHeight="1">
      <c r="A10" s="4057"/>
    </row>
    <row r="11" spans="1:6" ht="111" customHeight="1">
      <c r="A11" s="4057"/>
    </row>
    <row r="12" spans="1:6" ht="6.6" customHeight="1">
      <c r="A12" s="4057"/>
    </row>
    <row r="13" spans="1:6" ht="111" customHeight="1">
      <c r="A13" s="4057"/>
    </row>
    <row r="14" spans="1:6" ht="6.6" customHeight="1">
      <c r="A14" s="4057"/>
    </row>
    <row r="15" spans="1:6" ht="111" customHeight="1">
      <c r="A15" s="4057"/>
    </row>
    <row r="16" spans="1:6" ht="6.6" customHeight="1">
      <c r="A16" s="4057"/>
    </row>
    <row r="17" spans="1:1" ht="111" customHeight="1">
      <c r="A17" s="4057"/>
    </row>
    <row r="18" spans="1:1" ht="6.6" customHeight="1">
      <c r="A18" s="4057"/>
    </row>
    <row r="19" spans="1:1" ht="105.75" customHeight="1">
      <c r="A19" s="4057"/>
    </row>
    <row r="20" spans="1:1" ht="6.6" customHeight="1">
      <c r="A20" s="4057"/>
    </row>
    <row r="21" spans="1:1" ht="105.75" customHeight="1">
      <c r="A21" s="4057"/>
    </row>
    <row r="22" spans="1:1" ht="6.6" customHeight="1">
      <c r="A22" s="4057"/>
    </row>
    <row r="23" spans="1:1" ht="105.75" customHeight="1">
      <c r="A23" s="4057"/>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31" customWidth="1"/>
    <col min="2" max="11" width="10.5546875" style="1231" customWidth="1"/>
    <col min="12" max="12" width="9.6640625" style="1231" customWidth="1"/>
    <col min="13" max="21" width="10.5546875" style="1231" customWidth="1"/>
    <col min="22" max="16384" width="9.33203125" style="1231"/>
  </cols>
  <sheetData>
    <row r="1" spans="1:7" ht="3" customHeight="1"/>
    <row r="2" spans="1:7">
      <c r="A2" s="1230" t="s">
        <v>4200</v>
      </c>
    </row>
    <row r="3" spans="1:7" ht="3" customHeight="1"/>
    <row r="4" spans="1:7">
      <c r="A4" s="1231" t="s">
        <v>4201</v>
      </c>
      <c r="B4" s="1232">
        <f>+'Part IV-A-Uses of Funds'!$G$132</f>
        <v>9013295</v>
      </c>
    </row>
    <row r="5" spans="1:7">
      <c r="A5" s="1231" t="s">
        <v>4232</v>
      </c>
      <c r="B5" s="1232">
        <f>+B18+B26+B38</f>
        <v>110</v>
      </c>
    </row>
    <row r="6" spans="1:7">
      <c r="A6" s="1231" t="s">
        <v>4202</v>
      </c>
      <c r="B6" s="1233">
        <f>+B5-B4</f>
        <v>-9013185</v>
      </c>
    </row>
    <row r="7" spans="1:7">
      <c r="A7" s="1231" t="s">
        <v>4203</v>
      </c>
      <c r="B7" s="1234">
        <f>+B6/B4</f>
        <v>-0.99998779580608421</v>
      </c>
    </row>
    <row r="8" spans="1:7" ht="9" customHeight="1"/>
    <row r="9" spans="1:7">
      <c r="A9" s="1231" t="s">
        <v>4204</v>
      </c>
      <c r="B9" s="1232">
        <f>+B18+B26+B33</f>
        <v>0</v>
      </c>
    </row>
    <row r="10" spans="1:7">
      <c r="A10" s="1231" t="s">
        <v>4202</v>
      </c>
      <c r="B10" s="1233">
        <f>+B9-B4</f>
        <v>-9013295</v>
      </c>
    </row>
    <row r="11" spans="1:7">
      <c r="A11" s="1231" t="s">
        <v>4203</v>
      </c>
      <c r="B11" s="1234">
        <f>+B10/B4</f>
        <v>-1</v>
      </c>
    </row>
    <row r="12" spans="1:7" ht="24" customHeight="1"/>
    <row r="13" spans="1:7">
      <c r="A13" s="1230" t="s">
        <v>4205</v>
      </c>
      <c r="D13" s="1301" t="s">
        <v>4466</v>
      </c>
      <c r="E13" s="1302"/>
    </row>
    <row r="14" spans="1:7">
      <c r="A14" s="1231" t="s">
        <v>4206</v>
      </c>
      <c r="B14" s="1235">
        <f>+SUM('Part III-Sources of Funds'!L49:M50)</f>
        <v>9003150</v>
      </c>
      <c r="D14" s="1302"/>
      <c r="E14" s="1302"/>
    </row>
    <row r="15" spans="1:7">
      <c r="A15" s="1231" t="s">
        <v>4207</v>
      </c>
      <c r="B15" s="1236">
        <f>+'Part IV-A-Uses of Funds'!J167</f>
        <v>901318.5</v>
      </c>
      <c r="D15" s="1302" t="s">
        <v>2045</v>
      </c>
      <c r="G15" s="1303">
        <f>'Part IV-A-Uses of Funds'!J155</f>
        <v>8247121</v>
      </c>
    </row>
    <row r="16" spans="1:7" ht="12.75" customHeight="1">
      <c r="D16" s="1302" t="s">
        <v>4467</v>
      </c>
      <c r="G16" s="1307">
        <v>3.2800000000000003E-2</v>
      </c>
    </row>
    <row r="17" spans="1:7" ht="12.75" customHeight="1">
      <c r="A17" s="1231" t="s">
        <v>4208</v>
      </c>
      <c r="B17" s="1306">
        <v>1.45</v>
      </c>
      <c r="D17" s="1302" t="s">
        <v>4468</v>
      </c>
      <c r="G17" s="1308">
        <v>1.45</v>
      </c>
    </row>
    <row r="18" spans="1:7" ht="12.75" customHeight="1">
      <c r="A18" s="1231" t="s">
        <v>4209</v>
      </c>
      <c r="B18" s="1237">
        <f>+'Part IV-A-Uses of Funds'!J174*B17*10</f>
        <v>0</v>
      </c>
      <c r="D18" s="1302" t="s">
        <v>4469</v>
      </c>
      <c r="G18" s="1308">
        <v>3.28</v>
      </c>
    </row>
    <row r="19" spans="1:7" ht="12.75" customHeight="1">
      <c r="D19" s="1302" t="s">
        <v>4470</v>
      </c>
      <c r="G19" s="1304">
        <f>+G15*G16*G17*10</f>
        <v>3922330.7475999999</v>
      </c>
    </row>
    <row r="20" spans="1:7">
      <c r="A20" s="1231" t="s">
        <v>4210</v>
      </c>
      <c r="B20" s="1235">
        <f>+B18-B14</f>
        <v>-9003150</v>
      </c>
      <c r="D20" s="1302" t="s">
        <v>4471</v>
      </c>
      <c r="G20" s="1305">
        <f>+B14-G19</f>
        <v>5080819.2523999996</v>
      </c>
    </row>
    <row r="21" spans="1:7">
      <c r="A21" s="1231" t="s">
        <v>4211</v>
      </c>
      <c r="B21" s="1234">
        <f>+B20/B14</f>
        <v>-1</v>
      </c>
      <c r="D21" s="1302" t="s">
        <v>4472</v>
      </c>
      <c r="G21" s="1302" t="str">
        <f>+IF(G20&gt;(B28+B35),"No","Yes")</f>
        <v>No</v>
      </c>
    </row>
    <row r="22" spans="1:7" ht="24" customHeight="1"/>
    <row r="23" spans="1:7">
      <c r="A23" s="1230" t="s">
        <v>4212</v>
      </c>
    </row>
    <row r="24" spans="1:7">
      <c r="A24" s="1231" t="s">
        <v>4213</v>
      </c>
      <c r="B24" s="1238">
        <f>+SUM('Part III-Sources of Funds'!I38:J41)</f>
        <v>0</v>
      </c>
    </row>
    <row r="25" spans="1:7">
      <c r="A25" s="1231" t="s">
        <v>4214</v>
      </c>
      <c r="B25" s="1239">
        <f>IF('Part III-Sources of Funds'!E5="Yes","N/A",MAX(B46:P46))</f>
        <v>-39237.79161247921</v>
      </c>
    </row>
    <row r="26" spans="1:7">
      <c r="A26" s="1231" t="s">
        <v>4215</v>
      </c>
      <c r="B26" s="1229">
        <f>IFERROR(PV('Part III-Sources of Funds'!K38,'Part III-Sources of Funds'!L38,B25+B45),B24)</f>
        <v>0</v>
      </c>
    </row>
    <row r="27" spans="1:7" ht="9" customHeight="1">
      <c r="B27" s="1229"/>
    </row>
    <row r="28" spans="1:7">
      <c r="A28" s="1231" t="s">
        <v>4216</v>
      </c>
      <c r="B28" s="1240">
        <f>+B26-B24</f>
        <v>0</v>
      </c>
      <c r="C28" s="1241"/>
    </row>
    <row r="29" spans="1:7">
      <c r="A29" s="1231" t="s">
        <v>4211</v>
      </c>
      <c r="B29" s="1242" t="e">
        <f>+B28/B24</f>
        <v>#DIV/0!</v>
      </c>
    </row>
    <row r="30" spans="1:7" ht="24" customHeight="1"/>
    <row r="31" spans="1:7">
      <c r="A31" s="1230" t="s">
        <v>4079</v>
      </c>
    </row>
    <row r="32" spans="1:7">
      <c r="A32" s="1231" t="s">
        <v>4217</v>
      </c>
      <c r="B32" s="1243">
        <f>+'Part III-Sources of Funds'!I43</f>
        <v>11295</v>
      </c>
    </row>
    <row r="33" spans="1:11">
      <c r="A33" s="1231" t="s">
        <v>4218</v>
      </c>
      <c r="B33" s="1229"/>
    </row>
    <row r="34" spans="1:11" ht="9" customHeight="1">
      <c r="B34" s="1229"/>
    </row>
    <row r="35" spans="1:11">
      <c r="A35" s="1231" t="s">
        <v>4219</v>
      </c>
      <c r="B35" s="1243">
        <f>+B33-B32</f>
        <v>-11295</v>
      </c>
    </row>
    <row r="36" spans="1:11">
      <c r="A36" s="1231" t="s">
        <v>4220</v>
      </c>
      <c r="B36" s="1228">
        <f>+B35/B32</f>
        <v>-1</v>
      </c>
    </row>
    <row r="37" spans="1:11" ht="24" customHeight="1">
      <c r="B37" s="1229"/>
    </row>
    <row r="38" spans="1:11">
      <c r="A38" s="1230" t="s">
        <v>4221</v>
      </c>
      <c r="B38" s="1229">
        <f>+SUM('Part III-Sources of Funds'!I42,'Part III-Sources of Funds'!I47,'Part III-Sources of Funds'!I48,'Part III-Sources of Funds'!I51:I57)</f>
        <v>110</v>
      </c>
    </row>
    <row r="39" spans="1:11">
      <c r="B39" s="1229"/>
    </row>
    <row r="40" spans="1:11">
      <c r="B40" s="1229"/>
    </row>
    <row r="41" spans="1:11">
      <c r="B41" s="1229"/>
    </row>
    <row r="42" spans="1:11">
      <c r="A42" s="1230" t="s">
        <v>4222</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60384.214399999997</v>
      </c>
      <c r="C44" s="1232">
        <f>+'Part VII-Pro Forma'!C24</f>
        <v>59305.518688000011</v>
      </c>
      <c r="D44" s="1232">
        <f>+'Part VII-Pro Forma'!D24</f>
        <v>58136.383661760032</v>
      </c>
      <c r="E44" s="1232">
        <f>+'Part VII-Pro Forma'!E24</f>
        <v>56873.56997299513</v>
      </c>
      <c r="F44" s="1232">
        <f>+'Part VII-Pro Forma'!F24</f>
        <v>55511.717969595069</v>
      </c>
      <c r="G44" s="1232">
        <f>+'Part VII-Pro Forma'!G24</f>
        <v>54048.343624041256</v>
      </c>
      <c r="H44" s="1232">
        <f>+'Part VII-Pro Forma'!H24</f>
        <v>52478.834330427868</v>
      </c>
      <c r="I44" s="1232">
        <f>+'Part VII-Pro Forma'!I24</f>
        <v>50798.444565959377</v>
      </c>
      <c r="J44" s="1232">
        <f>+'Part VII-Pro Forma'!J24</f>
        <v>49002.291412669307</v>
      </c>
      <c r="K44" s="1232">
        <f>+'Part VII-Pro Forma'!K24</f>
        <v>47085.349934975049</v>
      </c>
    </row>
    <row r="45" spans="1:11">
      <c r="A45" s="1231" t="s">
        <v>4223</v>
      </c>
      <c r="B45" s="1232">
        <f>SUM('Part VII-Pro Forma'!B25:B28)</f>
        <v>0</v>
      </c>
      <c r="C45" s="1232">
        <f>SUM('Part VII-Pro Forma'!C25:C28)</f>
        <v>0</v>
      </c>
      <c r="D45" s="1232">
        <f>SUM('Part VII-Pro Forma'!D25:D28)</f>
        <v>0</v>
      </c>
      <c r="E45" s="1232">
        <f>SUM('Part VII-Pro Forma'!E25:E28)</f>
        <v>0</v>
      </c>
      <c r="F45" s="1232">
        <f>SUM('Part VII-Pro Forma'!F25:F28)</f>
        <v>0</v>
      </c>
      <c r="G45" s="1232">
        <f>SUM('Part VII-Pro Forma'!G25:G28)</f>
        <v>0</v>
      </c>
      <c r="H45" s="1232">
        <f>SUM('Part VII-Pro Forma'!H25:H28)</f>
        <v>0</v>
      </c>
      <c r="I45" s="1232">
        <f>SUM('Part VII-Pro Forma'!I25:I28)</f>
        <v>0</v>
      </c>
      <c r="J45" s="1232">
        <f>SUM('Part VII-Pro Forma'!J25:J28)</f>
        <v>0</v>
      </c>
      <c r="K45" s="1232">
        <f>SUM('Part VII-Pro Forma'!K25:K28)</f>
        <v>0</v>
      </c>
    </row>
    <row r="46" spans="1:11">
      <c r="A46" s="1231" t="s">
        <v>4224</v>
      </c>
      <c r="B46" s="1233">
        <f t="shared" ref="B46:K46" si="0">-B44/B48-B45</f>
        <v>-50320.178666666667</v>
      </c>
      <c r="C46" s="1233">
        <f t="shared" si="0"/>
        <v>-49421.265573333345</v>
      </c>
      <c r="D46" s="1233">
        <f t="shared" si="0"/>
        <v>-48446.986384800031</v>
      </c>
      <c r="E46" s="1233">
        <f t="shared" si="0"/>
        <v>-47394.641644162613</v>
      </c>
      <c r="F46" s="1233">
        <f t="shared" si="0"/>
        <v>-46259.764974662561</v>
      </c>
      <c r="G46" s="1233">
        <f t="shared" si="0"/>
        <v>-45040.286353367715</v>
      </c>
      <c r="H46" s="1233">
        <f t="shared" si="0"/>
        <v>-43732.361942023228</v>
      </c>
      <c r="I46" s="1233">
        <f t="shared" si="0"/>
        <v>-42332.037138299485</v>
      </c>
      <c r="J46" s="1233">
        <f t="shared" si="0"/>
        <v>-40835.242843891094</v>
      </c>
      <c r="K46" s="1233">
        <f t="shared" si="0"/>
        <v>-39237.79161247921</v>
      </c>
    </row>
    <row r="48" spans="1:11">
      <c r="A48" s="1231" t="s">
        <v>4225</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60384.214399999997</v>
      </c>
      <c r="C51" s="1233">
        <f t="shared" ref="C51:K51" si="2">+C44</f>
        <v>59305.518688000011</v>
      </c>
      <c r="D51" s="1233">
        <f t="shared" si="2"/>
        <v>58136.383661760032</v>
      </c>
      <c r="E51" s="1233">
        <f t="shared" si="2"/>
        <v>56873.56997299513</v>
      </c>
      <c r="F51" s="1233">
        <f t="shared" si="2"/>
        <v>55511.717969595069</v>
      </c>
      <c r="G51" s="1233">
        <f t="shared" si="2"/>
        <v>54048.343624041256</v>
      </c>
      <c r="H51" s="1233">
        <f t="shared" si="2"/>
        <v>52478.834330427868</v>
      </c>
      <c r="I51" s="1233">
        <f t="shared" si="2"/>
        <v>50798.444565959377</v>
      </c>
      <c r="J51" s="1233">
        <f t="shared" si="2"/>
        <v>49002.291412669307</v>
      </c>
      <c r="K51" s="1233">
        <f t="shared" si="2"/>
        <v>47085.349934975049</v>
      </c>
    </row>
    <row r="52" spans="1:17">
      <c r="A52" s="1231" t="s">
        <v>4226</v>
      </c>
      <c r="B52" s="1233">
        <f>IF($B$25="N/A",B45,B45+$B$25)</f>
        <v>-39237.79161247921</v>
      </c>
      <c r="C52" s="1233">
        <f t="shared" ref="C52:K52" si="3">IF($B$25="N/A",C45,C45+$B$25)</f>
        <v>-39237.79161247921</v>
      </c>
      <c r="D52" s="1233">
        <f t="shared" si="3"/>
        <v>-39237.79161247921</v>
      </c>
      <c r="E52" s="1233">
        <f t="shared" si="3"/>
        <v>-39237.79161247921</v>
      </c>
      <c r="F52" s="1233">
        <f t="shared" si="3"/>
        <v>-39237.79161247921</v>
      </c>
      <c r="G52" s="1233">
        <f t="shared" si="3"/>
        <v>-39237.79161247921</v>
      </c>
      <c r="H52" s="1233">
        <f t="shared" si="3"/>
        <v>-39237.79161247921</v>
      </c>
      <c r="I52" s="1233">
        <f t="shared" si="3"/>
        <v>-39237.79161247921</v>
      </c>
      <c r="J52" s="1233">
        <f t="shared" si="3"/>
        <v>-39237.79161247921</v>
      </c>
      <c r="K52" s="1233">
        <f t="shared" si="3"/>
        <v>-39237.79161247921</v>
      </c>
    </row>
    <row r="53" spans="1:17">
      <c r="A53" s="1231" t="s">
        <v>4227</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4228</v>
      </c>
      <c r="B54" s="1233">
        <f>+SUM(B51:B53)</f>
        <v>16146.422787520787</v>
      </c>
      <c r="C54" s="1233">
        <f t="shared" ref="C54:K54" si="4">+SUM(C51:C53)</f>
        <v>15067.727075520801</v>
      </c>
      <c r="D54" s="1233">
        <f t="shared" si="4"/>
        <v>13898.592049280822</v>
      </c>
      <c r="E54" s="1233">
        <f t="shared" si="4"/>
        <v>12635.77836051592</v>
      </c>
      <c r="F54" s="1233">
        <f t="shared" si="4"/>
        <v>11273.926357115859</v>
      </c>
      <c r="G54" s="1233">
        <f t="shared" si="4"/>
        <v>9810.5520115620457</v>
      </c>
      <c r="H54" s="1233">
        <f t="shared" si="4"/>
        <v>8241.0427179486578</v>
      </c>
      <c r="I54" s="1233">
        <f t="shared" si="4"/>
        <v>6560.6529534801666</v>
      </c>
      <c r="J54" s="1233">
        <f t="shared" si="4"/>
        <v>4764.4998001900967</v>
      </c>
      <c r="K54" s="1233">
        <f t="shared" si="4"/>
        <v>2847.5583224958391</v>
      </c>
    </row>
    <row r="55" spans="1:17">
      <c r="A55" s="1231" t="s">
        <v>4079</v>
      </c>
      <c r="B55" s="1233">
        <f>-B54</f>
        <v>-16146.422787520787</v>
      </c>
      <c r="C55" s="1233">
        <f t="shared" ref="C55:K55" si="5">-C54</f>
        <v>-15067.727075520801</v>
      </c>
      <c r="D55" s="1233">
        <f t="shared" si="5"/>
        <v>-13898.592049280822</v>
      </c>
      <c r="E55" s="1233">
        <f t="shared" si="5"/>
        <v>-12635.77836051592</v>
      </c>
      <c r="F55" s="1233">
        <f t="shared" si="5"/>
        <v>-11273.926357115859</v>
      </c>
      <c r="G55" s="1233">
        <f t="shared" si="5"/>
        <v>-9810.5520115620457</v>
      </c>
      <c r="H55" s="1233">
        <f t="shared" si="5"/>
        <v>-8241.0427179486578</v>
      </c>
      <c r="I55" s="1233">
        <f t="shared" si="5"/>
        <v>-6560.6529534801666</v>
      </c>
      <c r="J55" s="1233">
        <f t="shared" si="5"/>
        <v>-4764.4998001900967</v>
      </c>
      <c r="K55" s="1233">
        <f t="shared" si="5"/>
        <v>-2847.5583224958391</v>
      </c>
    </row>
    <row r="56" spans="1:17">
      <c r="A56" s="1231" t="s">
        <v>4229</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4230</v>
      </c>
      <c r="B58" s="1232">
        <f>IF($B$26="","",-FV('Part III-Sources of Funds'!$K$38/12,12,B52/12,B26))</f>
        <v>-39237.79161247921</v>
      </c>
      <c r="C58" s="1232">
        <f>IF($B$26="","",-FV('Part III-Sources of Funds'!$K$38/12,12,C52/12,B58))</f>
        <v>-78475.58322495842</v>
      </c>
      <c r="D58" s="1232">
        <f>IF($B$26="","",-FV('Part III-Sources of Funds'!$K$38/12,12,D52/12,C58))</f>
        <v>-117713.37483743763</v>
      </c>
      <c r="E58" s="1232">
        <f>IF($B$26="","",-FV('Part III-Sources of Funds'!$K$38/12,12,E52/12,D58))</f>
        <v>-156951.16644991684</v>
      </c>
      <c r="F58" s="1232">
        <f>IF($B$26="","",-FV('Part III-Sources of Funds'!$K$38/12,12,F52/12,E58))</f>
        <v>-196188.95806239604</v>
      </c>
      <c r="G58" s="1232">
        <f>IF($B$26="","",-FV('Part III-Sources of Funds'!$K$38/12,12,G52/12,F58))</f>
        <v>-235426.74967487523</v>
      </c>
      <c r="H58" s="1232">
        <f>IF($B$26="","",-FV('Part III-Sources of Funds'!$K$38/12,12,H52/12,G58))</f>
        <v>-274664.54128735443</v>
      </c>
      <c r="I58" s="1232">
        <f>IF($B$26="","",-FV('Part III-Sources of Funds'!$K$38/12,12,I52/12,H58))</f>
        <v>-313902.33289983362</v>
      </c>
      <c r="J58" s="1232">
        <f>IF($B$26="","",-FV('Part III-Sources of Funds'!$K$38/12,12,J52/12,I58))</f>
        <v>-353140.12451231282</v>
      </c>
      <c r="K58" s="1232">
        <f>IF($B$26="","",-FV('Part III-Sources of Funds'!$K$38/12,12,K52/12,J58))</f>
        <v>-392377.91612479201</v>
      </c>
    </row>
    <row r="59" spans="1:17">
      <c r="A59" s="1231" t="s">
        <v>4080</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4222</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45043.44840854856</v>
      </c>
      <c r="C64" s="1232">
        <f>+'Part VII-Pro Forma'!C56</f>
        <v>42871.263395839705</v>
      </c>
      <c r="D64" s="1232">
        <f>+'Part VII-Pro Forma'!D56</f>
        <v>40563.314663450401</v>
      </c>
      <c r="E64" s="1232">
        <f>+'Part VII-Pro Forma'!E56</f>
        <v>38114.959936404004</v>
      </c>
      <c r="F64" s="1232">
        <f>+'Part VII-Pro Forma'!F56</f>
        <v>35519.389484207306</v>
      </c>
      <c r="G64" s="1232">
        <f>+'Part VII-Pro Forma'!G56</f>
        <v>32770.620533438705</v>
      </c>
      <c r="H64" s="1232">
        <f>+'Part VII-Pro Forma'!H56</f>
        <v>29864.491501441429</v>
      </c>
      <c r="I64" s="1232">
        <f>+'Part VII-Pro Forma'!I56</f>
        <v>26791.656045524185</v>
      </c>
      <c r="J64" s="1232">
        <f>+'Part VII-Pro Forma'!J56</f>
        <v>23548.576921910142</v>
      </c>
      <c r="K64" s="1232">
        <f>+'Part VII-Pro Forma'!K56</f>
        <v>20126.519648488033</v>
      </c>
    </row>
    <row r="65" spans="1:11">
      <c r="A65" s="1231" t="s">
        <v>4223</v>
      </c>
      <c r="B65" s="1232">
        <f>SUM('Part VII-Pro Forma'!B57:B60)</f>
        <v>0</v>
      </c>
      <c r="C65" s="1232">
        <f>SUM('Part VII-Pro Forma'!C57:C60)</f>
        <v>0</v>
      </c>
      <c r="D65" s="1232">
        <f>SUM('Part VII-Pro Forma'!D57:D60)</f>
        <v>0</v>
      </c>
      <c r="E65" s="1232">
        <f>SUM('Part VII-Pro Forma'!E57:E60)</f>
        <v>0</v>
      </c>
      <c r="F65" s="1232">
        <f>SUM('Part VII-Pro Forma'!F57:F60)</f>
        <v>0</v>
      </c>
      <c r="G65" s="1232">
        <f>SUM('Part VII-Pro Forma'!G57:G60)</f>
        <v>0</v>
      </c>
      <c r="H65" s="1232">
        <f>SUM('Part VII-Pro Forma'!H57:H60)</f>
        <v>0</v>
      </c>
      <c r="I65" s="1232">
        <f>SUM('Part VII-Pro Forma'!I57:I60)</f>
        <v>0</v>
      </c>
      <c r="J65" s="1232">
        <f>SUM('Part VII-Pro Forma'!J57:J60)</f>
        <v>0</v>
      </c>
      <c r="K65" s="1232">
        <f>SUM('Part VII-Pro Forma'!K57:K60)</f>
        <v>0</v>
      </c>
    </row>
    <row r="66" spans="1:11">
      <c r="A66" s="1231" t="s">
        <v>4224</v>
      </c>
      <c r="B66" s="1233">
        <f t="shared" ref="B66:K66" si="7">-B64/B68-B65</f>
        <v>-37536.207007123805</v>
      </c>
      <c r="C66" s="1233">
        <f t="shared" si="7"/>
        <v>-35726.052829866421</v>
      </c>
      <c r="D66" s="1233">
        <f t="shared" si="7"/>
        <v>-33802.762219542004</v>
      </c>
      <c r="E66" s="1233">
        <f t="shared" si="7"/>
        <v>-31762.466613670003</v>
      </c>
      <c r="F66" s="1233">
        <f t="shared" si="7"/>
        <v>-29599.491236839422</v>
      </c>
      <c r="G66" s="1233">
        <f t="shared" si="7"/>
        <v>-27308.850444532254</v>
      </c>
      <c r="H66" s="1233">
        <f t="shared" si="7"/>
        <v>-24887.076251201193</v>
      </c>
      <c r="I66" s="1233">
        <f t="shared" si="7"/>
        <v>-22326.380037936822</v>
      </c>
      <c r="J66" s="1233">
        <f t="shared" si="7"/>
        <v>-19623.814101591786</v>
      </c>
      <c r="K66" s="1233">
        <f t="shared" si="7"/>
        <v>-16772.099707073361</v>
      </c>
    </row>
    <row r="68" spans="1:11">
      <c r="A68" s="1231" t="s">
        <v>4225</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45043.44840854856</v>
      </c>
      <c r="C71" s="1233">
        <f t="shared" si="9"/>
        <v>42871.263395839705</v>
      </c>
      <c r="D71" s="1233">
        <f t="shared" si="9"/>
        <v>40563.314663450401</v>
      </c>
      <c r="E71" s="1233">
        <f t="shared" si="9"/>
        <v>38114.959936404004</v>
      </c>
      <c r="F71" s="1233">
        <f t="shared" si="9"/>
        <v>35519.389484207306</v>
      </c>
      <c r="G71" s="1233">
        <f t="shared" si="9"/>
        <v>32770.620533438705</v>
      </c>
      <c r="H71" s="1233">
        <f>+H64</f>
        <v>29864.491501441429</v>
      </c>
      <c r="I71" s="1233">
        <f>+I64</f>
        <v>26791.656045524185</v>
      </c>
      <c r="J71" s="1233">
        <f>+J64</f>
        <v>23548.576921910142</v>
      </c>
      <c r="K71" s="1233">
        <f>+K64</f>
        <v>20126.519648488033</v>
      </c>
    </row>
    <row r="72" spans="1:11">
      <c r="A72" s="1231" t="s">
        <v>4226</v>
      </c>
      <c r="B72" s="1233">
        <f t="shared" ref="B72:G72" si="10">IF($B$25="N/A",B65,B65+$B$25)</f>
        <v>-39237.79161247921</v>
      </c>
      <c r="C72" s="1233">
        <f t="shared" si="10"/>
        <v>-39237.79161247921</v>
      </c>
      <c r="D72" s="1233">
        <f t="shared" si="10"/>
        <v>-39237.79161247921</v>
      </c>
      <c r="E72" s="1233">
        <f t="shared" si="10"/>
        <v>-39237.79161247921</v>
      </c>
      <c r="F72" s="1233">
        <f t="shared" si="10"/>
        <v>-39237.79161247921</v>
      </c>
      <c r="G72" s="1233">
        <f t="shared" si="10"/>
        <v>-39237.79161247921</v>
      </c>
      <c r="H72" s="1233">
        <f>IF($B$25="N/A",H65,H65+$B$25)</f>
        <v>-39237.79161247921</v>
      </c>
      <c r="I72" s="1233">
        <f>IF($B$25="N/A",I65,I65+$B$25)</f>
        <v>-39237.79161247921</v>
      </c>
      <c r="J72" s="1233">
        <f>IF($B$25="N/A",J65,J65+$B$25)</f>
        <v>-39237.79161247921</v>
      </c>
      <c r="K72" s="1233">
        <f>IF($B$25="N/A",K65,K65+$B$25)</f>
        <v>-39237.79161247921</v>
      </c>
    </row>
    <row r="73" spans="1:11">
      <c r="A73" s="1231" t="s">
        <v>4227</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4228</v>
      </c>
      <c r="B74" s="1233">
        <f t="shared" ref="B74:G74" si="11">+SUM(B71:B73)</f>
        <v>805.65679606935009</v>
      </c>
      <c r="C74" s="1233">
        <f t="shared" si="11"/>
        <v>-1366.5282166395045</v>
      </c>
      <c r="D74" s="1233">
        <f t="shared" si="11"/>
        <v>-3674.476949028809</v>
      </c>
      <c r="E74" s="1233">
        <f t="shared" si="11"/>
        <v>-6122.8316760752059</v>
      </c>
      <c r="F74" s="1233">
        <f t="shared" si="11"/>
        <v>-8718.4021282719041</v>
      </c>
      <c r="G74" s="1233">
        <f t="shared" si="11"/>
        <v>-11467.171079040505</v>
      </c>
      <c r="H74" s="1233">
        <f>+SUM(H71:H73)</f>
        <v>-14373.300111037781</v>
      </c>
      <c r="I74" s="1233">
        <f>+SUM(I71:I73)</f>
        <v>-17446.135566955025</v>
      </c>
      <c r="J74" s="1233">
        <f>+SUM(J71:J73)</f>
        <v>-20689.214690569068</v>
      </c>
      <c r="K74" s="1233">
        <f>+SUM(K71:K73)</f>
        <v>-24111.271963991177</v>
      </c>
    </row>
    <row r="75" spans="1:11">
      <c r="A75" s="1231" t="s">
        <v>4079</v>
      </c>
      <c r="B75" s="1233">
        <f t="shared" ref="B75:G75" si="12">-B74</f>
        <v>-805.65679606935009</v>
      </c>
      <c r="C75" s="1233">
        <f t="shared" si="12"/>
        <v>1366.5282166395045</v>
      </c>
      <c r="D75" s="1233">
        <f t="shared" si="12"/>
        <v>3674.476949028809</v>
      </c>
      <c r="E75" s="1233">
        <f t="shared" si="12"/>
        <v>6122.8316760752059</v>
      </c>
      <c r="F75" s="1233">
        <f t="shared" si="12"/>
        <v>8718.4021282719041</v>
      </c>
      <c r="G75" s="1233">
        <f t="shared" si="12"/>
        <v>11467.171079040505</v>
      </c>
      <c r="H75" s="1233">
        <f>-H74</f>
        <v>14373.300111037781</v>
      </c>
      <c r="I75" s="1233">
        <f>-I74</f>
        <v>17446.135566955025</v>
      </c>
      <c r="J75" s="1233">
        <f>-J74</f>
        <v>20689.214690569068</v>
      </c>
      <c r="K75" s="1233">
        <f>-K74</f>
        <v>24111.271963991177</v>
      </c>
    </row>
    <row r="76" spans="1:11">
      <c r="A76" s="1231" t="s">
        <v>4229</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4230</v>
      </c>
      <c r="B78" s="1232">
        <f>IF($B$26="","",-FV('Part III-Sources of Funds'!$K$38/12,12,B72/12,K58))</f>
        <v>-431615.70773727121</v>
      </c>
      <c r="C78" s="1232">
        <f>IF($B$26="","",-FV('Part III-Sources of Funds'!$K$38/12,12,C72/12,B78))</f>
        <v>-470853.4993497504</v>
      </c>
      <c r="D78" s="1232">
        <f>IF($B$26="","",-FV('Part III-Sources of Funds'!$K$38/12,12,D72/12,C78))</f>
        <v>-510091.2909622296</v>
      </c>
      <c r="E78" s="1232">
        <f>IF($B$26="","",-FV('Part III-Sources of Funds'!$K$38/12,12,E72/12,D78))</f>
        <v>-549329.08257470885</v>
      </c>
      <c r="F78" s="1232">
        <f>IF($B$26="","",-FV('Part III-Sources of Funds'!$K$38/12,12,F72/12,E78))</f>
        <v>-588566.87418718811</v>
      </c>
      <c r="G78" s="1232">
        <f>IF($B$26="","",-FV('Part III-Sources of Funds'!$K$38/12,12,G72/12,F78))</f>
        <v>-627804.66579966736</v>
      </c>
      <c r="H78" s="1232">
        <f>IF($B$26="","",-FV('Part III-Sources of Funds'!$K$38/12,12,H72/12,G78))</f>
        <v>-667042.45741214661</v>
      </c>
      <c r="I78" s="1232">
        <f>IF($B$26="","",-FV('Part III-Sources of Funds'!$K$38/12,12,I72/12,H78))</f>
        <v>-706280.24902462587</v>
      </c>
      <c r="J78" s="1232">
        <f>IF($B$26="","",-FV('Part III-Sources of Funds'!$K$38/12,12,J72/12,I78))</f>
        <v>-745518.04063710512</v>
      </c>
      <c r="K78" s="1232">
        <f>IF($B$26="","",-FV('Part III-Sources of Funds'!$K$38/12,12,K72/12,J78))</f>
        <v>-784755.83224958437</v>
      </c>
    </row>
    <row r="79" spans="1:11">
      <c r="A79" s="1231" t="s">
        <v>4080</v>
      </c>
    </row>
    <row r="82" spans="1:2">
      <c r="A82" s="1231" t="s">
        <v>4231</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40" customWidth="1"/>
    <col min="4" max="4" width="15.44140625" style="640" customWidth="1"/>
    <col min="5" max="5" width="4.6640625" style="640" customWidth="1"/>
    <col min="6" max="9" width="12.6640625" style="640" customWidth="1"/>
    <col min="10" max="10" width="5.33203125" style="640" customWidth="1"/>
    <col min="11" max="16384" width="9.33203125" style="640"/>
  </cols>
  <sheetData>
    <row r="1" spans="1:16" ht="15.6">
      <c r="A1" s="4059" t="s">
        <v>2914</v>
      </c>
      <c r="B1" s="4059"/>
      <c r="C1" s="4059"/>
      <c r="D1" s="4059"/>
      <c r="E1" s="4059"/>
      <c r="F1" s="4059"/>
      <c r="G1" s="4059"/>
      <c r="H1" s="4059"/>
      <c r="I1" s="4059"/>
      <c r="J1" s="4059"/>
    </row>
    <row r="2" spans="1:16" ht="15.6">
      <c r="A2" s="4059" t="str">
        <f>Overview!C8</f>
        <v>Dulles Park II</v>
      </c>
      <c r="B2" s="4059"/>
      <c r="C2" s="4059"/>
      <c r="D2" s="4059"/>
      <c r="E2" s="4059"/>
      <c r="F2" s="4059"/>
      <c r="G2" s="4059"/>
      <c r="H2" s="4059"/>
      <c r="I2" s="4059"/>
      <c r="J2" s="4059"/>
    </row>
    <row r="3" spans="1:16" ht="15.6">
      <c r="A3" s="4059" t="str">
        <f>'Subsidy Layering Memo'!F14</f>
        <v>Gray, Jones</v>
      </c>
      <c r="B3" s="4059"/>
      <c r="C3" s="4059"/>
      <c r="D3" s="4059"/>
      <c r="E3" s="4059"/>
      <c r="F3" s="4059"/>
      <c r="G3" s="4059"/>
      <c r="H3" s="4059"/>
      <c r="I3" s="4059"/>
      <c r="J3" s="4059"/>
    </row>
    <row r="4" spans="1:16" ht="15.6">
      <c r="A4" s="4060" t="s">
        <v>2915</v>
      </c>
      <c r="B4" s="4059"/>
      <c r="C4" s="4059"/>
      <c r="D4" s="4059"/>
      <c r="E4" s="4059"/>
      <c r="F4" s="4059"/>
      <c r="G4" s="4059"/>
      <c r="H4" s="4059"/>
      <c r="I4" s="4059"/>
      <c r="J4" s="4059"/>
    </row>
    <row r="5" spans="1:16" ht="5.25" customHeight="1"/>
    <row r="6" spans="1:16" ht="5.25" customHeight="1"/>
    <row r="7" spans="1:16" ht="15.6">
      <c r="A7" s="4061" t="s">
        <v>2916</v>
      </c>
      <c r="B7" s="4061"/>
      <c r="C7" s="4062"/>
      <c r="M7" s="4063"/>
      <c r="N7" s="4063"/>
      <c r="O7" s="4063"/>
      <c r="P7" s="4063"/>
    </row>
    <row r="8" spans="1:16" ht="57" customHeight="1">
      <c r="A8" s="4064" t="s">
        <v>5059</v>
      </c>
      <c r="B8" s="4064"/>
      <c r="C8" s="4064"/>
      <c r="D8" s="4064"/>
      <c r="E8" s="4064"/>
      <c r="F8" s="4064"/>
      <c r="G8" s="4064"/>
      <c r="H8" s="4064"/>
      <c r="I8" s="4064"/>
      <c r="J8" s="4064"/>
      <c r="K8" s="641"/>
    </row>
    <row r="9" spans="1:16" ht="45.75" customHeight="1">
      <c r="A9" s="406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Gray, Jones County, Georgia, with the development of 48 units (UNIT DESCRIPTION) set aside for HFOP.</v>
      </c>
      <c r="B9" s="4064"/>
      <c r="C9" s="4064"/>
      <c r="D9" s="4064"/>
      <c r="E9" s="4064"/>
      <c r="F9" s="4064"/>
      <c r="G9" s="4064"/>
      <c r="H9" s="4064"/>
      <c r="I9" s="4064"/>
      <c r="J9" s="4064"/>
      <c r="K9" s="641"/>
    </row>
    <row r="10" spans="1:16" ht="15.6">
      <c r="A10" s="642" t="s">
        <v>2917</v>
      </c>
    </row>
    <row r="11" spans="1:16" ht="16.5" customHeight="1">
      <c r="A11" s="4064" t="str">
        <f>'Subsidy Layering Memo'!A44</f>
        <v xml:space="preserve">Ownership entity:  (NAME) LP, a Georgia Limited Partnership, will be the ownership entity for the proposed project. </v>
      </c>
      <c r="B11" s="4066"/>
      <c r="C11" s="4066"/>
      <c r="D11" s="4066"/>
      <c r="E11" s="4066"/>
      <c r="F11" s="4066"/>
      <c r="G11" s="4066"/>
      <c r="H11" s="4066"/>
      <c r="I11" s="4066"/>
      <c r="J11" s="4064"/>
    </row>
    <row r="12" spans="1:16" ht="63.75" customHeight="1">
      <c r="A12" s="4064" t="s">
        <v>2947</v>
      </c>
      <c r="B12" s="4064"/>
      <c r="C12" s="4064"/>
      <c r="D12" s="4064"/>
      <c r="E12" s="4064"/>
      <c r="F12" s="4064"/>
      <c r="G12" s="4064"/>
      <c r="H12" s="4064"/>
      <c r="I12" s="4064"/>
      <c r="J12" s="4064"/>
    </row>
    <row r="13" spans="1:16" ht="48.75" customHeight="1">
      <c r="A13" s="4064" t="s">
        <v>2948</v>
      </c>
      <c r="B13" s="4064"/>
      <c r="C13" s="4064"/>
      <c r="D13" s="4064"/>
      <c r="E13" s="4064"/>
      <c r="F13" s="4064"/>
      <c r="G13" s="4064"/>
      <c r="H13" s="4064"/>
      <c r="I13" s="4064"/>
      <c r="J13" s="4064"/>
    </row>
    <row r="14" spans="1:16" ht="15.6">
      <c r="A14" s="642" t="s">
        <v>2918</v>
      </c>
      <c r="B14" s="643"/>
    </row>
    <row r="15" spans="1:16">
      <c r="A15" s="640" t="s">
        <v>2919</v>
      </c>
      <c r="D15" s="2226" t="s">
        <v>2920</v>
      </c>
    </row>
    <row r="16" spans="1:16">
      <c r="A16" s="640" t="s">
        <v>2921</v>
      </c>
      <c r="D16" s="2224">
        <f>Overview!C25</f>
        <v>0</v>
      </c>
    </row>
    <row r="17" spans="1:11">
      <c r="A17" s="644" t="s">
        <v>2922</v>
      </c>
      <c r="D17" s="2225">
        <f>Overview!C13</f>
        <v>48</v>
      </c>
    </row>
    <row r="18" spans="1:11" ht="14.25" customHeight="1"/>
    <row r="19" spans="1:11" ht="15.6">
      <c r="A19" s="642" t="s">
        <v>2923</v>
      </c>
      <c r="B19" s="643"/>
      <c r="C19" s="643"/>
    </row>
    <row r="20" spans="1:11" ht="48.75" customHeight="1">
      <c r="A20" s="4067" t="s">
        <v>2950</v>
      </c>
      <c r="B20" s="4067"/>
      <c r="C20" s="4067"/>
      <c r="D20" s="4067"/>
      <c r="E20" s="4067"/>
      <c r="F20" s="4067"/>
      <c r="G20" s="4067"/>
      <c r="H20" s="4067"/>
      <c r="I20" s="4067"/>
      <c r="J20" s="4067"/>
    </row>
    <row r="21" spans="1:11" ht="72.75" customHeight="1">
      <c r="A21" s="4064" t="s">
        <v>5058</v>
      </c>
      <c r="B21" s="4064"/>
      <c r="C21" s="4064"/>
      <c r="D21" s="4064"/>
      <c r="E21" s="4064"/>
      <c r="F21" s="4064"/>
      <c r="G21" s="4064"/>
      <c r="H21" s="4064"/>
      <c r="I21" s="4064"/>
      <c r="J21" s="4064"/>
    </row>
    <row r="22" spans="1:11" ht="15.6">
      <c r="A22" s="642" t="s">
        <v>2924</v>
      </c>
      <c r="B22" s="643"/>
      <c r="C22" s="643"/>
      <c r="D22" s="643"/>
      <c r="E22" s="643"/>
      <c r="F22" s="643"/>
    </row>
    <row r="23" spans="1:11" ht="102.75" customHeight="1">
      <c r="A23" s="4068" t="s">
        <v>2943</v>
      </c>
      <c r="B23" s="4068"/>
      <c r="C23" s="4068"/>
      <c r="D23" s="4068"/>
      <c r="E23" s="4068"/>
      <c r="F23" s="4068"/>
      <c r="G23" s="4068"/>
      <c r="H23" s="4068"/>
      <c r="I23" s="4068"/>
      <c r="J23" s="4068"/>
      <c r="K23" s="1862"/>
    </row>
    <row r="24" spans="1:11" ht="15" customHeight="1">
      <c r="A24" s="4065"/>
      <c r="B24" s="4065"/>
      <c r="C24" s="4065"/>
      <c r="D24" s="4065"/>
      <c r="E24" s="4065"/>
      <c r="F24" s="4065"/>
      <c r="G24" s="4065"/>
      <c r="H24" s="4065"/>
      <c r="I24" s="4065"/>
      <c r="J24" s="4065"/>
      <c r="K24" s="640" t="s">
        <v>243</v>
      </c>
    </row>
    <row r="25" spans="1:11" ht="15" customHeight="1">
      <c r="B25" s="1861"/>
      <c r="C25" s="1861"/>
      <c r="D25" s="1861"/>
      <c r="E25" s="1861"/>
      <c r="F25" s="1861"/>
      <c r="G25" s="1861"/>
      <c r="H25" s="1861"/>
      <c r="I25" s="1861" t="s">
        <v>243</v>
      </c>
      <c r="J25" s="1861"/>
    </row>
    <row r="26" spans="1:11" ht="15.6">
      <c r="A26" s="643" t="s">
        <v>2925</v>
      </c>
    </row>
    <row r="28" spans="1:11" ht="15.6"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44" t="s">
        <v>2986</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2019-060  Dulles Park II</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2987</v>
      </c>
      <c r="B7" s="640"/>
      <c r="C7" s="677"/>
      <c r="D7" s="678"/>
      <c r="E7" s="678"/>
      <c r="F7" s="643" t="s">
        <v>3316</v>
      </c>
      <c r="G7" s="640"/>
      <c r="H7" s="406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9"/>
      <c r="J7" s="4069"/>
      <c r="K7" s="4069"/>
      <c r="L7" s="640"/>
      <c r="M7" s="640"/>
    </row>
    <row r="8" spans="1:14" ht="15.6">
      <c r="A8" s="643" t="s">
        <v>2988</v>
      </c>
      <c r="B8" s="643"/>
      <c r="C8" s="4069" t="str">
        <f>'Part I-Project Information'!F34</f>
        <v>Dulles Park II</v>
      </c>
      <c r="D8" s="4069"/>
      <c r="E8" s="1863" t="str">
        <f>'Part I-Project Information'!O6</f>
        <v>2019-060</v>
      </c>
      <c r="F8" s="679" t="s">
        <v>2989</v>
      </c>
      <c r="G8" s="678"/>
      <c r="H8" s="4069" t="str">
        <f>CONCATENATE('Part I-Project Information'!F38,", ",'Part I-Project Information'!J39)</f>
        <v>Gray, Jones</v>
      </c>
      <c r="I8" s="4069"/>
      <c r="J8" s="4069"/>
      <c r="K8" s="4069"/>
      <c r="L8" s="640"/>
      <c r="M8" s="680"/>
    </row>
    <row r="9" spans="1:14" ht="15.6">
      <c r="A9" s="643" t="s">
        <v>2991</v>
      </c>
      <c r="B9" s="643"/>
      <c r="C9" s="4069" t="s">
        <v>1771</v>
      </c>
      <c r="D9" s="4069"/>
      <c r="E9" s="678"/>
      <c r="F9" s="679" t="s">
        <v>2992</v>
      </c>
      <c r="G9" s="678"/>
      <c r="H9" s="4069" t="str">
        <f>'Part II-Development Team'!H5</f>
        <v>Dulles Park II, LP</v>
      </c>
      <c r="I9" s="4069"/>
      <c r="J9" s="4069"/>
      <c r="K9" s="4069"/>
      <c r="L9" s="4069"/>
      <c r="M9" s="680"/>
    </row>
    <row r="10" spans="1:14" ht="15.6">
      <c r="A10" s="643" t="s">
        <v>2994</v>
      </c>
      <c r="B10" s="640"/>
      <c r="C10" s="1863" t="str">
        <f>'Part II-Development Team'!H14</f>
        <v>Potemkin-Dulles II, LLC</v>
      </c>
      <c r="D10" s="678"/>
      <c r="E10" s="678"/>
      <c r="F10" s="679" t="s">
        <v>3560</v>
      </c>
      <c r="G10" s="678"/>
      <c r="H10" s="4069" t="str">
        <f>'Part II-Development Team'!H33</f>
        <v>Affordable Equity Partners, Inc</v>
      </c>
      <c r="I10" s="4069"/>
      <c r="J10" s="4069"/>
      <c r="K10" s="4069" t="str">
        <f>'Part II-Development Team'!H39</f>
        <v>Affordable Equity Partners, Inc</v>
      </c>
      <c r="L10" s="4069"/>
    </row>
    <row r="11" spans="1:14" ht="15.6">
      <c r="A11" s="643" t="s">
        <v>2995</v>
      </c>
      <c r="B11" s="640"/>
      <c r="C11" s="1863" t="str">
        <f>IF('Part II-Development Team'!H20="","",'Part II-Development Team'!H20)</f>
        <v>N/A</v>
      </c>
      <c r="D11" s="678"/>
      <c r="E11" s="1246" t="str">
        <f>IF('Part II-Development Team'!H26="","",'Part II-Development Team'!H26)</f>
        <v>N/A</v>
      </c>
      <c r="F11" s="679" t="s">
        <v>652</v>
      </c>
      <c r="G11" s="678"/>
      <c r="H11" s="4069" t="str">
        <f>'Part II-Development Team'!H54</f>
        <v>Magita, Inc</v>
      </c>
      <c r="I11" s="4069"/>
      <c r="J11" s="4069"/>
      <c r="K11" s="4069" t="str">
        <f>'Part II-Development Team'!H60</f>
        <v>N/A</v>
      </c>
      <c r="L11" s="4069"/>
      <c r="M11" s="4069" t="str">
        <f>'Part II-Development Team'!H66</f>
        <v>N/A</v>
      </c>
      <c r="N11" s="4069"/>
    </row>
    <row r="12" spans="1:14" ht="15.6">
      <c r="A12" s="643" t="s">
        <v>2996</v>
      </c>
      <c r="B12" s="640"/>
      <c r="C12" s="1863" t="str">
        <f>'Part II-Development Team'!H86</f>
        <v>Fairway Construction Company, Inc</v>
      </c>
      <c r="D12" s="678"/>
      <c r="E12" s="678"/>
      <c r="F12" s="679" t="s">
        <v>2997</v>
      </c>
      <c r="G12" s="678"/>
      <c r="H12" s="4069" t="str">
        <f>'Part II-Development Team'!H92</f>
        <v>TMC Management and Realty, Inc.</v>
      </c>
      <c r="I12" s="4069"/>
      <c r="J12" s="4069"/>
      <c r="K12" s="4069"/>
      <c r="L12" s="640"/>
      <c r="M12" s="640"/>
    </row>
    <row r="13" spans="1:14" ht="15.6">
      <c r="A13" s="643" t="s">
        <v>2998</v>
      </c>
      <c r="B13" s="679"/>
      <c r="C13" s="639">
        <f>'Part VI-Revenues &amp; Expenses'!$O$67</f>
        <v>48</v>
      </c>
      <c r="E13" s="1247">
        <f>'Part VI-Revenues &amp; Expenses'!$O$63</f>
        <v>48</v>
      </c>
      <c r="F13" s="679" t="s">
        <v>4238</v>
      </c>
      <c r="G13" s="678"/>
      <c r="H13" s="1864">
        <f>'Part I-Project Information'!H76</f>
        <v>8</v>
      </c>
      <c r="I13" s="1248"/>
      <c r="J13" s="1248"/>
      <c r="K13" s="1864">
        <f>'Part I-Project Information'!P75</f>
        <v>45920</v>
      </c>
      <c r="L13" s="640"/>
      <c r="M13" s="640"/>
    </row>
    <row r="14" spans="1:14" ht="15.6">
      <c r="A14" s="643" t="s">
        <v>3306</v>
      </c>
      <c r="B14" s="640"/>
      <c r="C14" s="1864" t="str">
        <f>'Part I-Project Information'!H82</f>
        <v>HFOP</v>
      </c>
      <c r="D14" s="4069" t="str">
        <f>IF('Part I-Project Information'!N74=0,"",'Part I-Project Information'!N74)</f>
        <v/>
      </c>
      <c r="E14" s="4069"/>
      <c r="F14" s="679" t="s">
        <v>2999</v>
      </c>
      <c r="G14" s="678"/>
      <c r="H14" s="4070" t="s">
        <v>3499</v>
      </c>
      <c r="I14" s="4070"/>
      <c r="J14" s="4070"/>
      <c r="K14" s="4070" t="s">
        <v>3499</v>
      </c>
      <c r="L14" s="4070"/>
      <c r="M14" s="640"/>
    </row>
    <row r="15" spans="1:14" ht="15.6">
      <c r="A15" s="643" t="s">
        <v>3000</v>
      </c>
      <c r="B15" s="640"/>
      <c r="C15" s="681" t="s">
        <v>1771</v>
      </c>
      <c r="D15" s="678"/>
      <c r="E15" s="678"/>
      <c r="F15" s="679" t="s">
        <v>3307</v>
      </c>
      <c r="G15" s="678"/>
      <c r="H15" s="1863" t="str">
        <f>'Part I-Project Information'!K40</f>
        <v>Rural</v>
      </c>
      <c r="I15" s="678"/>
      <c r="J15" s="678"/>
      <c r="K15" s="678"/>
      <c r="L15" s="640"/>
      <c r="M15" s="640"/>
    </row>
    <row r="16" spans="1:14" ht="15.6">
      <c r="A16" s="643" t="s">
        <v>3533</v>
      </c>
      <c r="B16" s="640"/>
      <c r="C16" s="1863" t="str">
        <f>'Part I-Project Information'!H100</f>
        <v>No</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3309</v>
      </c>
      <c r="B18" s="640"/>
      <c r="C18" s="1866">
        <f>'Part IV-A-Uses of Funds'!G132</f>
        <v>9013295</v>
      </c>
      <c r="D18" s="1293">
        <f>IF(C18=0,"",$C$29/C18)</f>
        <v>0</v>
      </c>
      <c r="E18" s="678" t="s">
        <v>3310</v>
      </c>
      <c r="F18" s="679" t="s">
        <v>3311</v>
      </c>
      <c r="G18" s="678"/>
      <c r="H18" s="4071">
        <f>'Part IV-A-Uses of Funds'!B44</f>
        <v>5931648</v>
      </c>
      <c r="I18" s="4071"/>
      <c r="J18" s="1292">
        <f>IF(H18=0,"",$C$29/H18)</f>
        <v>0</v>
      </c>
      <c r="K18" s="4069" t="s">
        <v>3312</v>
      </c>
      <c r="L18" s="4069"/>
      <c r="M18" s="640"/>
    </row>
    <row r="19" spans="1:13" ht="15.6">
      <c r="A19" s="643" t="s">
        <v>3001</v>
      </c>
      <c r="B19" s="640"/>
      <c r="C19" s="1865">
        <f>C18/C13</f>
        <v>187776.97916666666</v>
      </c>
      <c r="D19" s="678"/>
      <c r="E19" s="640"/>
      <c r="F19" s="643" t="s">
        <v>3001</v>
      </c>
      <c r="G19" s="640"/>
      <c r="H19" s="4072">
        <f>H18/C13</f>
        <v>123576</v>
      </c>
      <c r="I19" s="4072"/>
      <c r="J19" s="640"/>
      <c r="K19" s="640"/>
      <c r="L19" s="640"/>
      <c r="M19" s="640"/>
    </row>
    <row r="20" spans="1:13" ht="15.6">
      <c r="A20" s="643" t="s">
        <v>3002</v>
      </c>
      <c r="B20" s="640"/>
      <c r="C20" s="1867">
        <f>C18/K13</f>
        <v>196.28255662020905</v>
      </c>
      <c r="D20" s="683"/>
      <c r="E20" s="684"/>
      <c r="F20" s="643" t="s">
        <v>3002</v>
      </c>
      <c r="G20" s="640"/>
      <c r="H20" s="4073">
        <f>H18/K13</f>
        <v>129.17351916376307</v>
      </c>
      <c r="I20" s="4072"/>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6">
      <c r="A25" s="643" t="s">
        <v>3005</v>
      </c>
      <c r="B25" s="689">
        <f>'Part III-Sources of Funds'!E38</f>
        <v>0</v>
      </c>
      <c r="C25" s="690">
        <f>'Part III-Sources of Funds'!I38</f>
        <v>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2" thickBot="1">
      <c r="A29" s="640"/>
      <c r="B29" s="693" t="s">
        <v>3010</v>
      </c>
      <c r="C29" s="694">
        <f>SUM(C25:C27)</f>
        <v>0</v>
      </c>
      <c r="D29" s="640"/>
      <c r="E29" s="640"/>
      <c r="F29" s="678"/>
      <c r="G29" s="640" t="s">
        <v>3011</v>
      </c>
      <c r="H29" s="640"/>
      <c r="I29" s="640"/>
      <c r="K29" s="692" t="e">
        <f>C29/K28</f>
        <v>#DIV/0!</v>
      </c>
      <c r="L29" s="678"/>
      <c r="M29" s="640"/>
    </row>
    <row r="30" spans="1:13" ht="16.2" thickTop="1">
      <c r="A30" s="643" t="s">
        <v>3012</v>
      </c>
      <c r="B30" s="693"/>
      <c r="C30" s="695">
        <f>'Part III-Sources of Funds'!$I$49+'Part III-Sources of Funds'!$I$50</f>
        <v>9001890</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6">
      <c r="A33" s="640"/>
      <c r="B33" s="678"/>
      <c r="C33" s="698"/>
      <c r="D33" s="640"/>
      <c r="E33" s="640"/>
      <c r="F33" s="678"/>
      <c r="G33" s="1251" t="s">
        <v>3015</v>
      </c>
      <c r="H33" s="1251"/>
      <c r="I33" s="1251"/>
      <c r="K33" s="692" t="e">
        <f>$C$29/K32</f>
        <v>#DIV/0!</v>
      </c>
      <c r="L33" s="678"/>
      <c r="M33" s="699"/>
    </row>
    <row r="34" spans="1:13" ht="15.6">
      <c r="A34" s="640"/>
      <c r="B34" s="693" t="s">
        <v>3016</v>
      </c>
      <c r="C34" s="698">
        <f>SUM(C31:C32)</f>
        <v>0</v>
      </c>
      <c r="D34" s="640"/>
      <c r="E34" s="640"/>
      <c r="F34" s="640"/>
      <c r="G34" s="640"/>
      <c r="H34" s="640"/>
      <c r="I34" s="640"/>
      <c r="K34" s="678"/>
      <c r="L34" s="640"/>
      <c r="M34" s="699"/>
    </row>
    <row r="35" spans="1:13" ht="15.6">
      <c r="A35" s="640"/>
      <c r="B35" s="693"/>
      <c r="C35" s="640"/>
      <c r="D35" s="640"/>
      <c r="E35" s="640"/>
      <c r="F35" s="640"/>
      <c r="G35" s="1251" t="s">
        <v>3017</v>
      </c>
      <c r="H35" s="1251"/>
      <c r="I35" s="1251"/>
      <c r="K35" s="700" t="e">
        <f>(C36)/K25</f>
        <v>#DIV/0!</v>
      </c>
      <c r="L35" s="640"/>
      <c r="M35" s="678"/>
    </row>
    <row r="36" spans="1:13" ht="15.6">
      <c r="A36" s="640"/>
      <c r="B36" s="693" t="s">
        <v>3018</v>
      </c>
      <c r="C36" s="698">
        <f>C29+C34</f>
        <v>0</v>
      </c>
      <c r="D36" s="640"/>
      <c r="E36" s="640"/>
      <c r="F36" s="640"/>
      <c r="G36" s="640"/>
      <c r="H36" s="640"/>
      <c r="I36" s="640"/>
      <c r="K36" s="678"/>
      <c r="L36" s="640"/>
      <c r="M36" s="678"/>
    </row>
    <row r="37" spans="1:13" ht="15.6">
      <c r="A37" s="640"/>
      <c r="B37" s="693"/>
      <c r="C37" s="701"/>
      <c r="D37" s="640"/>
      <c r="E37" s="640"/>
      <c r="F37" s="640"/>
      <c r="G37" s="1251" t="s">
        <v>3019</v>
      </c>
      <c r="H37" s="1251"/>
      <c r="I37" s="1251"/>
      <c r="K37" s="1252" t="e">
        <f>+(C36)/K32</f>
        <v>#DIV/0!</v>
      </c>
      <c r="L37" s="640"/>
      <c r="M37" s="699"/>
    </row>
    <row r="38" spans="1:13" ht="15.6">
      <c r="A38" s="640"/>
      <c r="B38" s="693" t="s">
        <v>3020</v>
      </c>
      <c r="C38" s="702">
        <f>C36/C18</f>
        <v>0</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3021</v>
      </c>
      <c r="C40" s="702">
        <f>C36/H18</f>
        <v>0</v>
      </c>
      <c r="D40" s="640"/>
      <c r="E40" s="640"/>
      <c r="F40" s="643"/>
      <c r="G40" s="643" t="s">
        <v>3022</v>
      </c>
      <c r="H40" s="640"/>
      <c r="I40" s="640"/>
      <c r="K40" s="692">
        <f>C30/C18</f>
        <v>0.99873464698536996</v>
      </c>
      <c r="L40" s="640"/>
      <c r="M40" s="640"/>
    </row>
    <row r="46" spans="1:13" ht="15.6">
      <c r="A46" s="703" t="s">
        <v>3023</v>
      </c>
      <c r="B46" s="673"/>
      <c r="C46" s="673"/>
      <c r="D46" s="673"/>
      <c r="E46" s="673"/>
      <c r="F46" s="673"/>
      <c r="G46" s="673"/>
      <c r="H46" s="673"/>
      <c r="I46" s="673"/>
      <c r="J46" s="673"/>
      <c r="K46" s="673"/>
      <c r="L46" s="673"/>
      <c r="M46" s="640"/>
    </row>
    <row r="47" spans="1:13" ht="15.6">
      <c r="A47" s="703" t="str">
        <f>C8</f>
        <v>Dulles Park II</v>
      </c>
      <c r="B47" s="673"/>
      <c r="C47" s="673"/>
      <c r="D47" s="673"/>
      <c r="E47" s="673"/>
      <c r="F47" s="673"/>
      <c r="G47" s="673"/>
      <c r="H47" s="673"/>
      <c r="I47" s="673"/>
      <c r="J47" s="673"/>
      <c r="K47" s="673"/>
      <c r="L47" s="673"/>
      <c r="M47" s="640"/>
    </row>
    <row r="50" spans="1:14" s="640" customFormat="1" ht="15.6">
      <c r="A50" s="643" t="s">
        <v>3024</v>
      </c>
      <c r="C50" s="704" t="s">
        <v>3025</v>
      </c>
      <c r="E50" s="705" t="s">
        <v>3500</v>
      </c>
      <c r="F50" s="706">
        <v>0.1</v>
      </c>
      <c r="G50" s="705" t="s">
        <v>3501</v>
      </c>
      <c r="H50" s="706">
        <v>0.05</v>
      </c>
      <c r="I50" s="705" t="s">
        <v>3502</v>
      </c>
      <c r="J50" s="706">
        <v>0.03</v>
      </c>
      <c r="K50" s="4074" t="s">
        <v>3026</v>
      </c>
      <c r="L50" s="4075"/>
      <c r="M50" s="26"/>
      <c r="N50" s="26"/>
    </row>
    <row r="51" spans="1:14" s="640" customFormat="1" ht="15.6">
      <c r="A51" s="643"/>
      <c r="C51" s="704"/>
      <c r="E51" s="704"/>
      <c r="F51" s="707"/>
      <c r="G51" s="704"/>
      <c r="H51" s="707"/>
      <c r="I51" s="704"/>
      <c r="J51" s="707"/>
      <c r="K51" s="704"/>
      <c r="M51" s="26"/>
      <c r="N51" s="26"/>
    </row>
    <row r="52" spans="1:14" s="640" customFormat="1" ht="18.75" customHeight="1">
      <c r="B52" s="708" t="s">
        <v>3027</v>
      </c>
      <c r="C52" s="709">
        <f>'Part VII-Pro Forma'!B14</f>
        <v>304704</v>
      </c>
      <c r="D52" s="709"/>
      <c r="E52" s="709">
        <f>$C$52</f>
        <v>304704</v>
      </c>
      <c r="F52" s="709"/>
      <c r="G52" s="709">
        <f>$C$52</f>
        <v>304704</v>
      </c>
      <c r="H52" s="709"/>
      <c r="I52" s="709">
        <f>$C$52</f>
        <v>304704</v>
      </c>
      <c r="J52" s="709"/>
      <c r="K52" s="709">
        <f>$C$52</f>
        <v>304704</v>
      </c>
      <c r="L52" s="710"/>
      <c r="M52" s="26"/>
      <c r="N52" s="26"/>
    </row>
    <row r="53" spans="1:14" s="640" customFormat="1" ht="18.75" customHeight="1">
      <c r="B53" s="708" t="s">
        <v>3030</v>
      </c>
      <c r="C53" s="709">
        <f>'Part VII-Pro Forma'!B15</f>
        <v>6094.08</v>
      </c>
      <c r="D53" s="709"/>
      <c r="E53" s="709">
        <f>$C$53</f>
        <v>6094.08</v>
      </c>
      <c r="F53" s="709"/>
      <c r="G53" s="709">
        <f>$C$53</f>
        <v>6094.08</v>
      </c>
      <c r="H53" s="709"/>
      <c r="I53" s="709">
        <f>$C$53</f>
        <v>6094.08</v>
      </c>
      <c r="J53" s="709"/>
      <c r="K53" s="709">
        <f>$C$53</f>
        <v>6094.08</v>
      </c>
      <c r="L53" s="710"/>
      <c r="M53" s="26"/>
      <c r="N53" s="26"/>
    </row>
    <row r="54" spans="1:14" s="640" customFormat="1" ht="18.75" customHeight="1">
      <c r="B54" s="708" t="s">
        <v>3028</v>
      </c>
      <c r="C54" s="709">
        <f>'Part VII-Pro Forma'!B16</f>
        <v>-21755.865600000005</v>
      </c>
      <c r="D54" s="709"/>
      <c r="E54" s="709">
        <f>-($C$52+E53)*F50</f>
        <v>-31079.808000000005</v>
      </c>
      <c r="F54" s="711"/>
      <c r="G54" s="709">
        <f>-($C$52+G53)*0.07</f>
        <v>-21755.865600000005</v>
      </c>
      <c r="H54" s="709"/>
      <c r="I54" s="709">
        <f>-($C$52+I53)*0.07</f>
        <v>-21755.865600000005</v>
      </c>
      <c r="J54" s="709"/>
      <c r="K54" s="709">
        <f>-($C$52+K53)*L54</f>
        <v>-31079.808000000005</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289042.2144</v>
      </c>
      <c r="D56" s="709"/>
      <c r="E56" s="715">
        <f>SUM(E52:E55)</f>
        <v>279718.272</v>
      </c>
      <c r="F56" s="709"/>
      <c r="G56" s="715">
        <f>SUM(G52:G55)</f>
        <v>289042.2144</v>
      </c>
      <c r="H56" s="709"/>
      <c r="I56" s="715">
        <f>SUM(I52:I55)</f>
        <v>289042.2144</v>
      </c>
      <c r="J56" s="709"/>
      <c r="K56" s="715">
        <f>SUM(K52:K55)</f>
        <v>279718.272</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83615</v>
      </c>
      <c r="D58" s="709"/>
      <c r="E58" s="709">
        <f>$C$58</f>
        <v>83615</v>
      </c>
      <c r="F58" s="709"/>
      <c r="G58" s="709">
        <f>$C$58</f>
        <v>83615</v>
      </c>
      <c r="H58" s="709"/>
      <c r="I58" s="709">
        <f>$C$58</f>
        <v>83615</v>
      </c>
      <c r="J58" s="709"/>
      <c r="K58" s="709">
        <f>$C$58</f>
        <v>83615</v>
      </c>
      <c r="L58" s="710"/>
      <c r="M58" s="26"/>
      <c r="N58" s="26"/>
    </row>
    <row r="59" spans="1:14" s="640" customFormat="1" ht="18.75" customHeight="1">
      <c r="B59" s="708" t="s">
        <v>3033</v>
      </c>
      <c r="C59" s="709">
        <f>+'Part VI-Revenues &amp; Expenses'!F239</f>
        <v>33000</v>
      </c>
      <c r="D59" s="709"/>
      <c r="E59" s="709">
        <f>$C$59</f>
        <v>33000</v>
      </c>
      <c r="F59" s="709"/>
      <c r="G59" s="709">
        <f>$C$59</f>
        <v>33000</v>
      </c>
      <c r="H59" s="709"/>
      <c r="I59" s="709">
        <f>$C$59</f>
        <v>33000</v>
      </c>
      <c r="J59" s="709"/>
      <c r="K59" s="709">
        <f>$C$59*(1+$L$59)</f>
        <v>34320</v>
      </c>
      <c r="L59" s="717">
        <v>0.04</v>
      </c>
      <c r="M59" s="26"/>
      <c r="N59" s="26"/>
    </row>
    <row r="60" spans="1:14" s="640" customFormat="1" ht="18.75" customHeight="1">
      <c r="B60" s="708" t="s">
        <v>1375</v>
      </c>
      <c r="C60" s="709">
        <f>+'Part VI-Revenues &amp; Expenses'!K236</f>
        <v>25100</v>
      </c>
      <c r="D60" s="709"/>
      <c r="E60" s="709">
        <f>$C$60</f>
        <v>25100</v>
      </c>
      <c r="F60" s="709"/>
      <c r="G60" s="709">
        <f>$C$60</f>
        <v>25100</v>
      </c>
      <c r="H60" s="709"/>
      <c r="I60" s="709">
        <f>$C$60*(1+$J$50)</f>
        <v>25853</v>
      </c>
      <c r="J60" s="711"/>
      <c r="K60" s="709">
        <f>$C$60*(1+$J$50)</f>
        <v>25853</v>
      </c>
      <c r="L60" s="712">
        <v>0.03</v>
      </c>
      <c r="M60" s="26"/>
      <c r="N60" s="26"/>
    </row>
    <row r="61" spans="1:14" s="640" customFormat="1" ht="18.75" customHeight="1">
      <c r="B61" s="708" t="s">
        <v>1376</v>
      </c>
      <c r="C61" s="709">
        <f>+'Part VI-Revenues &amp; Expenses'!P218</f>
        <v>51903</v>
      </c>
      <c r="D61" s="709"/>
      <c r="E61" s="709">
        <f>$C$61</f>
        <v>51903</v>
      </c>
      <c r="F61" s="709"/>
      <c r="G61" s="709">
        <f>$C$61*(1+H50)</f>
        <v>54498.15</v>
      </c>
      <c r="H61" s="711"/>
      <c r="I61" s="709">
        <f>$C$61</f>
        <v>51903</v>
      </c>
      <c r="J61" s="709"/>
      <c r="K61" s="709">
        <f>$C$61*(1+$L$61)</f>
        <v>54498.15</v>
      </c>
      <c r="L61" s="712">
        <v>0.05</v>
      </c>
      <c r="M61" s="26"/>
      <c r="N61" s="26"/>
    </row>
    <row r="62" spans="1:14" s="640" customFormat="1" ht="18.75" customHeight="1">
      <c r="B62" s="714" t="s">
        <v>3034</v>
      </c>
      <c r="C62" s="715">
        <f>SUM(C58:C61)</f>
        <v>193618</v>
      </c>
      <c r="D62" s="709"/>
      <c r="E62" s="715">
        <f>SUM(E58:E61)</f>
        <v>193618</v>
      </c>
      <c r="F62" s="709"/>
      <c r="G62" s="715">
        <f>SUM(G58:G61)</f>
        <v>196213.15</v>
      </c>
      <c r="H62" s="709"/>
      <c r="I62" s="715">
        <f>SUM(I58:I61)</f>
        <v>194371</v>
      </c>
      <c r="J62" s="709"/>
      <c r="K62" s="715">
        <f>SUM(K58:K61)</f>
        <v>198286.15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3035</v>
      </c>
      <c r="C64" s="721">
        <f>C56-C62</f>
        <v>95424.214399999997</v>
      </c>
      <c r="D64" s="721"/>
      <c r="E64" s="721">
        <f>E56-E62</f>
        <v>86100.271999999997</v>
      </c>
      <c r="F64" s="721"/>
      <c r="G64" s="721">
        <f>G56-G62</f>
        <v>92829.064400000003</v>
      </c>
      <c r="H64" s="721"/>
      <c r="I64" s="721">
        <f>I56-I62</f>
        <v>94671.214399999997</v>
      </c>
      <c r="J64" s="721"/>
      <c r="K64" s="721">
        <f>K56-K62</f>
        <v>81432.122000000003</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12000</v>
      </c>
      <c r="D66" s="716"/>
      <c r="E66" s="716">
        <f>$C$66</f>
        <v>12000</v>
      </c>
      <c r="F66" s="716"/>
      <c r="G66" s="716">
        <f>$C$66</f>
        <v>12000</v>
      </c>
      <c r="H66" s="716"/>
      <c r="I66" s="716">
        <f>$C$66</f>
        <v>12000</v>
      </c>
      <c r="J66" s="716"/>
      <c r="K66" s="716">
        <f>$C$66</f>
        <v>12000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23040</v>
      </c>
      <c r="D68" s="716"/>
      <c r="E68" s="716">
        <f>$C$68</f>
        <v>23040</v>
      </c>
      <c r="F68" s="716"/>
      <c r="G68" s="716">
        <f>$C$68</f>
        <v>23040</v>
      </c>
      <c r="H68" s="716"/>
      <c r="I68" s="716">
        <f>$C$68</f>
        <v>23040</v>
      </c>
      <c r="J68" s="716"/>
      <c r="K68" s="716">
        <f>$C$68</f>
        <v>23040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3038</v>
      </c>
      <c r="C70" s="724">
        <f>C64-C66-C68</f>
        <v>60384.214399999997</v>
      </c>
      <c r="D70" s="725"/>
      <c r="E70" s="724">
        <f>E64-E66-E68</f>
        <v>51060.271999999997</v>
      </c>
      <c r="F70" s="725"/>
      <c r="G70" s="724">
        <f>G64-G66-G68</f>
        <v>57789.064400000003</v>
      </c>
      <c r="H70" s="725"/>
      <c r="I70" s="724">
        <f>I64-I66-I68</f>
        <v>59631.214399999997</v>
      </c>
      <c r="J70" s="725"/>
      <c r="K70" s="724">
        <f>K64-K66-K68</f>
        <v>46392.122000000003</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4" t="e">
        <f>-C70/C75</f>
        <v>#DIV/0!</v>
      </c>
      <c r="D72" s="727"/>
      <c r="E72" s="1294" t="e">
        <f>-E70/E75</f>
        <v>#DIV/0!</v>
      </c>
      <c r="F72" s="727"/>
      <c r="G72" s="1294" t="e">
        <f>-G70/G75</f>
        <v>#DIV/0!</v>
      </c>
      <c r="H72" s="727"/>
      <c r="I72" s="1294" t="e">
        <f>-I70/I75</f>
        <v>#DIV/0!</v>
      </c>
      <c r="J72" s="727"/>
      <c r="K72" s="1294" t="e">
        <f>-K70/K75</f>
        <v>#DIV/0!</v>
      </c>
      <c r="L72" s="728"/>
      <c r="M72" s="246"/>
      <c r="N72" s="246"/>
    </row>
    <row r="73" spans="1:14" s="640" customFormat="1" ht="18.75" customHeight="1">
      <c r="A73" s="26"/>
      <c r="B73" s="708" t="s">
        <v>3040</v>
      </c>
      <c r="C73" s="1295">
        <f>C76/C62</f>
        <v>0.31187293743350308</v>
      </c>
      <c r="D73" s="729"/>
      <c r="E73" s="1295">
        <f>E76/E62</f>
        <v>0.26371655527895133</v>
      </c>
      <c r="F73" s="729"/>
      <c r="G73" s="1295">
        <f>G76/G62</f>
        <v>0.29452187276948566</v>
      </c>
      <c r="H73" s="729"/>
      <c r="I73" s="1295">
        <f>I76/I62</f>
        <v>0.30679069614294313</v>
      </c>
      <c r="J73" s="729"/>
      <c r="K73" s="1295">
        <f>K76/K62</f>
        <v>0.23396551902389554</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0</v>
      </c>
      <c r="D75" s="709"/>
      <c r="E75" s="709">
        <f>$C$75</f>
        <v>0</v>
      </c>
      <c r="F75" s="709"/>
      <c r="G75" s="709">
        <f>$C$75</f>
        <v>0</v>
      </c>
      <c r="H75" s="709"/>
      <c r="I75" s="709">
        <f>$C$75</f>
        <v>0</v>
      </c>
      <c r="J75" s="709"/>
      <c r="K75" s="709">
        <f>$C$75</f>
        <v>0</v>
      </c>
      <c r="L75" s="32"/>
      <c r="M75" s="26"/>
      <c r="N75" s="26"/>
    </row>
    <row r="76" spans="1:14" s="640" customFormat="1" ht="18.75" customHeight="1">
      <c r="A76" s="26"/>
      <c r="B76" s="708" t="s">
        <v>1164</v>
      </c>
      <c r="C76" s="709">
        <f>C70+C75</f>
        <v>60384.214399999997</v>
      </c>
      <c r="D76" s="709"/>
      <c r="E76" s="709">
        <f>E70+E75</f>
        <v>51060.271999999997</v>
      </c>
      <c r="F76" s="709"/>
      <c r="G76" s="709">
        <f>G70+G75</f>
        <v>57789.064400000003</v>
      </c>
      <c r="H76" s="709"/>
      <c r="I76" s="709">
        <f>I70+I75</f>
        <v>59631.214399999997</v>
      </c>
      <c r="J76" s="709"/>
      <c r="K76" s="709">
        <f>K70+K75</f>
        <v>46392.122000000003</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49"/>
    <col min="2" max="2" width="7.6640625" style="649" customWidth="1"/>
    <col min="3" max="3" width="14.6640625" style="649" customWidth="1"/>
    <col min="4" max="4" width="20.33203125" style="649" customWidth="1"/>
    <col min="5" max="5" width="8" style="649" customWidth="1"/>
    <col min="6" max="6" width="5.33203125" style="649" customWidth="1"/>
    <col min="7" max="7" width="5.44140625" style="649" customWidth="1"/>
    <col min="8" max="8" width="8.5546875" style="649" customWidth="1"/>
    <col min="9" max="9" width="28.5546875" style="649" customWidth="1"/>
    <col min="10" max="10" width="4.33203125" style="649" hidden="1" customWidth="1"/>
    <col min="11" max="11" width="9.33203125" style="649"/>
    <col min="12" max="12" width="16.33203125" style="649" customWidth="1"/>
    <col min="13" max="13" width="11.33203125" style="649" customWidth="1"/>
    <col min="14" max="14" width="10.6640625" style="649" bestFit="1" customWidth="1"/>
    <col min="15" max="15" width="28.5546875" style="649" customWidth="1"/>
    <col min="16" max="16384" width="9.33203125" style="649"/>
  </cols>
  <sheetData>
    <row r="2" spans="1:10">
      <c r="A2" s="646" t="s">
        <v>2928</v>
      </c>
      <c r="B2" s="647"/>
      <c r="C2" s="647"/>
      <c r="D2" s="647"/>
      <c r="E2" s="648"/>
      <c r="F2" s="647"/>
      <c r="G2" s="647"/>
      <c r="H2" s="647"/>
      <c r="I2" s="647"/>
      <c r="J2" s="647"/>
    </row>
    <row r="3" spans="1:10">
      <c r="A3" s="650"/>
    </row>
    <row r="4" spans="1:10">
      <c r="A4" s="650" t="s">
        <v>2929</v>
      </c>
      <c r="D4" s="649" t="s">
        <v>2930</v>
      </c>
    </row>
    <row r="5" spans="1:10">
      <c r="A5" s="650"/>
    </row>
    <row r="6" spans="1:10">
      <c r="A6" s="650" t="s">
        <v>2931</v>
      </c>
      <c r="D6" s="649" t="s">
        <v>2932</v>
      </c>
    </row>
    <row r="7" spans="1:10">
      <c r="A7" s="650"/>
    </row>
    <row r="8" spans="1:10">
      <c r="A8" s="650" t="s">
        <v>2933</v>
      </c>
      <c r="D8" s="651" t="s">
        <v>2934</v>
      </c>
    </row>
    <row r="9" spans="1:10">
      <c r="A9" s="650"/>
    </row>
    <row r="10" spans="1:10">
      <c r="A10" s="650" t="s">
        <v>2935</v>
      </c>
      <c r="D10" s="651" t="s">
        <v>2936</v>
      </c>
    </row>
    <row r="11" spans="1:10">
      <c r="A11" s="650"/>
      <c r="D11" s="2223"/>
    </row>
    <row r="12" spans="1:10">
      <c r="A12" s="650" t="s">
        <v>2937</v>
      </c>
      <c r="D12" s="649" t="s">
        <v>617</v>
      </c>
      <c r="F12" s="2223" t="str">
        <f>Overview!$C$8</f>
        <v>Dulles Park II</v>
      </c>
    </row>
    <row r="13" spans="1:10">
      <c r="A13" s="650"/>
      <c r="D13" s="649" t="s">
        <v>2938</v>
      </c>
      <c r="F13" s="2223" t="str">
        <f>Overview!E8</f>
        <v>2019-060</v>
      </c>
    </row>
    <row r="14" spans="1:10">
      <c r="A14" s="650"/>
      <c r="D14" s="649" t="s">
        <v>2939</v>
      </c>
      <c r="F14" s="2223" t="str">
        <f>Overview!H8</f>
        <v>Gray, Jones</v>
      </c>
    </row>
    <row r="15" spans="1:10">
      <c r="A15" s="650"/>
      <c r="D15" s="649" t="s">
        <v>3303</v>
      </c>
      <c r="F15" s="4088">
        <f>Overview!$C$25</f>
        <v>0</v>
      </c>
      <c r="G15" s="4088"/>
      <c r="H15" s="4088"/>
    </row>
    <row r="16" spans="1:10">
      <c r="A16" s="650"/>
      <c r="D16" s="652" t="s">
        <v>2940</v>
      </c>
      <c r="F16" s="653">
        <f>Overview!C13</f>
        <v>48</v>
      </c>
      <c r="G16" s="654" t="s">
        <v>3304</v>
      </c>
      <c r="H16" s="1249">
        <f>Overview!E13</f>
        <v>48</v>
      </c>
    </row>
    <row r="17" spans="1:18">
      <c r="A17" s="650"/>
      <c r="D17" s="652" t="s">
        <v>2904</v>
      </c>
      <c r="F17" s="653" t="str">
        <f>Overview!C14</f>
        <v>HFOP</v>
      </c>
    </row>
    <row r="18" spans="1:18">
      <c r="A18" s="650"/>
      <c r="D18" s="652" t="s">
        <v>3308</v>
      </c>
      <c r="F18" s="2223" t="str">
        <f>Overview!H15</f>
        <v>Rural</v>
      </c>
    </row>
    <row r="19" spans="1:18">
      <c r="A19" s="650"/>
      <c r="D19" s="652" t="s">
        <v>3305</v>
      </c>
      <c r="F19" s="2223" t="str">
        <f>Overview!E16</f>
        <v>No</v>
      </c>
    </row>
    <row r="20" spans="1:18">
      <c r="A20" s="650"/>
      <c r="D20" s="652"/>
    </row>
    <row r="21" spans="1:18">
      <c r="A21" s="655" t="s">
        <v>2941</v>
      </c>
    </row>
    <row r="22" spans="1:18" ht="111.75" customHeight="1">
      <c r="A22" s="4077" t="s">
        <v>3498</v>
      </c>
      <c r="B22" s="4077"/>
      <c r="C22" s="4077"/>
      <c r="D22" s="4077"/>
      <c r="E22" s="4077"/>
      <c r="F22" s="4077"/>
      <c r="G22" s="4077"/>
      <c r="H22" s="4077"/>
      <c r="I22" s="4077"/>
      <c r="J22" s="4077"/>
      <c r="K22" s="4076" t="s">
        <v>5060</v>
      </c>
      <c r="L22" s="4076"/>
      <c r="M22" s="4076"/>
      <c r="N22" s="4076"/>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78"/>
      <c r="B24" s="4078"/>
      <c r="C24" s="4078"/>
      <c r="D24" s="4078"/>
      <c r="E24" s="4078"/>
      <c r="F24" s="4078"/>
      <c r="G24" s="4078"/>
      <c r="H24" s="4078"/>
      <c r="I24" s="4078"/>
      <c r="J24" s="4078"/>
    </row>
    <row r="25" spans="1:18" ht="10.5" hidden="1" customHeight="1">
      <c r="A25" s="4079"/>
      <c r="B25" s="4079"/>
      <c r="C25" s="4079"/>
      <c r="D25" s="4079"/>
      <c r="E25" s="4079"/>
      <c r="F25" s="4079"/>
      <c r="G25" s="4079"/>
      <c r="H25" s="4079"/>
      <c r="I25" s="4079"/>
      <c r="J25" s="4079"/>
    </row>
    <row r="26" spans="1:18">
      <c r="A26" s="655" t="s">
        <v>2942</v>
      </c>
    </row>
    <row r="27" spans="1:18" ht="14.25" customHeight="1">
      <c r="A27" s="4080" t="s">
        <v>2943</v>
      </c>
      <c r="B27" s="4080"/>
      <c r="C27" s="4080"/>
      <c r="D27" s="4080"/>
      <c r="E27" s="4080"/>
      <c r="F27" s="4080"/>
      <c r="G27" s="4080"/>
      <c r="H27" s="4080"/>
      <c r="I27" s="4080"/>
      <c r="J27" s="4080"/>
    </row>
    <row r="28" spans="1:18" ht="14.25" customHeight="1">
      <c r="A28" s="4080"/>
      <c r="B28" s="4080"/>
      <c r="C28" s="4080"/>
      <c r="D28" s="4080"/>
      <c r="E28" s="4080"/>
      <c r="F28" s="4080"/>
      <c r="G28" s="4080"/>
      <c r="H28" s="4080"/>
      <c r="I28" s="4080"/>
      <c r="J28" s="4080"/>
    </row>
    <row r="29" spans="1:18" ht="6.75" customHeight="1">
      <c r="A29" s="4080"/>
      <c r="B29" s="4080"/>
      <c r="C29" s="4080"/>
      <c r="D29" s="4080"/>
      <c r="E29" s="4080"/>
      <c r="F29" s="4080"/>
      <c r="G29" s="4080"/>
      <c r="H29" s="4080"/>
      <c r="I29" s="4080"/>
      <c r="J29" s="4080"/>
    </row>
    <row r="30" spans="1:18" ht="14.25" customHeight="1">
      <c r="A30" s="4080"/>
      <c r="B30" s="4080"/>
      <c r="C30" s="4080"/>
      <c r="D30" s="4080"/>
      <c r="E30" s="4080"/>
      <c r="F30" s="4080"/>
      <c r="G30" s="4080"/>
      <c r="H30" s="4080"/>
      <c r="I30" s="4080"/>
      <c r="J30" s="4080"/>
    </row>
    <row r="31" spans="1:18" ht="14.25" customHeight="1">
      <c r="A31" s="4080"/>
      <c r="B31" s="4080"/>
      <c r="C31" s="4080"/>
      <c r="D31" s="4080"/>
      <c r="E31" s="4080"/>
      <c r="F31" s="4080"/>
      <c r="G31" s="4080"/>
      <c r="H31" s="4080"/>
      <c r="I31" s="4080"/>
      <c r="J31" s="4080"/>
    </row>
    <row r="32" spans="1:18" ht="54.75" customHeight="1">
      <c r="A32" s="4080"/>
      <c r="B32" s="4080"/>
      <c r="C32" s="4080"/>
      <c r="D32" s="4080"/>
      <c r="E32" s="4080"/>
      <c r="F32" s="4080"/>
      <c r="G32" s="4080"/>
      <c r="H32" s="4080"/>
      <c r="I32" s="4080"/>
      <c r="J32" s="4080"/>
    </row>
    <row r="33" spans="1:10" ht="0.75" hidden="1" customHeight="1">
      <c r="A33" s="4080"/>
      <c r="B33" s="4080"/>
      <c r="C33" s="4080"/>
      <c r="D33" s="4080"/>
      <c r="E33" s="4080"/>
      <c r="F33" s="4080"/>
      <c r="G33" s="4080"/>
      <c r="H33" s="4080"/>
      <c r="I33" s="4080"/>
      <c r="J33" s="4080"/>
    </row>
    <row r="34" spans="1:10" ht="3.75" hidden="1" customHeight="1">
      <c r="A34" s="4080"/>
      <c r="B34" s="4080"/>
      <c r="C34" s="4080"/>
      <c r="D34" s="4080"/>
      <c r="E34" s="4080"/>
      <c r="F34" s="4080"/>
      <c r="G34" s="4080"/>
      <c r="H34" s="4080"/>
      <c r="I34" s="4080"/>
      <c r="J34" s="4080"/>
    </row>
    <row r="35" spans="1:10" ht="5.25" customHeight="1">
      <c r="A35" s="2219"/>
      <c r="B35" s="2219"/>
      <c r="C35" s="2219"/>
      <c r="D35" s="2219"/>
      <c r="E35" s="2219"/>
      <c r="F35" s="2219"/>
      <c r="G35" s="2219"/>
      <c r="H35" s="2219"/>
      <c r="I35" s="2219"/>
      <c r="J35" s="2219"/>
    </row>
    <row r="36" spans="1:10" ht="19.5" customHeight="1">
      <c r="A36" s="4078" t="s">
        <v>2944</v>
      </c>
      <c r="B36" s="4078"/>
      <c r="C36" s="4078"/>
      <c r="D36" s="2217"/>
      <c r="E36" s="2217"/>
      <c r="F36" s="2217"/>
      <c r="G36" s="2217"/>
      <c r="H36" s="2217"/>
      <c r="I36" s="2217"/>
      <c r="J36" s="2217"/>
    </row>
    <row r="37" spans="1:10" ht="15" customHeight="1">
      <c r="A37" s="4064"/>
      <c r="B37" s="4064"/>
      <c r="C37" s="4064"/>
      <c r="D37" s="4064"/>
      <c r="E37" s="4064"/>
      <c r="F37" s="4064"/>
      <c r="G37" s="4064"/>
      <c r="H37" s="4064"/>
      <c r="I37" s="4064"/>
      <c r="J37" s="4064"/>
    </row>
    <row r="38" spans="1:10" ht="33.75" customHeight="1">
      <c r="A38" s="4064"/>
      <c r="B38" s="4064"/>
      <c r="C38" s="4064"/>
      <c r="D38" s="4064"/>
      <c r="E38" s="4064"/>
      <c r="F38" s="4064"/>
      <c r="G38" s="4064"/>
      <c r="H38" s="4064"/>
      <c r="I38" s="4064"/>
      <c r="J38" s="4064"/>
    </row>
    <row r="39" spans="1:10" ht="2.25" customHeight="1">
      <c r="A39" s="2217"/>
      <c r="B39" s="2217"/>
      <c r="C39" s="2217"/>
      <c r="D39" s="2217"/>
      <c r="E39" s="2217"/>
      <c r="F39" s="2217"/>
      <c r="G39" s="2217"/>
      <c r="H39" s="2217"/>
      <c r="I39" s="2217"/>
      <c r="J39" s="2217"/>
    </row>
    <row r="40" spans="1:10">
      <c r="A40" s="655" t="s">
        <v>2945</v>
      </c>
    </row>
    <row r="41" spans="1:10" ht="135" customHeight="1">
      <c r="A41" s="4079" t="s">
        <v>5057</v>
      </c>
      <c r="B41" s="4079"/>
      <c r="C41" s="4079"/>
      <c r="D41" s="4079"/>
      <c r="E41" s="4079"/>
      <c r="F41" s="4079"/>
      <c r="G41" s="4079"/>
      <c r="H41" s="4079"/>
      <c r="I41" s="4079"/>
      <c r="J41" s="4079"/>
    </row>
    <row r="42" spans="1:10" ht="6" customHeight="1">
      <c r="A42" s="2218"/>
      <c r="B42" s="2218"/>
      <c r="C42" s="2218"/>
      <c r="D42" s="2218"/>
      <c r="E42" s="2218"/>
      <c r="F42" s="2218"/>
      <c r="G42" s="2218"/>
      <c r="H42" s="2218"/>
      <c r="I42" s="2218"/>
      <c r="J42" s="2218"/>
    </row>
    <row r="43" spans="1:10">
      <c r="A43" s="655" t="s">
        <v>2946</v>
      </c>
    </row>
    <row r="44" spans="1:10" ht="33" customHeight="1">
      <c r="A44" s="4064" t="s">
        <v>4239</v>
      </c>
      <c r="B44" s="4066"/>
      <c r="C44" s="4066"/>
      <c r="D44" s="4066"/>
      <c r="E44" s="4066"/>
      <c r="F44" s="4066"/>
      <c r="G44" s="4066"/>
      <c r="H44" s="4066"/>
      <c r="I44" s="4066"/>
      <c r="J44" s="4064"/>
    </row>
    <row r="45" spans="1:10" ht="3" customHeight="1"/>
    <row r="46" spans="1:10" ht="72.75" customHeight="1">
      <c r="A46" s="4064" t="s">
        <v>4240</v>
      </c>
      <c r="B46" s="4064"/>
      <c r="C46" s="4064"/>
      <c r="D46" s="4064"/>
      <c r="E46" s="4064"/>
      <c r="F46" s="4064"/>
      <c r="G46" s="4064"/>
      <c r="H46" s="4064"/>
      <c r="I46" s="4064"/>
      <c r="J46" s="4064"/>
    </row>
    <row r="47" spans="1:10" ht="3" customHeight="1">
      <c r="A47" s="2217"/>
      <c r="B47" s="2217"/>
      <c r="C47" s="2217"/>
      <c r="D47" s="2217"/>
      <c r="E47" s="2217"/>
      <c r="F47" s="2217"/>
      <c r="G47" s="2217"/>
      <c r="H47" s="2217"/>
      <c r="I47" s="2217"/>
      <c r="J47" s="2217"/>
    </row>
    <row r="48" spans="1:10" ht="56.25" customHeight="1">
      <c r="A48" s="4064" t="s">
        <v>4241</v>
      </c>
      <c r="B48" s="4064"/>
      <c r="C48" s="4064"/>
      <c r="D48" s="4064"/>
      <c r="E48" s="4064"/>
      <c r="F48" s="4064"/>
      <c r="G48" s="4064"/>
      <c r="H48" s="4064"/>
      <c r="I48" s="4064"/>
      <c r="J48" s="4064"/>
    </row>
    <row r="49" spans="1:17" ht="3" customHeight="1">
      <c r="A49" s="2217"/>
      <c r="B49" s="2217"/>
      <c r="C49" s="2217"/>
      <c r="D49" s="2217"/>
      <c r="E49" s="2217"/>
      <c r="F49" s="2217"/>
      <c r="G49" s="2217"/>
      <c r="H49" s="2217"/>
      <c r="I49" s="2217"/>
      <c r="J49" s="2217"/>
    </row>
    <row r="50" spans="1:17" ht="49.5" customHeight="1">
      <c r="A50" s="4064" t="s">
        <v>4242</v>
      </c>
      <c r="B50" s="4064"/>
      <c r="C50" s="4064"/>
      <c r="D50" s="4064"/>
      <c r="E50" s="4064"/>
      <c r="F50" s="4064"/>
      <c r="G50" s="4064"/>
      <c r="H50" s="4064"/>
      <c r="I50" s="4064"/>
      <c r="J50" s="2217"/>
    </row>
    <row r="51" spans="1:17" ht="3" customHeight="1">
      <c r="A51" s="2217"/>
      <c r="B51" s="2217"/>
      <c r="C51" s="2217"/>
      <c r="D51" s="2217"/>
      <c r="E51" s="2217"/>
      <c r="F51" s="2217"/>
      <c r="G51" s="2217"/>
      <c r="H51" s="2217"/>
      <c r="I51" s="2217"/>
      <c r="J51" s="2217"/>
    </row>
    <row r="52" spans="1:17" ht="54.75" customHeight="1">
      <c r="A52" s="4093" t="s">
        <v>3313</v>
      </c>
      <c r="B52" s="4083"/>
      <c r="C52" s="4083"/>
      <c r="D52" s="4083"/>
      <c r="E52" s="4083"/>
      <c r="F52" s="4083"/>
      <c r="G52" s="4083"/>
      <c r="H52" s="4083"/>
      <c r="I52" s="4083"/>
      <c r="J52" s="2217"/>
    </row>
    <row r="53" spans="1:17" ht="3" customHeight="1">
      <c r="A53" s="2217"/>
      <c r="B53" s="2217"/>
      <c r="C53" s="2217"/>
      <c r="D53" s="2217"/>
      <c r="E53" s="2217"/>
      <c r="F53" s="2217"/>
      <c r="G53" s="2217"/>
      <c r="H53" s="2217"/>
      <c r="I53" s="2217"/>
      <c r="J53" s="2217"/>
    </row>
    <row r="54" spans="1:17" ht="62.25" customHeight="1">
      <c r="A54" s="4083" t="s">
        <v>4243</v>
      </c>
      <c r="B54" s="4083"/>
      <c r="C54" s="4083"/>
      <c r="D54" s="4083"/>
      <c r="E54" s="4083"/>
      <c r="F54" s="4083"/>
      <c r="G54" s="4083"/>
      <c r="H54" s="4083"/>
      <c r="I54" s="4083"/>
      <c r="J54" s="4083"/>
    </row>
    <row r="55" spans="1:17" ht="3" customHeight="1"/>
    <row r="56" spans="1:17" ht="73.5" customHeight="1">
      <c r="A56" s="4064" t="s">
        <v>4244</v>
      </c>
      <c r="B56" s="4064"/>
      <c r="C56" s="4064"/>
      <c r="D56" s="4064"/>
      <c r="E56" s="4064"/>
      <c r="F56" s="4064"/>
      <c r="G56" s="4064"/>
      <c r="H56" s="4064"/>
      <c r="I56" s="4064"/>
      <c r="J56" s="4064"/>
    </row>
    <row r="57" spans="1:17" ht="6" customHeight="1">
      <c r="A57" s="2217" t="s">
        <v>243</v>
      </c>
      <c r="B57" s="2217"/>
      <c r="C57" s="2217"/>
      <c r="D57" s="2217"/>
      <c r="E57" s="2217"/>
      <c r="F57" s="2217"/>
      <c r="G57" s="2217"/>
      <c r="H57" s="2217"/>
      <c r="I57" s="2217"/>
      <c r="J57" s="2217"/>
    </row>
    <row r="58" spans="1:17">
      <c r="A58" s="655" t="s">
        <v>2949</v>
      </c>
      <c r="L58" s="656" t="s">
        <v>3490</v>
      </c>
    </row>
    <row r="59" spans="1:17" ht="73.5" customHeight="1">
      <c r="A59" s="4077" t="s">
        <v>2950</v>
      </c>
      <c r="B59" s="4077"/>
      <c r="C59" s="4077"/>
      <c r="D59" s="4077"/>
      <c r="E59" s="4077"/>
      <c r="F59" s="4077"/>
      <c r="G59" s="4077"/>
      <c r="H59" s="4077"/>
      <c r="I59" s="4077"/>
      <c r="J59" s="4077"/>
      <c r="L59" s="657">
        <f>'Closing term sheet'!C133</f>
        <v>545817.5</v>
      </c>
      <c r="M59" s="658"/>
      <c r="N59" s="658"/>
      <c r="O59" s="658"/>
    </row>
    <row r="60" spans="1:17" ht="7.5" customHeight="1">
      <c r="A60" s="2217"/>
      <c r="B60" s="2217"/>
      <c r="C60" s="2217"/>
      <c r="D60" s="2217"/>
      <c r="E60" s="2217"/>
      <c r="F60" s="2217"/>
      <c r="G60" s="2217"/>
      <c r="H60" s="2217"/>
      <c r="I60" s="2217"/>
      <c r="J60" s="2217"/>
      <c r="L60" s="659" t="s">
        <v>3491</v>
      </c>
      <c r="M60" s="660" t="s">
        <v>3496</v>
      </c>
      <c r="N60" s="661" t="s">
        <v>3493</v>
      </c>
      <c r="O60" s="659" t="s">
        <v>3492</v>
      </c>
      <c r="P60" s="660" t="s">
        <v>3495</v>
      </c>
      <c r="Q60" s="661" t="s">
        <v>3494</v>
      </c>
    </row>
    <row r="61" spans="1:17" ht="78.75" customHeight="1">
      <c r="A61" s="4083" t="s">
        <v>3390</v>
      </c>
      <c r="B61" s="4083"/>
      <c r="C61" s="4083"/>
      <c r="D61" s="4083"/>
      <c r="E61" s="4083"/>
      <c r="F61" s="4083"/>
      <c r="G61" s="4083"/>
      <c r="H61" s="4083"/>
      <c r="I61" s="4083"/>
      <c r="J61" s="662"/>
      <c r="L61" s="663">
        <f>'Part III-Sources of Funds'!I49</f>
        <v>6234255</v>
      </c>
      <c r="M61" s="664">
        <f>'Part IV-A-Uses of Funds'!$J$175</f>
        <v>741000</v>
      </c>
      <c r="N61" s="665">
        <f>'Part IV-A-Uses of Funds'!N168</f>
        <v>0.85</v>
      </c>
      <c r="O61" s="663">
        <f>'Part III-Sources of Funds'!I50</f>
        <v>2767635</v>
      </c>
      <c r="P61" s="664">
        <f>M61</f>
        <v>741000</v>
      </c>
      <c r="Q61" s="665">
        <f>'Part IV-A-Uses of Funds'!Q168</f>
        <v>0.36499999999999999</v>
      </c>
    </row>
    <row r="62" spans="1:17" ht="18.75" customHeight="1">
      <c r="A62" s="666" t="s">
        <v>2951</v>
      </c>
    </row>
    <row r="63" spans="1:17" ht="159.75" customHeight="1">
      <c r="A63" s="4083" t="s">
        <v>4245</v>
      </c>
      <c r="B63" s="4083"/>
      <c r="C63" s="4083"/>
      <c r="D63" s="4083"/>
      <c r="E63" s="4083"/>
      <c r="F63" s="4083"/>
      <c r="G63" s="4083"/>
      <c r="H63" s="4083"/>
      <c r="I63" s="4083"/>
      <c r="J63" s="4083"/>
      <c r="L63" s="667" t="str">
        <f>'Part VII-Pro Forma'!K71</f>
        <v/>
      </c>
      <c r="M63" s="4081" t="s">
        <v>3497</v>
      </c>
      <c r="N63" s="4082"/>
    </row>
    <row r="64" spans="1:17" ht="6" customHeight="1">
      <c r="A64" s="655"/>
    </row>
    <row r="65" spans="1:10">
      <c r="A65" s="655" t="s">
        <v>2952</v>
      </c>
    </row>
    <row r="66" spans="1:10" ht="66.75" customHeight="1">
      <c r="A66" s="4083" t="s">
        <v>2953</v>
      </c>
      <c r="B66" s="4083"/>
      <c r="C66" s="4083"/>
      <c r="D66" s="4083"/>
      <c r="E66" s="4083"/>
      <c r="F66" s="4083"/>
      <c r="G66" s="4083"/>
      <c r="H66" s="4083"/>
      <c r="I66" s="4083"/>
      <c r="J66" s="4083"/>
    </row>
    <row r="67" spans="1:10" ht="36" customHeight="1">
      <c r="A67" s="4083" t="s">
        <v>2954</v>
      </c>
      <c r="B67" s="4083"/>
      <c r="C67" s="4083"/>
      <c r="D67" s="4083"/>
      <c r="E67" s="4083"/>
      <c r="F67" s="4083"/>
      <c r="G67" s="4083"/>
      <c r="H67" s="4083"/>
      <c r="I67" s="4083"/>
      <c r="J67" s="4083"/>
    </row>
    <row r="68" spans="1:10" ht="6" customHeight="1">
      <c r="A68" s="655"/>
    </row>
    <row r="69" spans="1:10">
      <c r="A69" s="655" t="s">
        <v>2955</v>
      </c>
    </row>
    <row r="70" spans="1:10" ht="105.75" customHeight="1">
      <c r="A70" s="4064" t="s">
        <v>2956</v>
      </c>
      <c r="B70" s="4064"/>
      <c r="C70" s="4064"/>
      <c r="D70" s="4064"/>
      <c r="E70" s="4064"/>
      <c r="F70" s="4064"/>
      <c r="G70" s="4064"/>
      <c r="H70" s="4064"/>
      <c r="I70" s="4064"/>
      <c r="J70" s="4064"/>
    </row>
    <row r="71" spans="1:10" ht="6" customHeight="1">
      <c r="A71" s="655"/>
    </row>
    <row r="72" spans="1:10">
      <c r="A72" s="655" t="s">
        <v>2957</v>
      </c>
    </row>
    <row r="73" spans="1:10" ht="66" customHeight="1">
      <c r="A73" s="4064" t="s">
        <v>2958</v>
      </c>
      <c r="B73" s="4064"/>
      <c r="C73" s="4064"/>
      <c r="D73" s="4064"/>
      <c r="E73" s="4064"/>
      <c r="F73" s="4064"/>
      <c r="G73" s="4064"/>
      <c r="H73" s="4064"/>
      <c r="I73" s="4064"/>
      <c r="J73" s="4064"/>
    </row>
    <row r="74" spans="1:10" s="2219" customFormat="1" ht="6" customHeight="1">
      <c r="A74" s="4064"/>
      <c r="B74" s="4064"/>
      <c r="C74" s="4064"/>
      <c r="D74" s="4064"/>
      <c r="E74" s="4064"/>
      <c r="F74" s="4064"/>
      <c r="G74" s="4064"/>
      <c r="H74" s="4064"/>
      <c r="I74" s="4064"/>
      <c r="J74" s="4064"/>
    </row>
    <row r="75" spans="1:10" ht="16.5" customHeight="1">
      <c r="A75" s="2221" t="s">
        <v>2959</v>
      </c>
      <c r="B75" s="654"/>
      <c r="C75" s="654"/>
      <c r="D75" s="2223"/>
      <c r="E75" s="654"/>
      <c r="F75" s="654"/>
      <c r="G75" s="654"/>
      <c r="H75" s="654"/>
      <c r="I75" s="654"/>
      <c r="J75" s="668"/>
    </row>
    <row r="76" spans="1:10" s="2219" customFormat="1" ht="63" customHeight="1">
      <c r="A76" s="4064" t="s">
        <v>4456</v>
      </c>
      <c r="B76" s="4064"/>
      <c r="C76" s="4064"/>
      <c r="D76" s="4064"/>
      <c r="E76" s="4064"/>
      <c r="F76" s="4064"/>
      <c r="G76" s="4064"/>
      <c r="H76" s="4064"/>
      <c r="I76" s="4064"/>
      <c r="J76" s="4064"/>
    </row>
    <row r="77" spans="1:10" s="2219" customFormat="1" ht="6" customHeight="1">
      <c r="A77" s="2217"/>
      <c r="B77" s="2217"/>
      <c r="C77" s="2217"/>
      <c r="D77" s="2217"/>
      <c r="E77" s="2217"/>
      <c r="F77" s="2217"/>
      <c r="G77" s="2217"/>
      <c r="H77" s="2217"/>
      <c r="I77" s="2217"/>
      <c r="J77" s="2217"/>
    </row>
    <row r="78" spans="1:10" ht="16.5" customHeight="1">
      <c r="A78" s="4085" t="s">
        <v>2960</v>
      </c>
      <c r="B78" s="4086"/>
      <c r="C78" s="4086"/>
      <c r="D78" s="654"/>
      <c r="E78" s="654"/>
      <c r="F78" s="654"/>
      <c r="G78" s="654"/>
      <c r="H78" s="654"/>
      <c r="I78" s="654"/>
      <c r="J78" s="668"/>
    </row>
    <row r="79" spans="1:10" ht="41.25" customHeight="1">
      <c r="A79" s="4083" t="s">
        <v>4246</v>
      </c>
      <c r="B79" s="4087"/>
      <c r="C79" s="4087"/>
      <c r="D79" s="4087"/>
      <c r="E79" s="4087"/>
      <c r="F79" s="4087"/>
      <c r="G79" s="4087"/>
      <c r="H79" s="4087"/>
      <c r="I79" s="4087"/>
      <c r="J79" s="4087"/>
    </row>
    <row r="80" spans="1:10" ht="6" customHeight="1">
      <c r="A80" s="669"/>
      <c r="B80" s="654"/>
      <c r="C80" s="654"/>
      <c r="D80" s="654"/>
      <c r="E80" s="654"/>
      <c r="F80" s="654"/>
      <c r="G80" s="654"/>
      <c r="H80" s="654"/>
      <c r="I80" s="654"/>
      <c r="J80" s="668"/>
    </row>
    <row r="81" spans="1:15">
      <c r="A81" s="655" t="s">
        <v>2961</v>
      </c>
    </row>
    <row r="82" spans="1:15" ht="139.5" customHeight="1">
      <c r="A82" s="4083" t="s">
        <v>2962</v>
      </c>
      <c r="B82" s="4083"/>
      <c r="C82" s="4083"/>
      <c r="D82" s="4083"/>
      <c r="E82" s="4083"/>
      <c r="F82" s="4083"/>
      <c r="G82" s="4083"/>
      <c r="H82" s="4083"/>
      <c r="I82" s="4083"/>
      <c r="J82" s="4083"/>
      <c r="L82" s="4076" t="s">
        <v>2963</v>
      </c>
      <c r="M82" s="4076"/>
      <c r="N82" s="4076"/>
    </row>
    <row r="83" spans="1:15" ht="6" customHeight="1">
      <c r="A83" s="2220"/>
      <c r="B83" s="2220"/>
      <c r="C83" s="2220"/>
      <c r="D83" s="2220"/>
      <c r="E83" s="2220"/>
      <c r="F83" s="2220"/>
      <c r="G83" s="2220"/>
      <c r="H83" s="2220"/>
      <c r="I83" s="2220"/>
      <c r="J83" s="2220"/>
      <c r="L83" s="2222"/>
      <c r="M83" s="2222"/>
      <c r="N83" s="2222"/>
    </row>
    <row r="84" spans="1:15" ht="17.25" customHeight="1">
      <c r="A84" s="655" t="s">
        <v>2964</v>
      </c>
    </row>
    <row r="85" spans="1:15" ht="111" customHeight="1">
      <c r="A85" s="4083" t="s">
        <v>2965</v>
      </c>
      <c r="B85" s="4083"/>
      <c r="C85" s="4083"/>
      <c r="D85" s="4083"/>
      <c r="E85" s="4083"/>
      <c r="F85" s="4083"/>
      <c r="G85" s="4083"/>
      <c r="H85" s="4083"/>
      <c r="I85" s="4083"/>
      <c r="J85" s="4083"/>
      <c r="L85" s="4076" t="s">
        <v>2966</v>
      </c>
      <c r="M85" s="4076"/>
      <c r="N85" s="670" t="e">
        <f>'After-Tax Analysis'!G66</f>
        <v>#VALUE!</v>
      </c>
      <c r="O85" s="671" t="s">
        <v>2967</v>
      </c>
    </row>
    <row r="86" spans="1:15" ht="6" customHeight="1">
      <c r="A86" s="655"/>
    </row>
    <row r="87" spans="1:15">
      <c r="A87" s="655" t="s">
        <v>2968</v>
      </c>
    </row>
    <row r="88" spans="1:15" ht="118.5" customHeight="1">
      <c r="A88" s="4064" t="s">
        <v>2969</v>
      </c>
      <c r="B88" s="4064"/>
      <c r="C88" s="4064"/>
      <c r="D88" s="4064"/>
      <c r="E88" s="4064"/>
      <c r="F88" s="4064"/>
      <c r="G88" s="4064"/>
      <c r="H88" s="4064"/>
      <c r="I88" s="4064"/>
      <c r="J88" s="4064"/>
    </row>
    <row r="89" spans="1:15" ht="20.25" customHeight="1">
      <c r="A89" s="4066" t="s">
        <v>2970</v>
      </c>
      <c r="B89" s="4066"/>
      <c r="C89" s="4066"/>
      <c r="D89" s="4064"/>
      <c r="E89" s="2217"/>
      <c r="F89" s="2217"/>
      <c r="G89" s="2217"/>
      <c r="H89" s="2217"/>
      <c r="I89" s="2217"/>
      <c r="J89" s="2217"/>
    </row>
    <row r="90" spans="1:15" ht="109.5" customHeight="1">
      <c r="A90" s="4090" t="s">
        <v>2971</v>
      </c>
      <c r="B90" s="4091"/>
      <c r="C90" s="4091"/>
      <c r="D90" s="4091"/>
      <c r="E90" s="4091"/>
      <c r="F90" s="4091"/>
      <c r="G90" s="4091"/>
      <c r="H90" s="4091"/>
      <c r="I90" s="4091"/>
      <c r="J90" s="4091"/>
    </row>
    <row r="91" spans="1:15" ht="11.25" customHeight="1">
      <c r="A91" s="655"/>
    </row>
    <row r="92" spans="1:15">
      <c r="A92" s="655" t="s">
        <v>2972</v>
      </c>
    </row>
    <row r="93" spans="1:15" ht="122.25" customHeight="1">
      <c r="A93" s="4077" t="s">
        <v>2973</v>
      </c>
      <c r="B93" s="4077"/>
      <c r="C93" s="4077"/>
      <c r="D93" s="4077"/>
      <c r="E93" s="4077"/>
      <c r="F93" s="4077"/>
      <c r="G93" s="4077"/>
      <c r="H93" s="4077"/>
      <c r="I93" s="4077"/>
      <c r="J93" s="4077"/>
      <c r="L93" s="1253" t="str">
        <f>'Part VII-Pro Forma'!K71</f>
        <v/>
      </c>
      <c r="M93" s="4084" t="s">
        <v>2974</v>
      </c>
      <c r="N93" s="4084"/>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66" t="s">
        <v>2975</v>
      </c>
      <c r="B97" s="4066"/>
      <c r="C97" s="4066"/>
      <c r="D97" s="2217"/>
      <c r="E97" s="2217"/>
      <c r="F97" s="2217"/>
      <c r="G97" s="2217"/>
      <c r="H97" s="2217"/>
      <c r="I97" s="2217"/>
      <c r="J97" s="668"/>
    </row>
    <row r="98" spans="1:10" ht="37.5" customHeight="1">
      <c r="A98" s="4083" t="s">
        <v>2976</v>
      </c>
      <c r="B98" s="4083"/>
      <c r="C98" s="4083"/>
      <c r="D98" s="4083"/>
      <c r="E98" s="4083"/>
      <c r="F98" s="4083"/>
      <c r="G98" s="4083"/>
      <c r="H98" s="4083"/>
      <c r="I98" s="4083"/>
      <c r="J98" s="4083"/>
    </row>
    <row r="99" spans="1:10" ht="6" customHeight="1">
      <c r="A99" s="655"/>
    </row>
    <row r="100" spans="1:10">
      <c r="A100" s="655" t="s">
        <v>2977</v>
      </c>
    </row>
    <row r="101" spans="1:10" ht="43.5" customHeight="1">
      <c r="A101" s="4064" t="s">
        <v>2978</v>
      </c>
      <c r="B101" s="4064"/>
      <c r="C101" s="4064"/>
      <c r="D101" s="4064"/>
      <c r="E101" s="4064"/>
      <c r="F101" s="4064"/>
      <c r="G101" s="4064"/>
      <c r="H101" s="4064"/>
      <c r="I101" s="4064"/>
      <c r="J101" s="4064"/>
    </row>
    <row r="102" spans="1:10" ht="6" customHeight="1">
      <c r="A102" s="2217"/>
      <c r="B102" s="2217"/>
      <c r="C102" s="2217"/>
      <c r="D102" s="2217"/>
      <c r="E102" s="2217"/>
      <c r="F102" s="2217"/>
      <c r="G102" s="2217"/>
      <c r="H102" s="2217"/>
      <c r="I102" s="2217"/>
      <c r="J102" s="2217"/>
    </row>
    <row r="103" spans="1:10">
      <c r="A103" s="655" t="s">
        <v>2979</v>
      </c>
    </row>
    <row r="105" spans="1:10">
      <c r="A105" s="4092" t="s">
        <v>2980</v>
      </c>
      <c r="B105" s="4092"/>
      <c r="C105" s="4092"/>
      <c r="D105" s="4092"/>
      <c r="E105" s="4092"/>
      <c r="F105" s="4092"/>
      <c r="G105" s="4092"/>
      <c r="H105" s="4092"/>
      <c r="I105" s="4092"/>
      <c r="J105" s="4092"/>
    </row>
    <row r="107" spans="1:10" ht="14.4" thickBot="1">
      <c r="A107" s="672"/>
      <c r="B107" s="649" t="s">
        <v>2981</v>
      </c>
    </row>
    <row r="110" spans="1:10" ht="14.4" thickBot="1">
      <c r="A110" s="672"/>
      <c r="B110" s="649" t="s">
        <v>2982</v>
      </c>
    </row>
    <row r="112" spans="1:10">
      <c r="A112" s="649" t="s">
        <v>2983</v>
      </c>
    </row>
    <row r="115" spans="1:10" ht="14.4" thickBot="1">
      <c r="A115" s="672"/>
      <c r="B115" s="672"/>
      <c r="C115" s="672"/>
      <c r="D115" s="672"/>
      <c r="E115" s="672"/>
      <c r="H115" s="672"/>
      <c r="I115" s="672"/>
      <c r="J115" s="672"/>
    </row>
    <row r="116" spans="1:10">
      <c r="A116" s="4089" t="s">
        <v>5061</v>
      </c>
      <c r="B116" s="4089"/>
      <c r="C116" s="4089"/>
      <c r="D116" s="4089"/>
      <c r="E116" s="4089"/>
      <c r="H116" s="4089" t="s">
        <v>2984</v>
      </c>
      <c r="I116" s="4089"/>
      <c r="J116" s="4089"/>
    </row>
    <row r="118" spans="1:10" ht="14.4"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3320312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6640625" style="649" customWidth="1"/>
    <col min="13" max="13" width="26.33203125" style="649" customWidth="1"/>
    <col min="14" max="14" width="9.33203125" style="649"/>
    <col min="15" max="15" width="12.44140625" style="649" customWidth="1"/>
    <col min="16" max="16" width="9.33203125" style="649"/>
    <col min="17" max="17" width="11.6640625" style="649" bestFit="1" customWidth="1"/>
    <col min="18" max="16384" width="9.33203125" style="649"/>
  </cols>
  <sheetData>
    <row r="1" spans="1:15" ht="13.5" customHeight="1">
      <c r="A1" s="650" t="s">
        <v>3046</v>
      </c>
      <c r="B1" s="734"/>
      <c r="C1" s="649" t="str">
        <f>Overview!C8</f>
        <v>Dulles Park II</v>
      </c>
    </row>
    <row r="2" spans="1:15" ht="13.5" customHeight="1"/>
    <row r="3" spans="1:15" ht="13.5" customHeight="1">
      <c r="A3" s="650" t="s">
        <v>3047</v>
      </c>
      <c r="C3" s="649" t="s">
        <v>3048</v>
      </c>
      <c r="E3" s="735">
        <f>SUM('Part IV-A-Uses of Funds'!J149,'Part IV-A-Uses of Funds'!M149,'Part IV-A-Uses of Funds'!P149)</f>
        <v>8247121</v>
      </c>
      <c r="F3" s="1868" t="s">
        <v>3049</v>
      </c>
      <c r="H3" s="1296">
        <v>27.5</v>
      </c>
      <c r="I3" s="649" t="s">
        <v>2469</v>
      </c>
      <c r="K3" s="654" t="s">
        <v>3070</v>
      </c>
      <c r="M3" s="1868"/>
      <c r="O3" s="736"/>
    </row>
    <row r="4" spans="1:15" ht="13.5" customHeight="1">
      <c r="C4" s="649" t="s">
        <v>3555</v>
      </c>
      <c r="E4" s="735">
        <f>SUM('Part IV-A-Uses of Funds'!G85:H89)</f>
        <v>0</v>
      </c>
      <c r="F4" s="1868" t="s">
        <v>4458</v>
      </c>
      <c r="H4" s="650">
        <f>'Part III-Sources of Funds'!M38</f>
        <v>0</v>
      </c>
      <c r="I4" s="649" t="s">
        <v>2469</v>
      </c>
      <c r="K4" s="737" t="s">
        <v>3314</v>
      </c>
      <c r="M4" s="1868"/>
    </row>
    <row r="5" spans="1:15" ht="13.5" customHeight="1">
      <c r="C5" s="649" t="s">
        <v>3556</v>
      </c>
      <c r="E5" s="735">
        <f>SUM('Part IV-A-Uses of Funds'!G96:H102)</f>
        <v>111180</v>
      </c>
      <c r="F5" s="1868" t="s">
        <v>4457</v>
      </c>
      <c r="H5" s="1296">
        <v>15</v>
      </c>
      <c r="I5" s="649" t="s">
        <v>2469</v>
      </c>
      <c r="K5" s="736">
        <f>-E6</f>
        <v>-9001890</v>
      </c>
    </row>
    <row r="6" spans="1:15" ht="13.5" customHeight="1">
      <c r="C6" s="649" t="s">
        <v>3050</v>
      </c>
      <c r="E6" s="738">
        <f>'Part III-Sources of Funds'!$I$49+'Part III-Sources of Funds'!$I$50</f>
        <v>9001890</v>
      </c>
      <c r="F6" s="1868"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59" t="e">
        <f>'Part VII-Pro Forma'!$K$71+'Part VII-Pro Forma'!$K$72+'Part VII-Pro Forma'!$K$73</f>
        <v>#VALUE!</v>
      </c>
    </row>
    <row r="9" spans="1:15" ht="13.5" customHeight="1">
      <c r="A9" s="649" t="s">
        <v>3054</v>
      </c>
      <c r="C9" s="743">
        <f>'Part VII-Pro Forma'!B32</f>
        <v>44089.214399999997</v>
      </c>
      <c r="D9" s="743">
        <f>'Part VII-Pro Forma'!C32</f>
        <v>54305.518688000011</v>
      </c>
      <c r="E9" s="743">
        <f>'Part VII-Pro Forma'!D32</f>
        <v>53136.383661760032</v>
      </c>
      <c r="F9" s="743">
        <f>'Part VII-Pro Forma'!E32</f>
        <v>51873.56997299513</v>
      </c>
      <c r="G9" s="743">
        <f>'Part VII-Pro Forma'!F32</f>
        <v>50511.717969595069</v>
      </c>
      <c r="H9" s="743">
        <f>'Part VII-Pro Forma'!G32</f>
        <v>49048.343624041256</v>
      </c>
      <c r="I9" s="743">
        <f>'Part VII-Pro Forma'!H32</f>
        <v>47478.834330427868</v>
      </c>
      <c r="K9" s="736" t="e">
        <f>F24</f>
        <v>#VALUE!</v>
      </c>
      <c r="N9" s="744" t="s">
        <v>3056</v>
      </c>
    </row>
    <row r="10" spans="1:15" ht="13.5" customHeight="1">
      <c r="A10" s="649" t="s">
        <v>3055</v>
      </c>
      <c r="C10" s="1256" t="e">
        <f>'Part III-Sources of Funds'!I38-'Part VII-Pro Forma'!B39</f>
        <v>#VALUE!</v>
      </c>
      <c r="D10" s="745" t="e">
        <f>'Part VII-Pro Forma'!B39-'Part VII-Pro Forma'!C39</f>
        <v>#VALUE!</v>
      </c>
      <c r="E10" s="745" t="e">
        <f>'Part VII-Pro Forma'!C39-'Part VII-Pro Forma'!D39</f>
        <v>#VALUE!</v>
      </c>
      <c r="F10" s="745" t="e">
        <f>'Part VII-Pro Forma'!D39-'Part VII-Pro Forma'!E39</f>
        <v>#VALUE!</v>
      </c>
      <c r="G10" s="745" t="e">
        <f>'Part VII-Pro Forma'!E39-'Part VII-Pro Forma'!F39</f>
        <v>#VALUE!</v>
      </c>
      <c r="H10" s="745" t="e">
        <f>'Part VII-Pro Forma'!F39-'Part VII-Pro Forma'!G39</f>
        <v>#VALUE!</v>
      </c>
      <c r="I10" s="745" t="e">
        <f>'Part VII-Pro Forma'!G39-'Part VII-Pro Forma'!H39</f>
        <v>#VALUE!</v>
      </c>
      <c r="K10" s="736" t="e">
        <f>G24</f>
        <v>#VALUE!</v>
      </c>
      <c r="N10" s="744" t="s">
        <v>3057</v>
      </c>
      <c r="O10" s="741"/>
    </row>
    <row r="11" spans="1:15" ht="13.5" customHeight="1">
      <c r="A11" s="649" t="s">
        <v>3055</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7">
        <f>'Part VII-Pro Forma'!B22</f>
        <v>-12000</v>
      </c>
      <c r="D13" s="1257">
        <f>'Part VII-Pro Forma'!C22</f>
        <v>-12360</v>
      </c>
      <c r="E13" s="1257">
        <f>'Part VII-Pro Forma'!D22</f>
        <v>-12730.8</v>
      </c>
      <c r="F13" s="1257">
        <f>'Part VII-Pro Forma'!E22</f>
        <v>-13112.724</v>
      </c>
      <c r="G13" s="1257">
        <f>'Part VII-Pro Forma'!F22</f>
        <v>-13506.10572</v>
      </c>
      <c r="H13" s="1257">
        <f>'Part VII-Pro Forma'!G22</f>
        <v>-13911.288891599997</v>
      </c>
      <c r="I13" s="1257">
        <f>'Part VII-Pro Forma'!H22</f>
        <v>-14328.627558347998</v>
      </c>
      <c r="K13" s="736" t="e">
        <f>C44</f>
        <v>#VALUE!</v>
      </c>
      <c r="O13" s="741"/>
    </row>
    <row r="14" spans="1:15" ht="13.5" customHeight="1">
      <c r="A14" s="747" t="s">
        <v>3559</v>
      </c>
      <c r="B14" s="748"/>
      <c r="C14" s="1257">
        <f>'Part VII-Pro Forma'!B31</f>
        <v>-11295</v>
      </c>
      <c r="D14" s="1257">
        <f>'Part VII-Pro Forma'!C31</f>
        <v>0</v>
      </c>
      <c r="E14" s="1257">
        <f>'Part VII-Pro Forma'!D31</f>
        <v>0</v>
      </c>
      <c r="F14" s="1257">
        <f>'Part VII-Pro Forma'!E31</f>
        <v>0</v>
      </c>
      <c r="G14" s="1257">
        <f>'Part VII-Pro Forma'!F31</f>
        <v>0</v>
      </c>
      <c r="H14" s="1257">
        <f>'Part VII-Pro Forma'!G31</f>
        <v>0</v>
      </c>
      <c r="I14" s="1257">
        <f>'Part VII-Pro Forma'!H31</f>
        <v>0</v>
      </c>
      <c r="K14" s="736" t="e">
        <f>D44</f>
        <v>#VALUE!</v>
      </c>
      <c r="M14" s="649" t="s">
        <v>3062</v>
      </c>
      <c r="O14" s="741" t="e">
        <f>O6-O8-O12</f>
        <v>#VALUE!</v>
      </c>
    </row>
    <row r="15" spans="1:15" ht="13.5" customHeight="1">
      <c r="A15" s="749" t="s">
        <v>3058</v>
      </c>
      <c r="C15" s="750">
        <f t="shared" ref="C15:I15" si="0">$E$3/$H$3</f>
        <v>299895.30909090908</v>
      </c>
      <c r="D15" s="750">
        <f t="shared" si="0"/>
        <v>299895.30909090908</v>
      </c>
      <c r="E15" s="750">
        <f t="shared" si="0"/>
        <v>299895.30909090908</v>
      </c>
      <c r="F15" s="750">
        <f t="shared" si="0"/>
        <v>299895.30909090908</v>
      </c>
      <c r="G15" s="750">
        <f t="shared" si="0"/>
        <v>299895.30909090908</v>
      </c>
      <c r="H15" s="750">
        <f t="shared" si="0"/>
        <v>299895.30909090908</v>
      </c>
      <c r="I15" s="750">
        <f t="shared" si="0"/>
        <v>299895.30909090908</v>
      </c>
      <c r="K15" s="736" t="e">
        <f>E44</f>
        <v>#VALUE!</v>
      </c>
      <c r="O15" s="741"/>
    </row>
    <row r="16" spans="1:15" ht="13.5" customHeight="1">
      <c r="A16" s="749" t="s">
        <v>3060</v>
      </c>
      <c r="C16" s="750">
        <f>IF(C$8&lt;=$H$4,($E$4/$H$4),0)+IF(C$8&lt;=$H$5,($E$5/$H$5),0)</f>
        <v>7412</v>
      </c>
      <c r="D16" s="750">
        <f t="shared" ref="D16:I16" si="1">IF(D$8&lt;=$H$4,($E$4/$H$4),0)+IF(D$8&lt;=$H$5,($E$5/$H$5),0)</f>
        <v>7412</v>
      </c>
      <c r="E16" s="750">
        <f t="shared" si="1"/>
        <v>7412</v>
      </c>
      <c r="F16" s="750">
        <f t="shared" si="1"/>
        <v>7412</v>
      </c>
      <c r="G16" s="750">
        <f t="shared" si="1"/>
        <v>7412</v>
      </c>
      <c r="H16" s="750">
        <f t="shared" si="1"/>
        <v>7412</v>
      </c>
      <c r="I16" s="750">
        <f t="shared" si="1"/>
        <v>7412</v>
      </c>
      <c r="K16" s="736" t="e">
        <f>F44</f>
        <v>#VALUE!</v>
      </c>
      <c r="M16" s="649" t="s">
        <v>3064</v>
      </c>
      <c r="O16" s="741">
        <f>E3</f>
        <v>8247121</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5997906.1818181816</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2249214.8181818184</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741000</v>
      </c>
      <c r="D21" s="751">
        <f t="shared" ref="D21:I21" si="5">C21</f>
        <v>741000</v>
      </c>
      <c r="E21" s="751">
        <f t="shared" si="5"/>
        <v>741000</v>
      </c>
      <c r="F21" s="751">
        <f t="shared" si="5"/>
        <v>741000</v>
      </c>
      <c r="G21" s="751">
        <f t="shared" si="5"/>
        <v>741000</v>
      </c>
      <c r="H21" s="751">
        <f t="shared" si="5"/>
        <v>741000</v>
      </c>
      <c r="I21" s="751">
        <f t="shared" si="5"/>
        <v>741000</v>
      </c>
      <c r="J21" s="649" t="s">
        <v>243</v>
      </c>
      <c r="K21" s="736" t="e">
        <f>D64</f>
        <v>#VALUE!</v>
      </c>
      <c r="O21" s="741"/>
    </row>
    <row r="22" spans="1:17" ht="13.5" customHeight="1">
      <c r="A22" s="649" t="s">
        <v>3067</v>
      </c>
      <c r="C22" s="751">
        <f>C21</f>
        <v>741000</v>
      </c>
      <c r="D22" s="751">
        <f t="shared" ref="D22:I22" si="6">D21</f>
        <v>741000</v>
      </c>
      <c r="E22" s="751">
        <f t="shared" si="6"/>
        <v>741000</v>
      </c>
      <c r="F22" s="751">
        <f t="shared" si="6"/>
        <v>741000</v>
      </c>
      <c r="G22" s="751">
        <f t="shared" si="6"/>
        <v>741000</v>
      </c>
      <c r="H22" s="751">
        <f t="shared" si="6"/>
        <v>741000</v>
      </c>
      <c r="I22" s="751">
        <f t="shared" si="6"/>
        <v>741000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2249214.8181818184</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-2249214.8181818184</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45798.444565959377</v>
      </c>
      <c r="D29" s="743">
        <f>'Part VII-Pro Forma'!J32</f>
        <v>44002.291412669307</v>
      </c>
      <c r="E29" s="743">
        <f>'Part VII-Pro Forma'!K32</f>
        <v>42085.349934975049</v>
      </c>
      <c r="F29" s="743">
        <f>'Part VII-Pro Forma'!B64</f>
        <v>40043.44840854856</v>
      </c>
      <c r="G29" s="743">
        <f>'Part VII-Pro Forma'!C64</f>
        <v>37871.263395839705</v>
      </c>
      <c r="H29" s="743">
        <f>'Part VII-Pro Forma'!D64</f>
        <v>35563.314663450401</v>
      </c>
      <c r="I29" s="743">
        <f>'Part VII-Pro Forma'!E64</f>
        <v>33114.959936404004</v>
      </c>
      <c r="N29" s="754"/>
      <c r="O29" s="754"/>
    </row>
    <row r="30" spans="1:17" ht="13.5" customHeight="1">
      <c r="A30" s="649" t="s">
        <v>3055</v>
      </c>
      <c r="C30" s="745" t="e">
        <f>'Part VII-Pro Forma'!H39-'Part VII-Pro Forma'!I39</f>
        <v>#VALUE!</v>
      </c>
      <c r="D30" s="745" t="e">
        <f>'Part VII-Pro Forma'!I39-'Part VII-Pro Forma'!J39</f>
        <v>#VALUE!</v>
      </c>
      <c r="E30" s="745" t="e">
        <f>'Part VII-Pro Forma'!J39-'Part VII-Pro Forma'!K39</f>
        <v>#VALUE!</v>
      </c>
      <c r="F30" s="1254" t="e">
        <f>'Part VII-Pro Forma'!K39-'Part VII-Pro Forma'!B71</f>
        <v>#VALUE!</v>
      </c>
      <c r="G30" s="1254" t="e">
        <f>'Part VII-Pro Forma'!B71-'Part VII-Pro Forma'!C71</f>
        <v>#VALUE!</v>
      </c>
      <c r="H30" s="1254" t="e">
        <f>'Part VII-Pro Forma'!C71-'Part VII-Pro Forma'!D71</f>
        <v>#VALUE!</v>
      </c>
      <c r="I30" s="1254" t="e">
        <f>'Part VII-Pro Forma'!D71-'Part VII-Pro Forma'!E71</f>
        <v>#VALUE!</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3074</v>
      </c>
      <c r="O31" s="743">
        <f>O25*O27</f>
        <v>-449842.96363636368</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3558</v>
      </c>
      <c r="B33" s="748"/>
      <c r="C33" s="1257">
        <f>'Part VII-Pro Forma'!I22</f>
        <v>-14758.48638509844</v>
      </c>
      <c r="D33" s="1257">
        <f>'Part VII-Pro Forma'!J22</f>
        <v>-15201.240976651392</v>
      </c>
      <c r="E33" s="1257">
        <f>'Part VII-Pro Forma'!K22</f>
        <v>-15657.278205950934</v>
      </c>
      <c r="F33" s="1257">
        <f>'Part VII-Pro Forma'!B54</f>
        <v>-16126.996552129462</v>
      </c>
      <c r="G33" s="1257">
        <f>'Part VII-Pro Forma'!C54</f>
        <v>-16610.806448693347</v>
      </c>
      <c r="H33" s="1257">
        <f>'Part VII-Pro Forma'!D54</f>
        <v>-17109.130642154145</v>
      </c>
      <c r="I33" s="1257">
        <f>'Part VII-Pro Forma'!E54</f>
        <v>-17622.404561418767</v>
      </c>
      <c r="K33" s="649" t="s">
        <v>243</v>
      </c>
      <c r="M33" s="649" t="s">
        <v>3075</v>
      </c>
      <c r="O33" s="743" t="e">
        <f>O14-O31</f>
        <v>#VALUE!</v>
      </c>
    </row>
    <row r="34" spans="1:15" ht="13.5" customHeight="1">
      <c r="A34" s="747" t="s">
        <v>3559</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3058</v>
      </c>
      <c r="C35" s="750">
        <f t="shared" ref="C35:I35" si="8">$E$3/$H$3</f>
        <v>299895.30909090908</v>
      </c>
      <c r="D35" s="750">
        <f t="shared" si="8"/>
        <v>299895.30909090908</v>
      </c>
      <c r="E35" s="750">
        <f t="shared" si="8"/>
        <v>299895.30909090908</v>
      </c>
      <c r="F35" s="750">
        <f t="shared" si="8"/>
        <v>299895.30909090908</v>
      </c>
      <c r="G35" s="750">
        <f t="shared" si="8"/>
        <v>299895.30909090908</v>
      </c>
      <c r="H35" s="750">
        <f t="shared" si="8"/>
        <v>299895.30909090908</v>
      </c>
      <c r="I35" s="750">
        <f t="shared" si="8"/>
        <v>299895.30909090908</v>
      </c>
    </row>
    <row r="36" spans="1:15" ht="13.5" customHeight="1">
      <c r="A36" s="749" t="s">
        <v>3060</v>
      </c>
      <c r="C36" s="743">
        <f>IF(C$28&lt;=$H$4,($E$4/$H$4),0)+IF(C$28&lt;=$H$5,($E$5/$H$5),0)</f>
        <v>7412</v>
      </c>
      <c r="D36" s="743">
        <f t="shared" ref="D36:I36" si="9">IF(D$28&lt;=$H$4,($E$4/$H$4),0)+IF(D$28&lt;=$H$5,($E$5/$H$5),0)</f>
        <v>7412</v>
      </c>
      <c r="E36" s="743">
        <f t="shared" si="9"/>
        <v>7412</v>
      </c>
      <c r="F36" s="743">
        <f t="shared" si="9"/>
        <v>7412</v>
      </c>
      <c r="G36" s="743">
        <f t="shared" si="9"/>
        <v>7412</v>
      </c>
      <c r="H36" s="743">
        <f t="shared" si="9"/>
        <v>7412</v>
      </c>
      <c r="I36" s="743">
        <f t="shared" si="9"/>
        <v>7412</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741000</v>
      </c>
      <c r="D41" s="751">
        <f>C41</f>
        <v>741000</v>
      </c>
      <c r="E41" s="751">
        <f>D41</f>
        <v>741000</v>
      </c>
      <c r="F41" s="751">
        <v>0</v>
      </c>
      <c r="G41" s="751">
        <v>0</v>
      </c>
      <c r="H41" s="751">
        <v>0</v>
      </c>
      <c r="I41" s="751">
        <v>0</v>
      </c>
    </row>
    <row r="42" spans="1:15" ht="13.5" customHeight="1">
      <c r="A42" s="649" t="s">
        <v>3067</v>
      </c>
      <c r="C42" s="751">
        <f>C22</f>
        <v>741000</v>
      </c>
      <c r="D42" s="751">
        <f>C42</f>
        <v>741000</v>
      </c>
      <c r="E42" s="751">
        <f>D42</f>
        <v>741000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30519.389484207306</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5" t="e">
        <f>'Part VII-Pro Forma'!E71-'Part VII-Pro Forma'!F71</f>
        <v>#VALUE!</v>
      </c>
      <c r="D50" s="1255" t="e">
        <f>'Part VII-Pro Forma'!F71-'Part VII-Pro Forma'!G71</f>
        <v>#VALUE!</v>
      </c>
      <c r="E50" s="1255" t="e">
        <f>'Part VII-Pro Forma'!G71-'Part VII-Pro Forma'!H71</f>
        <v>#VALUE!</v>
      </c>
      <c r="F50" s="1255" t="e">
        <f>'Part VII-Pro Forma'!H71-'Part VII-Pro Forma'!I71</f>
        <v>#VALUE!</v>
      </c>
      <c r="G50" s="1255" t="e">
        <f>'Part VII-Pro Forma'!I71-'Part VII-Pro Forma'!J71</f>
        <v>#VALUE!</v>
      </c>
      <c r="H50" s="1255" t="e">
        <f>'Part VII-Pro Forma'!J71-'Part VII-Pro Forma'!K71</f>
        <v>#VALUE!</v>
      </c>
    </row>
    <row r="51" spans="1:10" ht="13.5" customHeight="1">
      <c r="A51" s="649" t="s">
        <v>3055</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7">
        <f>'Part VII-Pro Forma'!F54</f>
        <v>-18151.076698261331</v>
      </c>
      <c r="D53" s="1257">
        <f>'Part VII-Pro Forma'!G54</f>
        <v>-18695.608999209173</v>
      </c>
      <c r="E53" s="1257">
        <f>'Part VII-Pro Forma'!H54</f>
        <v>-19256.477269185445</v>
      </c>
      <c r="F53" s="1257">
        <f>'Part VII-Pro Forma'!I54</f>
        <v>-19834.171587261008</v>
      </c>
      <c r="G53" s="1257">
        <f>'Part VII-Pro Forma'!J54</f>
        <v>-20429.196734878838</v>
      </c>
      <c r="H53" s="1257">
        <f>'Part VII-Pro Forma'!K54</f>
        <v>-21042.072636925204</v>
      </c>
    </row>
    <row r="54" spans="1:10" ht="13.5" customHeight="1">
      <c r="A54" s="747" t="s">
        <v>3559</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3058</v>
      </c>
      <c r="C55" s="750">
        <f t="shared" ref="C55:H55" si="14">$E$3/$H$3</f>
        <v>299895.30909090908</v>
      </c>
      <c r="D55" s="750">
        <f t="shared" si="14"/>
        <v>299895.30909090908</v>
      </c>
      <c r="E55" s="750">
        <f t="shared" si="14"/>
        <v>299895.30909090908</v>
      </c>
      <c r="F55" s="750">
        <f t="shared" si="14"/>
        <v>299895.30909090908</v>
      </c>
      <c r="G55" s="750">
        <f t="shared" si="14"/>
        <v>299895.30909090908</v>
      </c>
      <c r="H55" s="750">
        <f t="shared" si="14"/>
        <v>299895.30909090908</v>
      </c>
    </row>
    <row r="56" spans="1:10" ht="13.5" customHeight="1">
      <c r="A56" s="749" t="s">
        <v>3060</v>
      </c>
      <c r="C56" s="743">
        <f t="shared" ref="C56:H56" si="15">IF(C$48&lt;=$H$4,($E$4/$H$4),0)+IF(C$48&lt;=$H$5,($E$5/$H$5),0)</f>
        <v>7412</v>
      </c>
      <c r="D56" s="743">
        <f t="shared" si="15"/>
        <v>0</v>
      </c>
      <c r="E56" s="743">
        <f t="shared" si="15"/>
        <v>0</v>
      </c>
      <c r="F56" s="743">
        <f t="shared" si="15"/>
        <v>0</v>
      </c>
      <c r="G56" s="743">
        <f t="shared" si="15"/>
        <v>0</v>
      </c>
      <c r="H56" s="743">
        <f t="shared" si="15"/>
        <v>0</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3076</v>
      </c>
      <c r="G66" s="4094" t="e">
        <f>IRR(K5:K25)</f>
        <v>#VALUE!</v>
      </c>
      <c r="H66" s="4095"/>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809" t="str">
        <f>CONCATENATE("PART ONE - PROJECT INFORMATION"," - ",$O$6," ",$F$34,", ",'Part I-Project Information'!F38,", ",'Part I-Project Information'!J39," County")</f>
        <v>PART ONE - PROJECT INFORMATION - 2019-060 Dulles Park II, Gray, Jones County</v>
      </c>
      <c r="B1" s="2810"/>
      <c r="C1" s="2810"/>
      <c r="D1" s="2810"/>
      <c r="E1" s="2810"/>
      <c r="F1" s="2810"/>
      <c r="G1" s="2810"/>
      <c r="H1" s="2810"/>
      <c r="I1" s="2810"/>
      <c r="J1" s="2810"/>
      <c r="K1" s="2810"/>
      <c r="L1" s="2810"/>
      <c r="M1" s="2810"/>
      <c r="N1" s="2810"/>
      <c r="O1" s="2810"/>
      <c r="P1" s="2811"/>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23" t="s">
        <v>4454</v>
      </c>
      <c r="B3" s="2823"/>
      <c r="C3" s="2823"/>
      <c r="D3" s="2823"/>
      <c r="E3" s="2823"/>
      <c r="F3" s="2823"/>
      <c r="G3" s="2823"/>
      <c r="H3" s="2823"/>
      <c r="I3" s="2823"/>
      <c r="J3" s="2823"/>
      <c r="K3" s="2823"/>
      <c r="L3" s="2823"/>
      <c r="M3" s="2823"/>
      <c r="N3" s="2823"/>
      <c r="O3" s="2823"/>
      <c r="P3" s="2823"/>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2364</v>
      </c>
      <c r="F5" s="295"/>
      <c r="G5" s="270" t="s">
        <v>4862</v>
      </c>
      <c r="L5" s="878"/>
      <c r="P5" s="1079" t="s">
        <v>3865</v>
      </c>
    </row>
    <row r="6" spans="1:16" s="294" customFormat="1" ht="12" customHeight="1" thickBot="1">
      <c r="B6" s="2824" t="s">
        <v>5230</v>
      </c>
      <c r="C6" s="2824"/>
      <c r="D6" s="2824"/>
      <c r="E6" s="1289"/>
      <c r="F6" s="297"/>
      <c r="G6" s="270" t="s">
        <v>4861</v>
      </c>
      <c r="H6" s="2277"/>
      <c r="I6" s="2277"/>
      <c r="J6" s="2277"/>
      <c r="O6" s="2812" t="s">
        <v>5283</v>
      </c>
      <c r="P6" s="2813"/>
    </row>
    <row r="7" spans="1:16" s="294" customFormat="1" ht="12" customHeight="1">
      <c r="B7" s="2824"/>
      <c r="C7" s="2824"/>
      <c r="D7" s="2824"/>
      <c r="E7" s="1289"/>
      <c r="F7" s="521"/>
      <c r="G7" s="172" t="s">
        <v>3318</v>
      </c>
      <c r="H7" s="2277"/>
      <c r="I7" s="2277"/>
      <c r="J7" s="2277"/>
    </row>
    <row r="8" spans="1:16" s="294" customFormat="1" ht="6" customHeight="1">
      <c r="A8" s="480"/>
      <c r="B8" s="2824"/>
      <c r="C8" s="2824"/>
      <c r="D8" s="2824"/>
      <c r="E8" s="2277"/>
      <c r="H8" s="2277"/>
      <c r="I8" s="2277"/>
      <c r="M8" s="2277"/>
    </row>
    <row r="9" spans="1:16" s="294" customFormat="1" ht="13.2" customHeight="1">
      <c r="A9" s="296" t="s">
        <v>616</v>
      </c>
      <c r="B9" s="296" t="s">
        <v>2375</v>
      </c>
      <c r="D9" s="271"/>
      <c r="E9" s="298"/>
      <c r="F9" s="2266" t="s">
        <v>3793</v>
      </c>
      <c r="I9" s="2814">
        <f>'Part IV-A-Uses of Funds'!$J$175</f>
        <v>741000</v>
      </c>
      <c r="J9" s="2815"/>
      <c r="L9" s="294" t="s">
        <v>3794</v>
      </c>
      <c r="O9" s="2816">
        <f>'Part III-Sources of Funds'!$H$5</f>
        <v>0</v>
      </c>
      <c r="P9" s="2817"/>
    </row>
    <row r="10" spans="1:16" s="294" customFormat="1" ht="6" customHeight="1">
      <c r="A10" s="296"/>
      <c r="B10" s="296"/>
      <c r="D10" s="271"/>
      <c r="E10" s="298"/>
      <c r="F10" s="298"/>
      <c r="I10" s="299"/>
      <c r="N10" s="300"/>
    </row>
    <row r="11" spans="1:16" s="294" customFormat="1" ht="13.2" customHeight="1">
      <c r="A11" s="299" t="s">
        <v>740</v>
      </c>
      <c r="B11" s="296" t="s">
        <v>2040</v>
      </c>
      <c r="F11" s="2818" t="s">
        <v>5172</v>
      </c>
      <c r="G11" s="2819"/>
      <c r="H11" s="2820"/>
      <c r="I11" s="2482" t="s">
        <v>3712</v>
      </c>
      <c r="J11" s="502" t="s">
        <v>5064</v>
      </c>
      <c r="K11" s="304"/>
      <c r="L11" s="2277"/>
      <c r="O11" s="2821" t="s">
        <v>5180</v>
      </c>
      <c r="P11" s="2822"/>
    </row>
    <row r="12" spans="1:16" s="294" customFormat="1" ht="12.75" customHeight="1">
      <c r="A12" s="480"/>
      <c r="B12" s="2215"/>
      <c r="C12" s="2215"/>
      <c r="D12" s="2215"/>
      <c r="E12" s="2215"/>
      <c r="H12" s="2277"/>
      <c r="J12" s="1221" t="s">
        <v>5043</v>
      </c>
      <c r="K12" s="2268"/>
      <c r="M12" s="2277"/>
      <c r="O12" s="2825" t="s">
        <v>5181</v>
      </c>
      <c r="P12" s="2826"/>
    </row>
    <row r="13" spans="1:16" s="294" customFormat="1" ht="3" customHeight="1">
      <c r="A13" s="480"/>
      <c r="B13" s="2215"/>
      <c r="C13" s="2215"/>
      <c r="D13" s="2215"/>
      <c r="E13" s="2215"/>
      <c r="H13" s="2277"/>
      <c r="J13" s="503"/>
      <c r="K13" s="2268"/>
      <c r="M13" s="2277"/>
    </row>
    <row r="14" spans="1:16" s="294" customFormat="1" ht="12.75" customHeight="1">
      <c r="A14" s="480"/>
      <c r="B14" s="2215" t="s">
        <v>5044</v>
      </c>
      <c r="C14" s="2215"/>
      <c r="D14" s="2215"/>
      <c r="E14" s="2215"/>
      <c r="F14" s="2483" t="s">
        <v>2993</v>
      </c>
      <c r="G14" s="2264" t="s">
        <v>5045</v>
      </c>
      <c r="N14" s="2818" t="s">
        <v>5046</v>
      </c>
      <c r="O14" s="2819"/>
      <c r="P14" s="2820"/>
    </row>
    <row r="15" spans="1:16" s="294" customFormat="1" ht="12.75" customHeight="1">
      <c r="A15" s="480"/>
      <c r="B15" s="294" t="s">
        <v>3866</v>
      </c>
      <c r="D15" s="304"/>
      <c r="F15" s="2830" t="s">
        <v>2993</v>
      </c>
      <c r="G15" s="2831"/>
      <c r="H15" s="2831"/>
      <c r="I15" s="2831"/>
      <c r="J15" s="2831"/>
      <c r="K15" s="2832"/>
      <c r="L15" s="294" t="s">
        <v>5031</v>
      </c>
      <c r="O15" s="2781"/>
      <c r="P15" s="2782"/>
    </row>
    <row r="16" spans="1:16" s="294" customFormat="1" ht="12.75" customHeight="1">
      <c r="A16" s="480"/>
      <c r="B16" s="294" t="s">
        <v>3792</v>
      </c>
      <c r="F16" s="2483"/>
      <c r="G16" s="294" t="s">
        <v>5032</v>
      </c>
      <c r="H16" s="2277"/>
      <c r="I16" s="172"/>
      <c r="J16" s="503"/>
      <c r="N16" s="2833" t="s">
        <v>2885</v>
      </c>
      <c r="O16" s="2834"/>
      <c r="P16" s="2835"/>
    </row>
    <row r="17" spans="1:16" s="294" customFormat="1" ht="6" customHeight="1">
      <c r="I17" s="271"/>
      <c r="J17" s="271"/>
      <c r="K17" s="271"/>
      <c r="L17" s="271"/>
      <c r="M17" s="271"/>
      <c r="N17" s="271"/>
      <c r="O17" s="271"/>
      <c r="P17" s="271"/>
    </row>
    <row r="18" spans="1:16" s="294" customFormat="1" ht="13.2" customHeight="1">
      <c r="A18" s="299" t="s">
        <v>742</v>
      </c>
      <c r="B18" s="296" t="s">
        <v>4474</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2" customHeight="1">
      <c r="B20" s="294" t="s">
        <v>3875</v>
      </c>
      <c r="F20" s="2778" t="s">
        <v>5232</v>
      </c>
      <c r="G20" s="2779"/>
      <c r="H20" s="2780"/>
      <c r="I20" s="294" t="s">
        <v>1797</v>
      </c>
      <c r="J20" s="2778" t="s">
        <v>5182</v>
      </c>
      <c r="K20" s="2779"/>
      <c r="L20" s="2780"/>
      <c r="M20" s="327" t="s">
        <v>1980</v>
      </c>
      <c r="N20" s="2781" t="s">
        <v>5187</v>
      </c>
      <c r="O20" s="2768"/>
      <c r="P20" s="2782"/>
    </row>
    <row r="21" spans="1:16" s="294" customFormat="1" ht="13.2" customHeight="1">
      <c r="B21" s="2266" t="s">
        <v>1981</v>
      </c>
      <c r="F21" s="2783" t="s">
        <v>5185</v>
      </c>
      <c r="G21" s="2784"/>
      <c r="H21" s="2784"/>
      <c r="I21" s="2785"/>
      <c r="J21" s="2784"/>
      <c r="K21" s="2785"/>
      <c r="L21" s="2786"/>
      <c r="M21" s="2787" t="s">
        <v>3874</v>
      </c>
      <c r="N21" s="2788"/>
      <c r="O21" s="2788"/>
      <c r="P21" s="2788"/>
    </row>
    <row r="22" spans="1:16" s="294" customFormat="1" ht="13.2" customHeight="1">
      <c r="B22" s="2266" t="s">
        <v>618</v>
      </c>
      <c r="F22" s="2783" t="s">
        <v>1205</v>
      </c>
      <c r="G22" s="2784"/>
      <c r="H22" s="2789"/>
      <c r="I22" s="2266" t="s">
        <v>1799</v>
      </c>
      <c r="J22" s="2484" t="s">
        <v>848</v>
      </c>
      <c r="M22" s="2787"/>
      <c r="N22" s="2787"/>
      <c r="O22" s="2787"/>
      <c r="P22" s="2787"/>
    </row>
    <row r="23" spans="1:16" s="294" customFormat="1" ht="13.2" customHeight="1">
      <c r="B23" s="2264" t="s">
        <v>2229</v>
      </c>
      <c r="F23" s="2772">
        <v>303392063</v>
      </c>
      <c r="G23" s="2773"/>
      <c r="H23" s="2774"/>
      <c r="I23" s="2266" t="s">
        <v>1720</v>
      </c>
      <c r="J23" s="2775">
        <v>4043344590</v>
      </c>
      <c r="K23" s="2776"/>
      <c r="L23" s="2269" t="s">
        <v>1719</v>
      </c>
      <c r="M23" s="2485"/>
      <c r="N23" s="2264" t="s">
        <v>1721</v>
      </c>
      <c r="O23" s="2777">
        <v>4043344590</v>
      </c>
      <c r="P23" s="2776"/>
    </row>
    <row r="24" spans="1:16" s="294" customFormat="1" ht="13.2" customHeight="1">
      <c r="B24" s="2264" t="s">
        <v>1984</v>
      </c>
      <c r="F24" s="2766" t="s">
        <v>5216</v>
      </c>
      <c r="G24" s="2767"/>
      <c r="H24" s="2767"/>
      <c r="I24" s="2768"/>
      <c r="J24" s="2767"/>
      <c r="K24" s="2769"/>
      <c r="N24" s="2264" t="s">
        <v>1979</v>
      </c>
      <c r="O24" s="2770">
        <v>7703630414</v>
      </c>
      <c r="P24" s="2771"/>
    </row>
    <row r="25" spans="1:16" s="294" customFormat="1" ht="13.5" customHeight="1">
      <c r="A25" s="480"/>
      <c r="B25" s="296" t="s">
        <v>4473</v>
      </c>
      <c r="C25" s="302"/>
      <c r="D25" s="2276"/>
      <c r="E25" s="2276"/>
      <c r="F25" s="2276"/>
      <c r="H25" s="2277"/>
      <c r="I25" s="2276"/>
      <c r="J25" s="302"/>
      <c r="K25" s="2276"/>
      <c r="P25" s="303"/>
    </row>
    <row r="26" spans="1:16" s="294" customFormat="1" ht="13.2" customHeight="1">
      <c r="B26" s="294" t="s">
        <v>3875</v>
      </c>
      <c r="F26" s="2778"/>
      <c r="G26" s="2779"/>
      <c r="H26" s="2780"/>
      <c r="I26" s="294" t="s">
        <v>1797</v>
      </c>
      <c r="J26" s="2778"/>
      <c r="K26" s="2779"/>
      <c r="L26" s="2780"/>
      <c r="M26" s="327" t="s">
        <v>1980</v>
      </c>
      <c r="N26" s="2781"/>
      <c r="O26" s="2768"/>
      <c r="P26" s="2782"/>
    </row>
    <row r="27" spans="1:16" s="294" customFormat="1" ht="13.2" customHeight="1">
      <c r="B27" s="2266" t="s">
        <v>1981</v>
      </c>
      <c r="F27" s="2783"/>
      <c r="G27" s="2784"/>
      <c r="H27" s="2784"/>
      <c r="I27" s="2785"/>
      <c r="J27" s="2784"/>
      <c r="K27" s="2785"/>
      <c r="L27" s="2786"/>
      <c r="M27" s="2787" t="s">
        <v>3874</v>
      </c>
      <c r="N27" s="2788"/>
      <c r="O27" s="2788"/>
      <c r="P27" s="2788"/>
    </row>
    <row r="28" spans="1:16" s="294" customFormat="1" ht="13.2" customHeight="1">
      <c r="B28" s="2266" t="s">
        <v>618</v>
      </c>
      <c r="F28" s="2783"/>
      <c r="G28" s="2784"/>
      <c r="H28" s="2789"/>
      <c r="I28" s="2266" t="s">
        <v>1799</v>
      </c>
      <c r="J28" s="2484"/>
      <c r="M28" s="2787"/>
      <c r="N28" s="2787"/>
      <c r="O28" s="2787"/>
      <c r="P28" s="2787"/>
    </row>
    <row r="29" spans="1:16" s="294" customFormat="1" ht="13.2" customHeight="1">
      <c r="B29" s="2264" t="s">
        <v>2229</v>
      </c>
      <c r="F29" s="2772"/>
      <c r="G29" s="2773"/>
      <c r="H29" s="2774"/>
      <c r="I29" s="2266" t="s">
        <v>1720</v>
      </c>
      <c r="J29" s="2775"/>
      <c r="K29" s="2776"/>
      <c r="L29" s="2269" t="s">
        <v>1719</v>
      </c>
      <c r="M29" s="2485"/>
      <c r="N29" s="2264" t="s">
        <v>1721</v>
      </c>
      <c r="O29" s="2777"/>
      <c r="P29" s="2776"/>
    </row>
    <row r="30" spans="1:16" s="294" customFormat="1" ht="13.2" customHeight="1">
      <c r="B30" s="2264" t="s">
        <v>1984</v>
      </c>
      <c r="F30" s="2766"/>
      <c r="G30" s="2767"/>
      <c r="H30" s="2767"/>
      <c r="I30" s="2768"/>
      <c r="J30" s="2767"/>
      <c r="K30" s="2769"/>
      <c r="N30" s="2264" t="s">
        <v>1979</v>
      </c>
      <c r="O30" s="2770"/>
      <c r="P30" s="2771"/>
    </row>
    <row r="31" spans="1:16" s="294" customFormat="1" ht="6" customHeight="1">
      <c r="A31" s="480"/>
      <c r="B31" s="480"/>
      <c r="C31" s="302"/>
      <c r="D31" s="2276"/>
      <c r="E31" s="2276"/>
      <c r="F31" s="2276"/>
      <c r="H31" s="2277"/>
      <c r="I31" s="2276"/>
      <c r="J31" s="302"/>
      <c r="K31" s="2276"/>
      <c r="P31" s="303"/>
    </row>
    <row r="32" spans="1:16" s="294" customFormat="1" ht="13.2" customHeight="1">
      <c r="A32" s="299" t="s">
        <v>1792</v>
      </c>
      <c r="B32" s="296" t="s">
        <v>1474</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2" customHeight="1">
      <c r="A34" s="296"/>
      <c r="B34" s="294" t="s">
        <v>617</v>
      </c>
      <c r="D34" s="304"/>
      <c r="F34" s="2866" t="s">
        <v>5163</v>
      </c>
      <c r="G34" s="2867"/>
      <c r="H34" s="2867"/>
      <c r="I34" s="2867"/>
      <c r="J34" s="2867"/>
      <c r="K34" s="2868"/>
      <c r="L34" s="2264" t="s">
        <v>2192</v>
      </c>
      <c r="O34" s="2778" t="s">
        <v>2993</v>
      </c>
      <c r="P34" s="2780"/>
    </row>
    <row r="35" spans="1:16" s="294" customFormat="1" ht="13.2" customHeight="1">
      <c r="A35" s="305"/>
      <c r="B35" s="294" t="s">
        <v>2699</v>
      </c>
      <c r="D35" s="306"/>
      <c r="F35" s="2827" t="s">
        <v>5173</v>
      </c>
      <c r="G35" s="2828"/>
      <c r="H35" s="2828"/>
      <c r="I35" s="2828"/>
      <c r="J35" s="2828"/>
      <c r="K35" s="2829"/>
      <c r="L35" s="294" t="s">
        <v>3680</v>
      </c>
      <c r="O35" s="2796"/>
      <c r="P35" s="2789"/>
    </row>
    <row r="36" spans="1:16" s="294" customFormat="1" ht="13.2" customHeight="1">
      <c r="A36" s="305"/>
      <c r="B36" s="294" t="s">
        <v>2734</v>
      </c>
      <c r="D36" s="306"/>
      <c r="F36" s="2796" t="s">
        <v>5173</v>
      </c>
      <c r="G36" s="2784"/>
      <c r="H36" s="2784"/>
      <c r="I36" s="2785"/>
      <c r="J36" s="2784"/>
      <c r="K36" s="2789"/>
      <c r="L36" s="2264" t="s">
        <v>2050</v>
      </c>
      <c r="N36" s="2485" t="s">
        <v>2993</v>
      </c>
      <c r="O36" s="2277" t="s">
        <v>3679</v>
      </c>
      <c r="P36" s="2486"/>
    </row>
    <row r="37" spans="1:16" s="294" customFormat="1" ht="13.2" customHeight="1">
      <c r="A37" s="305"/>
      <c r="B37" s="294" t="s">
        <v>3733</v>
      </c>
      <c r="D37" s="306"/>
      <c r="F37" s="294" t="s">
        <v>3714</v>
      </c>
      <c r="G37" s="2862">
        <v>33.00714</v>
      </c>
      <c r="H37" s="2863"/>
      <c r="I37" s="2269" t="s">
        <v>3715</v>
      </c>
      <c r="J37" s="2862">
        <v>-83.544801000000007</v>
      </c>
      <c r="K37" s="2863"/>
      <c r="L37" s="2264" t="s">
        <v>2283</v>
      </c>
      <c r="O37" s="2805">
        <v>24.58</v>
      </c>
      <c r="P37" s="2806"/>
    </row>
    <row r="38" spans="1:16" s="294" customFormat="1" ht="13.2" customHeight="1">
      <c r="A38" s="480"/>
      <c r="B38" s="294" t="s">
        <v>618</v>
      </c>
      <c r="F38" s="2778" t="s">
        <v>981</v>
      </c>
      <c r="G38" s="2807"/>
      <c r="H38" s="2808"/>
      <c r="I38" s="310" t="s">
        <v>2700</v>
      </c>
      <c r="J38" s="2772">
        <v>310325400</v>
      </c>
      <c r="K38" s="2774"/>
      <c r="L38" s="365" t="str">
        <f>IF(AND(NOT(F34=""),NOT(F38="Select from list"),J38=""),"Enter Zip!","")</f>
        <v/>
      </c>
      <c r="M38" s="308" t="s">
        <v>2906</v>
      </c>
      <c r="O38" s="2864" t="s">
        <v>5174</v>
      </c>
      <c r="P38" s="2865"/>
    </row>
    <row r="39" spans="1:16" s="294" customFormat="1" ht="13.2" customHeight="1">
      <c r="A39" s="480"/>
      <c r="B39" s="2276" t="s">
        <v>3568</v>
      </c>
      <c r="D39" s="2276"/>
      <c r="F39" s="2796" t="s">
        <v>5171</v>
      </c>
      <c r="G39" s="2785"/>
      <c r="H39" s="2786"/>
      <c r="I39" s="307" t="s">
        <v>619</v>
      </c>
      <c r="J39" s="2797" t="str">
        <f>IF($F$38="","",VLOOKUP($F$38,'DCA Underwriting Assumptions'!$T$158:$U$786,2,FALSE))</f>
        <v>Jones</v>
      </c>
      <c r="K39" s="2798"/>
      <c r="M39" s="2264" t="s">
        <v>451</v>
      </c>
      <c r="N39" s="2487" t="s">
        <v>2993</v>
      </c>
      <c r="O39" s="2277" t="s">
        <v>452</v>
      </c>
      <c r="P39" s="2488" t="s">
        <v>2993</v>
      </c>
    </row>
    <row r="40" spans="1:16" s="294" customFormat="1" ht="13.2" customHeight="1">
      <c r="A40" s="480"/>
      <c r="B40" s="296"/>
      <c r="C40" s="294" t="s">
        <v>1558</v>
      </c>
      <c r="F40" s="2489" t="s">
        <v>2990</v>
      </c>
      <c r="G40" s="2799" t="s">
        <v>2781</v>
      </c>
      <c r="H40" s="2800"/>
      <c r="I40" s="509" t="str">
        <f>IF($J$39="","",IF(VLOOKUP($J$39,'DCA Underwriting Assumptions'!G158:M317,7,FALSE)="Rural","Yes",IF(VLOOKUP($J$39,'DCA Underwriting Assumptions'!G158:M317,7,FALSE)="Urban","No","")))</f>
        <v>Yes</v>
      </c>
      <c r="J40" s="2269" t="s">
        <v>2801</v>
      </c>
      <c r="K40" s="2269" t="str">
        <f>IF(OR(F40="Yes",I40="Yes"),"Rural","Urban")</f>
        <v>Rural</v>
      </c>
      <c r="M40" s="2264" t="s">
        <v>2611</v>
      </c>
      <c r="N40" s="421" t="str">
        <f>VLOOKUP($J$39,'DCA Underwriting Assumptions'!$G$158:$J$317,4)</f>
        <v>MSA</v>
      </c>
      <c r="O40" s="2801" t="str">
        <f>IF($F$38="","",VLOOKUP($J$39,'DCA Underwriting Assumptions'!$G$158:$L$317,3,FALSE))</f>
        <v>Macon</v>
      </c>
      <c r="P40" s="2802"/>
    </row>
    <row r="41" spans="1:16" s="294" customFormat="1" ht="6" customHeight="1">
      <c r="A41" s="480"/>
      <c r="B41" s="296"/>
      <c r="C41" s="296"/>
      <c r="I41" s="2266"/>
      <c r="J41" s="2276"/>
      <c r="L41" s="2286"/>
      <c r="M41" s="2286"/>
      <c r="N41" s="2286"/>
      <c r="O41" s="2286"/>
      <c r="P41" s="2286"/>
    </row>
    <row r="42" spans="1:16" s="294" customFormat="1" ht="13.2" customHeight="1">
      <c r="A42" s="480"/>
      <c r="C42" s="294" t="s">
        <v>2743</v>
      </c>
      <c r="F42" s="2803" t="s">
        <v>2762</v>
      </c>
      <c r="G42" s="2803"/>
      <c r="H42" s="2804" t="s">
        <v>736</v>
      </c>
      <c r="I42" s="2804"/>
      <c r="J42" s="2804" t="s">
        <v>737</v>
      </c>
      <c r="K42" s="2804"/>
      <c r="L42" s="496" t="s">
        <v>4936</v>
      </c>
    </row>
    <row r="43" spans="1:16" s="294" customFormat="1" ht="13.2" customHeight="1">
      <c r="A43" s="480"/>
      <c r="B43" s="294" t="s">
        <v>2761</v>
      </c>
      <c r="D43" s="296"/>
      <c r="F43" s="2790">
        <v>8</v>
      </c>
      <c r="G43" s="2791"/>
      <c r="H43" s="2790">
        <v>26</v>
      </c>
      <c r="I43" s="2791"/>
      <c r="J43" s="2790">
        <v>129</v>
      </c>
      <c r="K43" s="2791"/>
      <c r="L43" s="492" t="s">
        <v>1283</v>
      </c>
      <c r="N43" s="2792" t="s">
        <v>1284</v>
      </c>
      <c r="O43" s="2792"/>
      <c r="P43" s="2792"/>
    </row>
    <row r="44" spans="1:16" s="294" customFormat="1" ht="12.75" customHeight="1">
      <c r="A44" s="480"/>
      <c r="B44" s="2266" t="s">
        <v>738</v>
      </c>
      <c r="F44" s="2793"/>
      <c r="G44" s="2794"/>
      <c r="H44" s="2793"/>
      <c r="I44" s="2794"/>
      <c r="J44" s="2793"/>
      <c r="K44" s="2794"/>
      <c r="L44" s="492" t="s">
        <v>2760</v>
      </c>
      <c r="N44" s="2795" t="s">
        <v>2759</v>
      </c>
      <c r="O44" s="2795"/>
    </row>
    <row r="45" spans="1:16" s="294" customFormat="1" ht="3" customHeight="1">
      <c r="A45" s="480"/>
      <c r="I45" s="2286"/>
      <c r="J45" s="2286"/>
      <c r="K45" s="2286"/>
      <c r="L45" s="2276"/>
      <c r="M45" s="2276"/>
      <c r="N45" s="2276"/>
      <c r="O45" s="2276"/>
      <c r="P45" s="2276"/>
    </row>
    <row r="46" spans="1:16" s="294" customFormat="1" ht="13.2" customHeight="1">
      <c r="A46" s="480"/>
      <c r="B46" s="296" t="s">
        <v>637</v>
      </c>
      <c r="F46" s="2839" t="s">
        <v>5179</v>
      </c>
      <c r="G46" s="2840"/>
      <c r="H46" s="2840"/>
      <c r="I46" s="2841"/>
      <c r="J46" s="2840"/>
      <c r="K46" s="2842"/>
      <c r="L46" s="877" t="s">
        <v>2704</v>
      </c>
      <c r="M46" s="2781" t="s">
        <v>5175</v>
      </c>
      <c r="N46" s="2768"/>
      <c r="O46" s="2768"/>
      <c r="P46" s="2782"/>
    </row>
    <row r="47" spans="1:16" s="294" customFormat="1" ht="13.2" customHeight="1">
      <c r="A47" s="480"/>
      <c r="B47" s="294" t="s">
        <v>638</v>
      </c>
      <c r="F47" s="2843" t="s">
        <v>5176</v>
      </c>
      <c r="G47" s="2844"/>
      <c r="H47" s="2845"/>
      <c r="I47" s="1054" t="s">
        <v>1980</v>
      </c>
      <c r="J47" s="2827" t="s">
        <v>5177</v>
      </c>
      <c r="K47" s="2829"/>
      <c r="L47" s="877"/>
    </row>
    <row r="48" spans="1:16" s="294" customFormat="1" ht="13.2" customHeight="1">
      <c r="A48" s="480"/>
      <c r="B48" s="294" t="s">
        <v>1981</v>
      </c>
      <c r="F48" s="2846" t="s">
        <v>5178</v>
      </c>
      <c r="G48" s="2847"/>
      <c r="H48" s="2848"/>
      <c r="I48" s="2840"/>
      <c r="J48" s="2847"/>
      <c r="K48" s="2849"/>
      <c r="L48" s="2267" t="s">
        <v>618</v>
      </c>
      <c r="M48" s="2850" t="s">
        <v>981</v>
      </c>
      <c r="N48" s="2851"/>
      <c r="O48" s="2851"/>
      <c r="P48" s="2852"/>
    </row>
    <row r="49" spans="1:19" s="294" customFormat="1" ht="13.2" customHeight="1">
      <c r="A49" s="480"/>
      <c r="B49" s="2264" t="s">
        <v>2229</v>
      </c>
      <c r="F49" s="2854">
        <v>310320000</v>
      </c>
      <c r="G49" s="2855"/>
      <c r="H49" s="2269" t="s">
        <v>1982</v>
      </c>
      <c r="I49" s="2856">
        <v>4789865433</v>
      </c>
      <c r="J49" s="2857"/>
      <c r="K49" s="2858"/>
      <c r="L49" s="2266" t="s">
        <v>1800</v>
      </c>
      <c r="M49" s="2859" t="s">
        <v>5229</v>
      </c>
      <c r="N49" s="2860"/>
      <c r="O49" s="2860"/>
      <c r="P49" s="2861"/>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1794</v>
      </c>
      <c r="B51" s="296" t="s">
        <v>1475</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1983</v>
      </c>
      <c r="C53" s="296" t="s">
        <v>718</v>
      </c>
      <c r="I53" s="2276"/>
      <c r="J53" s="2276"/>
      <c r="K53" s="493"/>
      <c r="L53" s="2276"/>
      <c r="M53" s="495"/>
      <c r="N53" s="495"/>
      <c r="O53" s="495"/>
      <c r="P53" s="495"/>
      <c r="Q53" s="2277"/>
    </row>
    <row r="54" spans="1:19" ht="13.2" customHeight="1">
      <c r="B54" s="480"/>
      <c r="C54" s="294" t="s">
        <v>2295</v>
      </c>
      <c r="D54" s="294"/>
      <c r="E54" s="294"/>
      <c r="H54" s="1071">
        <f>'Part VI-Revenues &amp; Expenses'!$O$103</f>
        <v>48</v>
      </c>
      <c r="K54" s="2266" t="s">
        <v>3671</v>
      </c>
      <c r="L54" s="294"/>
      <c r="M54" s="925" t="s">
        <v>3670</v>
      </c>
      <c r="N54" s="313">
        <f>'Part VI-Revenues &amp; Expenses'!$O$110</f>
        <v>0</v>
      </c>
      <c r="O54" s="926" t="s">
        <v>3357</v>
      </c>
      <c r="P54" s="313">
        <f>'Part VI-Revenues &amp; Expenses'!$O$111</f>
        <v>0</v>
      </c>
      <c r="Q54" s="2277"/>
    </row>
    <row r="55" spans="1:19" s="294" customFormat="1">
      <c r="A55" s="480"/>
      <c r="B55" s="480"/>
      <c r="C55" s="314" t="s">
        <v>347</v>
      </c>
      <c r="H55" s="1072">
        <f>'Part VI-Revenues &amp; Expenses'!$O$109</f>
        <v>0</v>
      </c>
      <c r="K55" s="314" t="s">
        <v>366</v>
      </c>
      <c r="P55" s="313">
        <f>'Part VI-Revenues &amp; Expenses'!$O$113</f>
        <v>0</v>
      </c>
    </row>
    <row r="56" spans="1:19" s="294" customFormat="1" ht="13.2" customHeight="1">
      <c r="B56" s="480"/>
      <c r="C56" s="2266" t="s">
        <v>346</v>
      </c>
      <c r="D56" s="2276"/>
      <c r="H56" s="1073">
        <f>'Part VI-Revenues &amp; Expenses'!$O$106</f>
        <v>0</v>
      </c>
      <c r="I56" s="481" t="s">
        <v>2910</v>
      </c>
      <c r="K56" s="294" t="s">
        <v>348</v>
      </c>
      <c r="P56" s="2490"/>
      <c r="Q56" s="2277"/>
    </row>
    <row r="57" spans="1:19" s="294" customFormat="1" ht="3.6" customHeight="1">
      <c r="A57" s="480"/>
      <c r="P57" s="2276"/>
    </row>
    <row r="58" spans="1:19" s="294" customFormat="1">
      <c r="A58" s="480"/>
      <c r="B58" s="480" t="s">
        <v>1985</v>
      </c>
      <c r="C58" s="296" t="s">
        <v>2296</v>
      </c>
      <c r="H58" s="2491" t="s">
        <v>2993</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2" customHeight="1">
      <c r="A60" s="480"/>
      <c r="B60" s="305" t="s">
        <v>749</v>
      </c>
      <c r="C60" s="304" t="s">
        <v>2276</v>
      </c>
      <c r="D60" s="2276"/>
      <c r="I60" s="2278" t="s">
        <v>3564</v>
      </c>
      <c r="J60" s="305" t="s">
        <v>2115</v>
      </c>
      <c r="K60" s="315" t="s">
        <v>2302</v>
      </c>
      <c r="M60" s="2276"/>
      <c r="N60" s="2276"/>
      <c r="O60" s="2276"/>
      <c r="P60" s="2277"/>
      <c r="Q60" s="2277"/>
      <c r="R60" s="2277"/>
      <c r="S60" s="2276"/>
    </row>
    <row r="61" spans="1:19" s="294" customFormat="1" ht="13.2" customHeight="1">
      <c r="A61" s="480"/>
      <c r="B61" s="2265"/>
      <c r="C61" s="302" t="s">
        <v>2277</v>
      </c>
      <c r="D61" s="2276"/>
      <c r="E61" s="2276"/>
      <c r="H61" s="634">
        <f>SUM(H62:H68)</f>
        <v>48</v>
      </c>
      <c r="I61" s="634">
        <f>SUM(I62:I68)</f>
        <v>0</v>
      </c>
      <c r="J61" s="480"/>
      <c r="K61" s="302" t="s">
        <v>2773</v>
      </c>
      <c r="M61" s="2276"/>
      <c r="N61" s="2276"/>
      <c r="O61" s="2276"/>
      <c r="P61" s="1978">
        <f>SUM(P62:P68)</f>
        <v>43920</v>
      </c>
    </row>
    <row r="62" spans="1:19" s="294" customFormat="1" ht="13.2" customHeight="1">
      <c r="A62" s="480"/>
      <c r="B62" s="2265"/>
      <c r="C62" s="302"/>
      <c r="D62" s="317" t="s">
        <v>4708</v>
      </c>
      <c r="E62" s="2276"/>
      <c r="H62" s="848">
        <f>'Part VI-Revenues &amp; Expenses'!$O56</f>
        <v>0</v>
      </c>
      <c r="I62" s="848">
        <f>'Part VI-Revenues &amp; Expenses'!$O81</f>
        <v>0</v>
      </c>
      <c r="J62" s="480"/>
      <c r="K62" s="302"/>
      <c r="L62" s="317" t="s">
        <v>4708</v>
      </c>
      <c r="M62" s="2276"/>
      <c r="N62" s="2276"/>
      <c r="O62" s="2276"/>
      <c r="P62" s="848">
        <f>'Part VI-Revenues &amp; Expenses'!$O145</f>
        <v>0</v>
      </c>
    </row>
    <row r="63" spans="1:19" s="294" customFormat="1" ht="13.2" customHeight="1">
      <c r="A63" s="480"/>
      <c r="B63" s="2265"/>
      <c r="C63" s="302"/>
      <c r="D63" s="317" t="s">
        <v>4709</v>
      </c>
      <c r="E63" s="2276"/>
      <c r="H63" s="1980">
        <f>'Part VI-Revenues &amp; Expenses'!$O57</f>
        <v>0</v>
      </c>
      <c r="I63" s="1980">
        <f>'Part VI-Revenues &amp; Expenses'!$O82</f>
        <v>0</v>
      </c>
      <c r="J63" s="480"/>
      <c r="K63" s="302"/>
      <c r="L63" s="317" t="s">
        <v>4709</v>
      </c>
      <c r="M63" s="2276"/>
      <c r="N63" s="2276"/>
      <c r="O63" s="2276"/>
      <c r="P63" s="1980">
        <f>'Part VI-Revenues &amp; Expenses'!$O146</f>
        <v>0</v>
      </c>
    </row>
    <row r="64" spans="1:19" s="294" customFormat="1" ht="13.2" customHeight="1">
      <c r="A64" s="480"/>
      <c r="B64" s="312"/>
      <c r="D64" s="317" t="s">
        <v>4706</v>
      </c>
      <c r="E64" s="317"/>
      <c r="H64" s="1980">
        <f>'Part VI-Revenues &amp; Expenses'!$O58</f>
        <v>32</v>
      </c>
      <c r="I64" s="1980">
        <f>'Part VI-Revenues &amp; Expenses'!$O83</f>
        <v>0</v>
      </c>
      <c r="L64" s="317" t="s">
        <v>4706</v>
      </c>
      <c r="O64" s="2276"/>
      <c r="P64" s="1980">
        <f>'Part VI-Revenues &amp; Expenses'!$O147</f>
        <v>29140</v>
      </c>
    </row>
    <row r="65" spans="1:16" s="294" customFormat="1" ht="13.2" customHeight="1">
      <c r="A65" s="480"/>
      <c r="D65" s="317" t="s">
        <v>4707</v>
      </c>
      <c r="E65" s="2276"/>
      <c r="H65" s="1980">
        <f>'Part VI-Revenues &amp; Expenses'!$O59</f>
        <v>16</v>
      </c>
      <c r="I65" s="1980">
        <f>'Part VI-Revenues &amp; Expenses'!$O84</f>
        <v>0</v>
      </c>
      <c r="L65" s="317" t="s">
        <v>4707</v>
      </c>
      <c r="O65" s="2276"/>
      <c r="P65" s="1980">
        <f>'Part VI-Revenues &amp; Expenses'!$O148</f>
        <v>14780</v>
      </c>
    </row>
    <row r="66" spans="1:16" s="294" customFormat="1" ht="13.2" customHeight="1">
      <c r="A66" s="480"/>
      <c r="D66" s="317" t="s">
        <v>4710</v>
      </c>
      <c r="E66" s="317"/>
      <c r="H66" s="1980">
        <f>'Part VI-Revenues &amp; Expenses'!$O60</f>
        <v>0</v>
      </c>
      <c r="I66" s="1980">
        <f>'Part VI-Revenues &amp; Expenses'!$O85</f>
        <v>0</v>
      </c>
      <c r="L66" s="317" t="s">
        <v>4710</v>
      </c>
      <c r="O66" s="2276"/>
      <c r="P66" s="1980">
        <f>'Part VI-Revenues &amp; Expenses'!$O149</f>
        <v>0</v>
      </c>
    </row>
    <row r="67" spans="1:16" s="294" customFormat="1" ht="13.2" customHeight="1">
      <c r="A67" s="480"/>
      <c r="D67" s="317" t="s">
        <v>4711</v>
      </c>
      <c r="E67" s="317"/>
      <c r="H67" s="1980">
        <f>'Part VI-Revenues &amp; Expenses'!$O61</f>
        <v>0</v>
      </c>
      <c r="I67" s="1980">
        <f>'Part VI-Revenues &amp; Expenses'!$O86</f>
        <v>0</v>
      </c>
      <c r="L67" s="317" t="s">
        <v>4711</v>
      </c>
      <c r="O67" s="2276"/>
      <c r="P67" s="1980">
        <f>'Part VI-Revenues &amp; Expenses'!$O150</f>
        <v>0</v>
      </c>
    </row>
    <row r="68" spans="1:16" s="294" customFormat="1" ht="13.2" customHeight="1">
      <c r="A68" s="480"/>
      <c r="D68" s="317" t="s">
        <v>4712</v>
      </c>
      <c r="E68" s="317"/>
      <c r="H68" s="849">
        <f>'Part VI-Revenues &amp; Expenses'!$O62</f>
        <v>0</v>
      </c>
      <c r="I68" s="849">
        <f>'Part VI-Revenues &amp; Expenses'!$O87</f>
        <v>0</v>
      </c>
      <c r="L68" s="317" t="s">
        <v>4712</v>
      </c>
      <c r="O68" s="2276"/>
      <c r="P68" s="849">
        <f>'Part VI-Revenues &amp; Expenses'!$O151</f>
        <v>0</v>
      </c>
    </row>
    <row r="69" spans="1:16" s="294" customFormat="1" ht="13.2" customHeight="1">
      <c r="A69" s="480"/>
      <c r="C69" s="302" t="s">
        <v>253</v>
      </c>
      <c r="D69" s="2276"/>
      <c r="E69" s="2276"/>
      <c r="H69" s="1979">
        <f>'Part VI-Revenues &amp; Expenses'!$O$64</f>
        <v>0</v>
      </c>
      <c r="J69" s="480"/>
      <c r="K69" s="302" t="s">
        <v>2774</v>
      </c>
      <c r="M69" s="2276"/>
      <c r="N69" s="2276"/>
      <c r="O69" s="2276"/>
      <c r="P69" s="1981">
        <f>'Part VI-Revenues &amp; Expenses'!$O$153</f>
        <v>0</v>
      </c>
    </row>
    <row r="70" spans="1:16" s="294" customFormat="1" ht="13.2" customHeight="1">
      <c r="A70" s="480"/>
      <c r="C70" s="302" t="s">
        <v>2407</v>
      </c>
      <c r="D70" s="2276"/>
      <c r="E70" s="2276"/>
      <c r="H70" s="848">
        <f>H61+H69</f>
        <v>48</v>
      </c>
      <c r="J70" s="480"/>
      <c r="K70" s="302" t="s">
        <v>2775</v>
      </c>
      <c r="M70" s="2276"/>
      <c r="N70" s="2276"/>
      <c r="O70" s="2276"/>
      <c r="P70" s="848">
        <f>P61+P69</f>
        <v>43920</v>
      </c>
    </row>
    <row r="71" spans="1:16" s="294" customFormat="1" ht="13.2" customHeight="1">
      <c r="A71" s="480"/>
      <c r="C71" s="302" t="s">
        <v>2408</v>
      </c>
      <c r="D71" s="2276"/>
      <c r="E71" s="2276"/>
      <c r="H71" s="849">
        <f>'Part VI-Revenues &amp; Expenses'!$O$66</f>
        <v>0</v>
      </c>
      <c r="J71" s="480"/>
      <c r="K71" s="302" t="s">
        <v>2776</v>
      </c>
      <c r="M71" s="2276"/>
      <c r="N71" s="2276"/>
      <c r="O71" s="2276"/>
      <c r="P71" s="849">
        <f>'Part VI-Revenues &amp; Expenses'!$O$155</f>
        <v>0</v>
      </c>
    </row>
    <row r="72" spans="1:16" s="294" customFormat="1" ht="13.2" customHeight="1">
      <c r="A72" s="480"/>
      <c r="C72" s="302" t="s">
        <v>1793</v>
      </c>
      <c r="D72" s="2276"/>
      <c r="E72" s="2276"/>
      <c r="H72" s="316">
        <f>+H70+H71</f>
        <v>48</v>
      </c>
      <c r="J72" s="2276"/>
      <c r="K72" s="302" t="s">
        <v>1420</v>
      </c>
      <c r="M72" s="2276"/>
      <c r="N72" s="2276"/>
      <c r="O72" s="2276"/>
      <c r="P72" s="316">
        <f>+P70+P71</f>
        <v>43920</v>
      </c>
    </row>
    <row r="73" spans="1:16" s="294" customFormat="1" ht="3" customHeight="1">
      <c r="A73" s="480"/>
      <c r="I73" s="2277"/>
      <c r="L73" s="2277"/>
      <c r="M73" s="2277"/>
      <c r="N73" s="2276"/>
      <c r="P73" s="303"/>
    </row>
    <row r="74" spans="1:16" s="294" customFormat="1" ht="13.2" customHeight="1">
      <c r="A74" s="480"/>
      <c r="B74" s="480" t="s">
        <v>1735</v>
      </c>
      <c r="C74" s="304" t="s">
        <v>2297</v>
      </c>
      <c r="D74" s="317" t="s">
        <v>1996</v>
      </c>
      <c r="G74" s="2276"/>
      <c r="H74" s="2492">
        <v>7</v>
      </c>
      <c r="K74" s="302" t="s">
        <v>5023</v>
      </c>
      <c r="O74" s="2276"/>
      <c r="P74" s="2493">
        <v>2000</v>
      </c>
    </row>
    <row r="75" spans="1:16" s="294" customFormat="1" ht="13.2" customHeight="1">
      <c r="A75" s="480"/>
      <c r="B75" s="480"/>
      <c r="D75" s="2265" t="s">
        <v>1997</v>
      </c>
      <c r="H75" s="2494">
        <v>1</v>
      </c>
      <c r="I75" s="2276"/>
      <c r="K75" s="302" t="s">
        <v>252</v>
      </c>
      <c r="O75" s="2276"/>
      <c r="P75" s="316">
        <f>+P72+P74</f>
        <v>45920</v>
      </c>
    </row>
    <row r="76" spans="1:16" s="294" customFormat="1" ht="13.2" customHeight="1">
      <c r="A76" s="480"/>
      <c r="B76" s="480"/>
      <c r="D76" s="2265" t="s">
        <v>1998</v>
      </c>
      <c r="H76" s="316">
        <f>+H74+H75</f>
        <v>8</v>
      </c>
      <c r="I76" s="2276"/>
    </row>
    <row r="77" spans="1:16" s="294" customFormat="1" ht="3" customHeight="1">
      <c r="A77" s="480"/>
      <c r="B77" s="480"/>
      <c r="C77" s="2276"/>
      <c r="D77" s="2276"/>
      <c r="E77" s="2276"/>
      <c r="F77" s="2276"/>
      <c r="G77" s="2277"/>
      <c r="I77" s="302"/>
      <c r="J77" s="2276"/>
      <c r="P77" s="303"/>
    </row>
    <row r="78" spans="1:16" s="294" customFormat="1" ht="13.2" customHeight="1">
      <c r="A78" s="480"/>
      <c r="B78" s="480" t="s">
        <v>1736</v>
      </c>
      <c r="C78" s="304" t="s">
        <v>2843</v>
      </c>
      <c r="D78" s="2276"/>
      <c r="E78" s="2276"/>
      <c r="F78" s="2276"/>
      <c r="G78" s="2276"/>
      <c r="H78" s="2493">
        <v>130</v>
      </c>
      <c r="K78" s="2853" t="s">
        <v>3849</v>
      </c>
      <c r="L78" s="2853"/>
      <c r="M78" s="2853"/>
      <c r="N78" s="2853"/>
      <c r="O78" s="2853"/>
      <c r="P78" s="2853"/>
    </row>
    <row r="79" spans="1:16" s="294" customFormat="1" ht="6" customHeight="1">
      <c r="A79" s="480"/>
      <c r="B79" s="480"/>
      <c r="C79" s="302"/>
      <c r="D79" s="2276"/>
      <c r="E79" s="2276"/>
      <c r="F79" s="2276"/>
      <c r="G79" s="2277"/>
      <c r="H79" s="2276"/>
      <c r="I79" s="302"/>
      <c r="J79" s="302"/>
      <c r="K79" s="2853"/>
      <c r="L79" s="2853"/>
      <c r="M79" s="2853"/>
      <c r="N79" s="2853"/>
      <c r="O79" s="2853"/>
      <c r="P79" s="2853"/>
    </row>
    <row r="80" spans="1:16" s="294" customFormat="1" ht="13.2" customHeight="1">
      <c r="A80" s="480" t="s">
        <v>530</v>
      </c>
      <c r="B80" s="318" t="s">
        <v>1191</v>
      </c>
      <c r="D80" s="318"/>
      <c r="E80" s="318"/>
      <c r="F80" s="2276"/>
      <c r="G80" s="2277"/>
      <c r="H80" s="507"/>
      <c r="K80" s="2853"/>
      <c r="L80" s="2853"/>
      <c r="M80" s="2853"/>
      <c r="N80" s="2853"/>
      <c r="O80" s="2853"/>
      <c r="P80" s="2853"/>
    </row>
    <row r="81" spans="1:16" s="294" customFormat="1" ht="3" customHeight="1">
      <c r="A81" s="480"/>
      <c r="C81" s="2155"/>
      <c r="D81" s="2155"/>
      <c r="E81" s="2155"/>
      <c r="F81" s="2276"/>
      <c r="G81" s="2277"/>
      <c r="K81" s="2276"/>
      <c r="P81" s="303"/>
    </row>
    <row r="82" spans="1:16" s="294" customFormat="1" ht="13.2" customHeight="1">
      <c r="A82" s="480"/>
      <c r="B82" s="480" t="s">
        <v>1983</v>
      </c>
      <c r="C82" s="2268" t="s">
        <v>2692</v>
      </c>
      <c r="D82" s="2155"/>
      <c r="E82" s="2155"/>
      <c r="F82" s="2276"/>
      <c r="G82" s="2277"/>
      <c r="H82" s="2836" t="s">
        <v>2913</v>
      </c>
      <c r="I82" s="2837"/>
      <c r="K82" s="2838" t="s">
        <v>1772</v>
      </c>
      <c r="L82" s="2838"/>
      <c r="M82" s="2781"/>
      <c r="N82" s="2768"/>
      <c r="O82" s="2768"/>
      <c r="P82" s="2782"/>
    </row>
    <row r="83" spans="1:16" s="294" customFormat="1" ht="3" customHeight="1">
      <c r="A83" s="480"/>
      <c r="B83" s="480"/>
      <c r="D83" s="2265"/>
      <c r="E83" s="2265"/>
      <c r="F83" s="2265"/>
      <c r="G83" s="2265"/>
      <c r="I83" s="2277"/>
      <c r="K83" s="2264"/>
      <c r="L83" s="2264"/>
      <c r="M83" s="2277"/>
      <c r="N83" s="2276"/>
      <c r="P83" s="303"/>
    </row>
    <row r="84" spans="1:16" s="294" customFormat="1" ht="13.2" customHeight="1">
      <c r="A84" s="480"/>
      <c r="B84" s="480"/>
      <c r="E84" s="2155"/>
      <c r="K84" s="2930" t="s">
        <v>4956</v>
      </c>
      <c r="L84" s="319" t="s">
        <v>2911</v>
      </c>
      <c r="M84" s="2492"/>
      <c r="N84" s="319" t="s">
        <v>2912</v>
      </c>
      <c r="O84" s="2492"/>
      <c r="P84" s="2266" t="s">
        <v>4955</v>
      </c>
    </row>
    <row r="85" spans="1:16" s="294" customFormat="1" ht="13.2" customHeight="1">
      <c r="A85" s="480"/>
      <c r="B85" s="480"/>
      <c r="D85" s="2264"/>
      <c r="E85" s="2155"/>
      <c r="J85" s="2153"/>
      <c r="K85" s="2930"/>
      <c r="L85" s="306" t="s">
        <v>2913</v>
      </c>
      <c r="M85" s="2494">
        <v>48</v>
      </c>
      <c r="N85" s="306" t="s">
        <v>3870</v>
      </c>
      <c r="O85" s="2494"/>
      <c r="P85" s="2495"/>
    </row>
    <row r="86" spans="1:16" s="294" customFormat="1" ht="3" customHeight="1">
      <c r="A86" s="480"/>
      <c r="B86" s="480"/>
      <c r="D86" s="2265"/>
      <c r="E86" s="2265"/>
      <c r="F86" s="2265"/>
      <c r="G86" s="2265"/>
      <c r="I86" s="2277"/>
      <c r="K86" s="2264"/>
      <c r="L86" s="2264"/>
      <c r="M86" s="2277"/>
      <c r="N86" s="2276"/>
      <c r="P86" s="303"/>
    </row>
    <row r="87" spans="1:16" s="294" customFormat="1" ht="13.2" customHeight="1">
      <c r="A87" s="480"/>
      <c r="B87" s="480" t="s">
        <v>1985</v>
      </c>
      <c r="C87" s="304" t="s">
        <v>1411</v>
      </c>
      <c r="D87" s="2276"/>
      <c r="E87" s="317"/>
      <c r="F87" s="2265" t="s">
        <v>796</v>
      </c>
      <c r="H87" s="316">
        <f>'Part VIII-Threshold Criteria'!K306</f>
        <v>3</v>
      </c>
      <c r="K87" s="2838" t="s">
        <v>520</v>
      </c>
      <c r="L87" s="2838"/>
      <c r="N87" s="320">
        <f>IF('Part VI-Revenues &amp; Expenses'!$O$67=0,0,H87/'Part VI-Revenues &amp; Expenses'!$O$67)</f>
        <v>6.25E-2</v>
      </c>
      <c r="O87" s="306" t="s">
        <v>3693</v>
      </c>
      <c r="P87" s="937">
        <f>'DCA Underwriting Assumptions'!$Q$139</f>
        <v>0.05</v>
      </c>
    </row>
    <row r="88" spans="1:16" s="294" customFormat="1" ht="12.75" customHeight="1">
      <c r="A88" s="480"/>
      <c r="B88" s="480"/>
      <c r="D88" s="2265" t="s">
        <v>2841</v>
      </c>
      <c r="E88" s="2265"/>
      <c r="F88" s="2265" t="s">
        <v>796</v>
      </c>
      <c r="H88" s="316">
        <f>'Part VIII-Threshold Criteria'!K307</f>
        <v>2</v>
      </c>
      <c r="K88" s="2276" t="s">
        <v>2842</v>
      </c>
      <c r="L88" s="2276"/>
      <c r="N88" s="320">
        <f>IF(H87=0,0,H88/H87)</f>
        <v>0.66666666666666663</v>
      </c>
      <c r="O88" s="306" t="s">
        <v>3693</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2" customHeight="1">
      <c r="A90" s="480"/>
      <c r="B90" s="480" t="s">
        <v>749</v>
      </c>
      <c r="C90" s="304" t="s">
        <v>1844</v>
      </c>
      <c r="D90" s="317"/>
      <c r="E90" s="317"/>
      <c r="F90" s="2265" t="s">
        <v>796</v>
      </c>
      <c r="H90" s="316">
        <f>'Part VIII-Threshold Criteria'!K309</f>
        <v>1</v>
      </c>
      <c r="K90" s="2838" t="s">
        <v>520</v>
      </c>
      <c r="L90" s="2838"/>
      <c r="N90" s="320">
        <f>IF('Part VI-Revenues &amp; Expenses'!$O$67=0,0,H90/'Part VI-Revenues &amp; Expenses'!$O$67)</f>
        <v>2.0833333333333332E-2</v>
      </c>
      <c r="O90" s="306" t="s">
        <v>3693</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2" customHeight="1">
      <c r="A92" s="321" t="s">
        <v>772</v>
      </c>
      <c r="B92" s="2155" t="s">
        <v>4863</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2" customHeight="1">
      <c r="A94" s="480"/>
      <c r="B94" s="480" t="s">
        <v>1983</v>
      </c>
      <c r="C94" s="2268" t="s">
        <v>2376</v>
      </c>
      <c r="D94" s="2265"/>
      <c r="F94" s="2264"/>
      <c r="K94" s="2880" t="s">
        <v>5148</v>
      </c>
      <c r="L94" s="2882"/>
      <c r="M94" s="2881"/>
      <c r="N94" s="2276"/>
    </row>
    <row r="95" spans="1:16" s="294" customFormat="1" ht="1.5" customHeight="1">
      <c r="A95" s="480"/>
      <c r="B95" s="480"/>
      <c r="D95" s="2265"/>
      <c r="F95" s="2265"/>
      <c r="G95" s="2265"/>
      <c r="L95" s="2277"/>
      <c r="M95" s="2277"/>
    </row>
    <row r="96" spans="1:16" s="294" customFormat="1" ht="13.2" customHeight="1">
      <c r="B96" s="480" t="s">
        <v>1985</v>
      </c>
      <c r="C96" s="296" t="s">
        <v>1534</v>
      </c>
      <c r="K96" s="2266" t="s">
        <v>4931</v>
      </c>
      <c r="N96" s="322"/>
      <c r="P96" s="2496" t="s">
        <v>5170</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2" customHeight="1">
      <c r="A98" s="321" t="s">
        <v>292</v>
      </c>
      <c r="B98" s="2155" t="s">
        <v>2041</v>
      </c>
      <c r="D98" s="2265"/>
    </row>
    <row r="99" spans="1:16" s="294" customFormat="1" ht="1.5" customHeight="1">
      <c r="A99" s="480"/>
      <c r="B99" s="480"/>
      <c r="D99" s="2265"/>
      <c r="N99" s="2276"/>
      <c r="P99" s="303"/>
    </row>
    <row r="100" spans="1:16" s="294" customFormat="1" ht="13.2" customHeight="1">
      <c r="A100" s="321"/>
      <c r="B100" s="480" t="s">
        <v>1983</v>
      </c>
      <c r="C100" s="296" t="s">
        <v>2708</v>
      </c>
      <c r="F100" s="317" t="s">
        <v>2600</v>
      </c>
      <c r="H100" s="2497" t="s">
        <v>2993</v>
      </c>
      <c r="K100" s="2264" t="s">
        <v>3887</v>
      </c>
      <c r="P100" s="2497" t="s">
        <v>2993</v>
      </c>
    </row>
    <row r="101" spans="1:16" s="294" customFormat="1" ht="13.2" customHeight="1">
      <c r="A101" s="321"/>
      <c r="B101" s="480"/>
      <c r="C101" s="296"/>
      <c r="F101" s="2265" t="s">
        <v>3893</v>
      </c>
      <c r="H101" s="2498" t="s">
        <v>2990</v>
      </c>
      <c r="K101" s="2264" t="s">
        <v>4724</v>
      </c>
      <c r="P101" s="2498" t="s">
        <v>2993</v>
      </c>
    </row>
    <row r="102" spans="1:16" s="294" customFormat="1" ht="1.5" customHeight="1">
      <c r="A102" s="480"/>
      <c r="B102" s="480"/>
      <c r="C102" s="2155"/>
      <c r="F102" s="2265"/>
      <c r="H102" s="2265"/>
      <c r="J102" s="2277"/>
      <c r="K102" s="2277"/>
      <c r="L102" s="2277"/>
      <c r="M102" s="2277"/>
      <c r="N102" s="2277"/>
      <c r="P102" s="303"/>
    </row>
    <row r="103" spans="1:16" s="294" customFormat="1" ht="13.2" customHeight="1">
      <c r="A103" s="321"/>
      <c r="B103" s="480" t="s">
        <v>1985</v>
      </c>
      <c r="C103" s="296" t="s">
        <v>2709</v>
      </c>
      <c r="F103" s="2264" t="s">
        <v>2679</v>
      </c>
      <c r="H103" s="2491" t="s">
        <v>2993</v>
      </c>
      <c r="I103" s="475" t="s">
        <v>2710</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2" customHeight="1">
      <c r="A105" s="321" t="s">
        <v>426</v>
      </c>
      <c r="B105" s="2155" t="s">
        <v>2783</v>
      </c>
      <c r="D105" s="2265"/>
      <c r="H105" s="2880" t="s">
        <v>2599</v>
      </c>
      <c r="I105" s="2881"/>
      <c r="J105" s="2277"/>
    </row>
    <row r="106" spans="1:16" s="294" customFormat="1" ht="4.5" customHeight="1">
      <c r="A106" s="480"/>
      <c r="D106" s="310"/>
      <c r="E106" s="2276"/>
      <c r="I106" s="310"/>
      <c r="J106" s="302"/>
      <c r="K106" s="2276"/>
      <c r="P106" s="303"/>
    </row>
    <row r="107" spans="1:16" s="294" customFormat="1" ht="13.2" customHeight="1">
      <c r="A107" s="321" t="s">
        <v>362</v>
      </c>
      <c r="B107" s="315" t="s">
        <v>1189</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2" customHeight="1">
      <c r="A109" s="480"/>
      <c r="B109" s="480"/>
      <c r="C109" s="302" t="s">
        <v>552</v>
      </c>
      <c r="D109" s="2276"/>
      <c r="E109" s="2778"/>
      <c r="F109" s="2779"/>
      <c r="G109" s="2779"/>
      <c r="H109" s="2779"/>
      <c r="I109" s="2779"/>
      <c r="J109" s="2779"/>
      <c r="K109" s="2779"/>
      <c r="L109" s="2780"/>
      <c r="M109" s="2869" t="s">
        <v>553</v>
      </c>
      <c r="N109" s="2869"/>
      <c r="O109" s="2870"/>
      <c r="P109" s="2871"/>
    </row>
    <row r="110" spans="1:16" s="294" customFormat="1" ht="13.2" customHeight="1">
      <c r="C110" s="2266" t="s">
        <v>1021</v>
      </c>
      <c r="D110" s="306"/>
      <c r="E110" s="2783"/>
      <c r="F110" s="2784"/>
      <c r="G110" s="2784"/>
      <c r="H110" s="2785"/>
      <c r="I110" s="2784"/>
      <c r="J110" s="2785"/>
      <c r="K110" s="2784"/>
      <c r="L110" s="2789"/>
      <c r="M110" s="2869" t="s">
        <v>808</v>
      </c>
      <c r="N110" s="2869"/>
      <c r="O110" s="2872"/>
      <c r="P110" s="2873"/>
    </row>
    <row r="111" spans="1:16" s="294" customFormat="1" ht="13.2" customHeight="1">
      <c r="C111" s="2266" t="s">
        <v>618</v>
      </c>
      <c r="E111" s="2827"/>
      <c r="F111" s="2874"/>
      <c r="G111" s="2875"/>
      <c r="H111" s="2269" t="s">
        <v>1799</v>
      </c>
      <c r="I111" s="2499"/>
      <c r="J111" s="323" t="s">
        <v>2229</v>
      </c>
      <c r="K111" s="2876"/>
      <c r="L111" s="2877"/>
      <c r="M111" s="271" t="s">
        <v>3661</v>
      </c>
      <c r="N111" s="271"/>
      <c r="O111" s="2878"/>
      <c r="P111" s="2879"/>
    </row>
    <row r="112" spans="1:16" s="294" customFormat="1" ht="13.2" customHeight="1">
      <c r="C112" s="294" t="s">
        <v>2194</v>
      </c>
      <c r="E112" s="2827"/>
      <c r="F112" s="2874"/>
      <c r="G112" s="2875"/>
      <c r="H112" s="970" t="s">
        <v>1980</v>
      </c>
      <c r="I112" s="2893"/>
      <c r="J112" s="2894"/>
      <c r="K112" s="2895"/>
      <c r="L112" s="2287" t="s">
        <v>1984</v>
      </c>
      <c r="M112" s="2778"/>
      <c r="N112" s="2896"/>
      <c r="O112" s="2897"/>
      <c r="P112" s="2898"/>
    </row>
    <row r="113" spans="1:16" s="294" customFormat="1" ht="13.2" customHeight="1">
      <c r="C113" s="2266" t="s">
        <v>2193</v>
      </c>
      <c r="E113" s="2770"/>
      <c r="F113" s="2899"/>
      <c r="G113" s="2771"/>
      <c r="H113" s="970" t="s">
        <v>1802</v>
      </c>
      <c r="I113" s="2770"/>
      <c r="J113" s="2900"/>
      <c r="K113" s="2269" t="s">
        <v>2704</v>
      </c>
      <c r="L113" s="2830"/>
      <c r="M113" s="2901"/>
      <c r="N113" s="2901"/>
      <c r="O113" s="2901"/>
      <c r="P113" s="2902"/>
    </row>
    <row r="114" spans="1:16" s="294" customFormat="1" ht="3" customHeight="1">
      <c r="A114" s="480"/>
      <c r="B114" s="480"/>
      <c r="G114" s="310"/>
      <c r="H114" s="2277"/>
      <c r="I114" s="2277"/>
      <c r="M114" s="303"/>
    </row>
    <row r="115" spans="1:16" s="294" customFormat="1" ht="13.2" customHeight="1">
      <c r="A115" s="321" t="s">
        <v>363</v>
      </c>
      <c r="B115" s="2155" t="s">
        <v>1669</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155" t="s">
        <v>1412</v>
      </c>
      <c r="D119" s="2265"/>
      <c r="E119" s="2265"/>
      <c r="F119" s="2277"/>
      <c r="G119" s="2277"/>
      <c r="H119" s="2500">
        <v>1</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155" t="s">
        <v>416</v>
      </c>
      <c r="D121" s="2265"/>
      <c r="E121" s="2265"/>
      <c r="F121" s="2277"/>
      <c r="G121" s="2277"/>
      <c r="H121" s="2501">
        <v>741000</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5" t="s">
        <v>302</v>
      </c>
      <c r="D123" s="2265"/>
      <c r="E123" s="2265"/>
      <c r="F123" s="2277"/>
      <c r="G123" s="2277"/>
      <c r="H123" s="2277"/>
      <c r="I123" s="2277"/>
      <c r="J123" s="310"/>
      <c r="K123" s="2277"/>
      <c r="L123" s="2277"/>
      <c r="N123" s="2276"/>
      <c r="O123" s="2276"/>
    </row>
    <row r="124" spans="1:16" s="294" customFormat="1" ht="13.2" customHeight="1">
      <c r="B124" s="480"/>
      <c r="C124" s="2265" t="s">
        <v>2135</v>
      </c>
      <c r="D124" s="2265"/>
      <c r="F124" s="2265" t="s">
        <v>1134</v>
      </c>
      <c r="G124" s="2277"/>
      <c r="H124" s="2277"/>
      <c r="I124" s="2277" t="s">
        <v>1294</v>
      </c>
      <c r="J124" s="2265" t="s">
        <v>2135</v>
      </c>
      <c r="K124" s="2265"/>
      <c r="M124" s="2265" t="s">
        <v>1134</v>
      </c>
      <c r="N124" s="2277"/>
      <c r="O124" s="2277"/>
      <c r="P124" s="2277" t="s">
        <v>1294</v>
      </c>
    </row>
    <row r="125" spans="1:16" s="294" customFormat="1" ht="13.2" customHeight="1">
      <c r="A125" s="480"/>
      <c r="B125" s="480"/>
      <c r="C125" s="2883" t="s">
        <v>5182</v>
      </c>
      <c r="D125" s="2884"/>
      <c r="E125" s="2884"/>
      <c r="F125" s="2885" t="s">
        <v>5163</v>
      </c>
      <c r="G125" s="2886"/>
      <c r="H125" s="2887"/>
      <c r="I125" s="2502" t="s">
        <v>5164</v>
      </c>
      <c r="J125" s="2883">
        <v>7</v>
      </c>
      <c r="K125" s="2884"/>
      <c r="L125" s="2884"/>
      <c r="M125" s="2885"/>
      <c r="N125" s="2886"/>
      <c r="O125" s="2887"/>
      <c r="P125" s="2502"/>
    </row>
    <row r="126" spans="1:16" s="294" customFormat="1" ht="13.2" customHeight="1">
      <c r="A126" s="480"/>
      <c r="B126" s="480"/>
      <c r="C126" s="2888">
        <v>2</v>
      </c>
      <c r="D126" s="2889"/>
      <c r="E126" s="2889"/>
      <c r="F126" s="2890"/>
      <c r="G126" s="2891"/>
      <c r="H126" s="2892"/>
      <c r="I126" s="2503"/>
      <c r="J126" s="2888">
        <v>8</v>
      </c>
      <c r="K126" s="2889"/>
      <c r="L126" s="2889"/>
      <c r="M126" s="2890"/>
      <c r="N126" s="2891"/>
      <c r="O126" s="2892"/>
      <c r="P126" s="2503"/>
    </row>
    <row r="127" spans="1:16" s="294" customFormat="1" ht="13.2" customHeight="1">
      <c r="A127" s="480"/>
      <c r="B127" s="480"/>
      <c r="C127" s="2888">
        <v>3</v>
      </c>
      <c r="D127" s="2889"/>
      <c r="E127" s="2889"/>
      <c r="F127" s="2890"/>
      <c r="G127" s="2891"/>
      <c r="H127" s="2892"/>
      <c r="I127" s="2503"/>
      <c r="J127" s="2888">
        <v>9</v>
      </c>
      <c r="K127" s="2889"/>
      <c r="L127" s="2889"/>
      <c r="M127" s="2890"/>
      <c r="N127" s="2891"/>
      <c r="O127" s="2892"/>
      <c r="P127" s="2503"/>
    </row>
    <row r="128" spans="1:16" s="294" customFormat="1" ht="13.2" customHeight="1">
      <c r="A128" s="480"/>
      <c r="B128" s="480"/>
      <c r="C128" s="2888">
        <v>4</v>
      </c>
      <c r="D128" s="2889"/>
      <c r="E128" s="2889"/>
      <c r="F128" s="2890"/>
      <c r="G128" s="2891"/>
      <c r="H128" s="2892"/>
      <c r="I128" s="2503"/>
      <c r="J128" s="2888">
        <v>10</v>
      </c>
      <c r="K128" s="2889"/>
      <c r="L128" s="2889"/>
      <c r="M128" s="2890"/>
      <c r="N128" s="2891"/>
      <c r="O128" s="2892"/>
      <c r="P128" s="2503"/>
    </row>
    <row r="129" spans="1:16" s="294" customFormat="1" ht="13.2" customHeight="1">
      <c r="A129" s="480"/>
      <c r="B129" s="480"/>
      <c r="C129" s="2888">
        <v>5</v>
      </c>
      <c r="D129" s="2889"/>
      <c r="E129" s="2889"/>
      <c r="F129" s="2890"/>
      <c r="G129" s="2891"/>
      <c r="H129" s="2892"/>
      <c r="I129" s="2503"/>
      <c r="J129" s="2888">
        <v>11</v>
      </c>
      <c r="K129" s="2889"/>
      <c r="L129" s="2889"/>
      <c r="M129" s="2890"/>
      <c r="N129" s="2891"/>
      <c r="O129" s="2892"/>
      <c r="P129" s="2503"/>
    </row>
    <row r="130" spans="1:16" s="294" customFormat="1" ht="13.2" customHeight="1">
      <c r="A130" s="480"/>
      <c r="B130" s="480"/>
      <c r="C130" s="2903">
        <v>6</v>
      </c>
      <c r="D130" s="2904"/>
      <c r="E130" s="2904"/>
      <c r="F130" s="2905"/>
      <c r="G130" s="2906"/>
      <c r="H130" s="2907"/>
      <c r="I130" s="2504"/>
      <c r="J130" s="2903">
        <v>12</v>
      </c>
      <c r="K130" s="2904"/>
      <c r="L130" s="2904"/>
      <c r="M130" s="2905"/>
      <c r="N130" s="2906"/>
      <c r="O130" s="2907"/>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908" t="s">
        <v>1847</v>
      </c>
      <c r="D132" s="2908"/>
      <c r="E132" s="2908"/>
      <c r="F132" s="2908"/>
      <c r="G132" s="2908"/>
      <c r="H132" s="2908"/>
      <c r="I132" s="2908"/>
      <c r="J132" s="2908"/>
      <c r="K132" s="2908"/>
      <c r="L132" s="2908"/>
      <c r="M132" s="2908"/>
      <c r="N132" s="2908"/>
      <c r="O132" s="2908"/>
      <c r="P132" s="2908"/>
    </row>
    <row r="133" spans="1:16" s="294" customFormat="1" ht="13.2" customHeight="1">
      <c r="A133" s="480"/>
      <c r="B133" s="480"/>
      <c r="C133" s="2908"/>
      <c r="D133" s="2908"/>
      <c r="E133" s="2908"/>
      <c r="F133" s="2908"/>
      <c r="G133" s="2908"/>
      <c r="H133" s="2908"/>
      <c r="I133" s="2908"/>
      <c r="J133" s="2908"/>
      <c r="K133" s="2908"/>
      <c r="L133" s="2908"/>
      <c r="M133" s="2908"/>
      <c r="N133" s="2908"/>
      <c r="O133" s="2908"/>
      <c r="P133" s="2908"/>
    </row>
    <row r="134" spans="1:16" s="294" customFormat="1" ht="13.2" customHeight="1">
      <c r="B134" s="480"/>
      <c r="C134" s="2265" t="s">
        <v>2135</v>
      </c>
      <c r="D134" s="2265"/>
      <c r="F134" s="2265" t="s">
        <v>1134</v>
      </c>
      <c r="G134" s="2277"/>
      <c r="H134" s="2277"/>
      <c r="I134" s="2277"/>
      <c r="J134" s="2265" t="s">
        <v>2135</v>
      </c>
      <c r="K134" s="2265"/>
      <c r="M134" s="2265" t="s">
        <v>1134</v>
      </c>
      <c r="N134" s="2277"/>
      <c r="O134" s="2277"/>
      <c r="P134" s="2277"/>
    </row>
    <row r="135" spans="1:16" s="294" customFormat="1" ht="13.2" customHeight="1">
      <c r="A135" s="480"/>
      <c r="B135" s="480"/>
      <c r="C135" s="2883">
        <v>1</v>
      </c>
      <c r="D135" s="2884"/>
      <c r="E135" s="2884"/>
      <c r="F135" s="2885"/>
      <c r="G135" s="2886"/>
      <c r="H135" s="2886"/>
      <c r="I135" s="2909"/>
      <c r="J135" s="2883">
        <v>7</v>
      </c>
      <c r="K135" s="2884"/>
      <c r="L135" s="2884"/>
      <c r="M135" s="2885"/>
      <c r="N135" s="2886"/>
      <c r="O135" s="2886"/>
      <c r="P135" s="2909"/>
    </row>
    <row r="136" spans="1:16" s="294" customFormat="1" ht="13.2" customHeight="1">
      <c r="A136" s="480"/>
      <c r="B136" s="480"/>
      <c r="C136" s="2888">
        <v>2</v>
      </c>
      <c r="D136" s="2889"/>
      <c r="E136" s="2889"/>
      <c r="F136" s="2890"/>
      <c r="G136" s="2891"/>
      <c r="H136" s="2891"/>
      <c r="I136" s="2910"/>
      <c r="J136" s="2888">
        <v>8</v>
      </c>
      <c r="K136" s="2889"/>
      <c r="L136" s="2889"/>
      <c r="M136" s="2890"/>
      <c r="N136" s="2891"/>
      <c r="O136" s="2891"/>
      <c r="P136" s="2910"/>
    </row>
    <row r="137" spans="1:16" s="294" customFormat="1" ht="13.2" customHeight="1">
      <c r="A137" s="480"/>
      <c r="B137" s="480"/>
      <c r="C137" s="2888">
        <v>3</v>
      </c>
      <c r="D137" s="2889"/>
      <c r="E137" s="2889"/>
      <c r="F137" s="2890"/>
      <c r="G137" s="2891"/>
      <c r="H137" s="2891"/>
      <c r="I137" s="2910"/>
      <c r="J137" s="2888">
        <v>9</v>
      </c>
      <c r="K137" s="2889"/>
      <c r="L137" s="2889"/>
      <c r="M137" s="2890"/>
      <c r="N137" s="2891"/>
      <c r="O137" s="2891"/>
      <c r="P137" s="2910"/>
    </row>
    <row r="138" spans="1:16" s="294" customFormat="1" ht="13.2" customHeight="1">
      <c r="A138" s="480"/>
      <c r="B138" s="480"/>
      <c r="C138" s="2888">
        <v>4</v>
      </c>
      <c r="D138" s="2889"/>
      <c r="E138" s="2889"/>
      <c r="F138" s="2890"/>
      <c r="G138" s="2891"/>
      <c r="H138" s="2891"/>
      <c r="I138" s="2910"/>
      <c r="J138" s="2888">
        <v>10</v>
      </c>
      <c r="K138" s="2889"/>
      <c r="L138" s="2889"/>
      <c r="M138" s="2890"/>
      <c r="N138" s="2891"/>
      <c r="O138" s="2891"/>
      <c r="P138" s="2910"/>
    </row>
    <row r="139" spans="1:16" s="294" customFormat="1" ht="13.2" customHeight="1">
      <c r="A139" s="480"/>
      <c r="B139" s="480"/>
      <c r="C139" s="2888">
        <v>5</v>
      </c>
      <c r="D139" s="2889"/>
      <c r="E139" s="2889"/>
      <c r="F139" s="2890"/>
      <c r="G139" s="2891"/>
      <c r="H139" s="2891"/>
      <c r="I139" s="2910"/>
      <c r="J139" s="2888">
        <v>11</v>
      </c>
      <c r="K139" s="2889"/>
      <c r="L139" s="2889"/>
      <c r="M139" s="2890"/>
      <c r="N139" s="2891"/>
      <c r="O139" s="2891"/>
      <c r="P139" s="2910"/>
    </row>
    <row r="140" spans="1:16" s="294" customFormat="1" ht="13.2" customHeight="1">
      <c r="A140" s="480"/>
      <c r="B140" s="480"/>
      <c r="C140" s="2903">
        <v>6</v>
      </c>
      <c r="D140" s="2904"/>
      <c r="E140" s="2904"/>
      <c r="F140" s="2905"/>
      <c r="G140" s="2906"/>
      <c r="H140" s="2906"/>
      <c r="I140" s="2913"/>
      <c r="J140" s="2903">
        <v>12</v>
      </c>
      <c r="K140" s="2904"/>
      <c r="L140" s="2904"/>
      <c r="M140" s="2905"/>
      <c r="N140" s="2906"/>
      <c r="O140" s="2906"/>
      <c r="P140" s="2913"/>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7" customHeight="1" thickBot="1">
      <c r="A143" s="296" t="s">
        <v>364</v>
      </c>
      <c r="B143" s="304" t="s">
        <v>4964</v>
      </c>
      <c r="D143" s="304"/>
      <c r="E143" s="304"/>
      <c r="F143" s="304"/>
      <c r="I143" s="2505" t="s">
        <v>2993</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2" customHeight="1">
      <c r="A145" s="480"/>
      <c r="B145" s="480" t="s">
        <v>1983</v>
      </c>
      <c r="C145" s="299" t="s">
        <v>1713</v>
      </c>
      <c r="I145" s="2497" t="s">
        <v>2993</v>
      </c>
      <c r="M145" s="2277"/>
      <c r="N145" s="2276"/>
      <c r="O145" s="2276"/>
      <c r="P145" s="303"/>
    </row>
    <row r="146" spans="1:16" s="294" customFormat="1" ht="13.2" customHeight="1">
      <c r="A146" s="480"/>
      <c r="B146" s="480"/>
      <c r="C146" s="2265" t="s">
        <v>2420</v>
      </c>
      <c r="D146" s="2265"/>
      <c r="E146" s="2265"/>
      <c r="F146" s="2277"/>
      <c r="I146" s="2506"/>
      <c r="N146" s="2276"/>
      <c r="O146" s="2276"/>
      <c r="P146" s="303"/>
    </row>
    <row r="147" spans="1:16" s="294" customFormat="1" ht="13.2" customHeight="1">
      <c r="A147" s="480"/>
      <c r="B147" s="480"/>
      <c r="C147" s="326" t="s">
        <v>1712</v>
      </c>
      <c r="D147" s="2266"/>
      <c r="I147" s="2486"/>
      <c r="P147" s="303"/>
    </row>
    <row r="148" spans="1:16" s="294" customFormat="1" ht="13.2" customHeight="1">
      <c r="A148" s="480"/>
      <c r="B148" s="480"/>
      <c r="C148" s="2265" t="s">
        <v>2421</v>
      </c>
      <c r="D148" s="2265"/>
      <c r="E148" s="2155"/>
      <c r="F148" s="2277"/>
      <c r="I148" s="2506"/>
      <c r="K148" s="271" t="s">
        <v>2245</v>
      </c>
      <c r="O148" s="2778" t="s">
        <v>484</v>
      </c>
      <c r="P148" s="2780"/>
    </row>
    <row r="149" spans="1:16" s="294" customFormat="1" ht="13.2" customHeight="1">
      <c r="A149" s="480"/>
      <c r="B149" s="480"/>
      <c r="C149" s="2265" t="s">
        <v>2419</v>
      </c>
      <c r="F149" s="2277"/>
      <c r="I149" s="2507"/>
      <c r="K149" s="271" t="s">
        <v>2246</v>
      </c>
      <c r="O149" s="2796" t="s">
        <v>484</v>
      </c>
      <c r="P149" s="2786"/>
    </row>
    <row r="150" spans="1:16" s="294" customFormat="1" ht="13.2" customHeight="1">
      <c r="A150" s="480"/>
      <c r="B150" s="480"/>
      <c r="C150" s="2265" t="s">
        <v>2166</v>
      </c>
      <c r="D150" s="2265"/>
      <c r="E150" s="2265"/>
      <c r="F150" s="2277"/>
      <c r="I150" s="2911"/>
      <c r="J150" s="2912"/>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2" customHeight="1">
      <c r="A152" s="480"/>
      <c r="B152" s="480" t="s">
        <v>1985</v>
      </c>
      <c r="C152" s="2216" t="s">
        <v>2701</v>
      </c>
      <c r="D152" s="2265"/>
      <c r="E152" s="317" t="s">
        <v>5048</v>
      </c>
      <c r="F152" s="317"/>
      <c r="G152" s="317"/>
      <c r="I152" s="2508" t="s">
        <v>2993</v>
      </c>
      <c r="K152" s="317" t="s">
        <v>5050</v>
      </c>
      <c r="L152" s="317"/>
      <c r="M152" s="317"/>
      <c r="O152" s="2509" t="s">
        <v>2993</v>
      </c>
      <c r="P152" s="303"/>
    </row>
    <row r="153" spans="1:16" s="294" customFormat="1" ht="13.2" customHeight="1">
      <c r="A153" s="480"/>
      <c r="C153" s="2155"/>
      <c r="D153" s="2265"/>
      <c r="E153" s="317" t="s">
        <v>5049</v>
      </c>
      <c r="F153" s="317"/>
      <c r="G153" s="317"/>
      <c r="I153" s="2510" t="s">
        <v>2993</v>
      </c>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2" customHeight="1">
      <c r="A155" s="480"/>
      <c r="B155" s="480" t="s">
        <v>749</v>
      </c>
      <c r="C155" s="2155" t="s">
        <v>5047</v>
      </c>
      <c r="D155" s="2265"/>
      <c r="E155" s="2265"/>
      <c r="F155" s="2277"/>
      <c r="I155" s="2500" t="s">
        <v>2993</v>
      </c>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2" customHeight="1">
      <c r="A157" s="321" t="s">
        <v>1726</v>
      </c>
      <c r="B157" s="318" t="s">
        <v>1190</v>
      </c>
      <c r="D157" s="318"/>
      <c r="E157" s="318"/>
      <c r="F157" s="318"/>
      <c r="G157" s="2277"/>
      <c r="H157" s="2277"/>
      <c r="I157" s="2277"/>
      <c r="J157" s="310"/>
      <c r="K157" s="2277"/>
      <c r="L157" s="2277"/>
      <c r="N157" s="2276"/>
      <c r="O157" s="2276"/>
      <c r="P157" s="303"/>
    </row>
    <row r="158" spans="1:16" s="294" customFormat="1" ht="1.95" customHeight="1">
      <c r="A158" s="321"/>
      <c r="B158" s="480"/>
      <c r="C158" s="2155"/>
      <c r="D158" s="2155"/>
      <c r="E158" s="2155"/>
      <c r="F158" s="2155"/>
      <c r="G158" s="2277"/>
      <c r="H158" s="2277"/>
      <c r="I158" s="2277"/>
      <c r="J158" s="310"/>
      <c r="K158" s="2277"/>
      <c r="L158" s="2277"/>
      <c r="N158" s="2276"/>
      <c r="O158" s="2276"/>
    </row>
    <row r="159" spans="1:16" s="294" customFormat="1" ht="13.2" customHeight="1">
      <c r="A159" s="480"/>
      <c r="B159" s="480" t="s">
        <v>1983</v>
      </c>
      <c r="C159" s="309" t="s">
        <v>1822</v>
      </c>
      <c r="F159" s="2277"/>
      <c r="G159" s="2277"/>
      <c r="H159" s="2277"/>
      <c r="I159" s="2277"/>
      <c r="J159" s="310"/>
      <c r="K159" s="2277"/>
      <c r="L159" s="2277"/>
      <c r="N159" s="2276"/>
      <c r="O159" s="2276"/>
      <c r="P159" s="303"/>
    </row>
    <row r="160" spans="1:16" s="294" customFormat="1" ht="12.6" customHeight="1">
      <c r="A160" s="480"/>
      <c r="B160" s="480"/>
      <c r="C160" s="317" t="s">
        <v>1527</v>
      </c>
      <c r="D160" s="310"/>
      <c r="E160" s="310"/>
      <c r="F160" s="2277"/>
      <c r="G160" s="2277"/>
      <c r="H160" s="2277"/>
      <c r="I160" s="2511" t="s">
        <v>2993</v>
      </c>
      <c r="N160" s="2276"/>
      <c r="O160" s="2276"/>
      <c r="P160" s="303"/>
    </row>
    <row r="161" spans="1:16" s="294" customFormat="1" ht="12.6" customHeight="1">
      <c r="A161" s="480"/>
      <c r="B161" s="480"/>
      <c r="C161" s="2853" t="s">
        <v>4966</v>
      </c>
      <c r="D161" s="2853"/>
      <c r="E161" s="2853"/>
      <c r="F161" s="2853"/>
      <c r="G161" s="294" t="s">
        <v>4777</v>
      </c>
      <c r="I161" s="2512"/>
      <c r="K161" s="2266" t="s">
        <v>1795</v>
      </c>
      <c r="P161" s="2066">
        <f>IF('Part VI-Revenues &amp; Expenses'!$O$65=0,0,I161/'Part VI-Revenues &amp; Expenses'!$O$65)</f>
        <v>0</v>
      </c>
    </row>
    <row r="162" spans="1:16" s="294" customFormat="1" ht="12.6" customHeight="1">
      <c r="A162" s="480"/>
      <c r="B162" s="480"/>
      <c r="C162" s="2853"/>
      <c r="D162" s="2853"/>
      <c r="E162" s="2853"/>
      <c r="F162" s="2853"/>
      <c r="G162" s="294" t="s">
        <v>4776</v>
      </c>
      <c r="I162" s="2512"/>
      <c r="K162" s="2266" t="s">
        <v>1795</v>
      </c>
      <c r="O162" s="2281"/>
      <c r="P162" s="2067">
        <f>IF('Part VI-Revenues &amp; Expenses'!$O$65=0,0,I162/'Part VI-Revenues &amp; Expenses'!$O$65)</f>
        <v>0</v>
      </c>
    </row>
    <row r="163" spans="1:16" s="294" customFormat="1" ht="12" customHeight="1">
      <c r="A163" s="480"/>
      <c r="B163" s="480"/>
      <c r="C163" s="2266" t="s">
        <v>4778</v>
      </c>
      <c r="I163" s="2494"/>
      <c r="K163" s="2266"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78"/>
      <c r="E165" s="2779"/>
      <c r="F165" s="2779"/>
      <c r="G165" s="2779"/>
      <c r="H165" s="2780"/>
      <c r="I165" s="2266" t="s">
        <v>4722</v>
      </c>
      <c r="N165" s="2777"/>
      <c r="O165" s="2942"/>
      <c r="P165" s="2776"/>
    </row>
    <row r="166" spans="1:16" s="294" customFormat="1" ht="12.6" customHeight="1">
      <c r="A166" s="480"/>
      <c r="B166" s="480"/>
      <c r="C166" s="2266" t="s">
        <v>4723</v>
      </c>
      <c r="D166" s="2827"/>
      <c r="E166" s="2828"/>
      <c r="F166" s="2784"/>
      <c r="G166" s="2828"/>
      <c r="H166" s="2829"/>
      <c r="I166" s="2275" t="s">
        <v>1797</v>
      </c>
      <c r="J166" s="2778"/>
      <c r="K166" s="2779"/>
      <c r="L166" s="2780"/>
      <c r="M166" s="2048" t="s">
        <v>1980</v>
      </c>
      <c r="N166" s="2827"/>
      <c r="O166" s="2828"/>
      <c r="P166" s="2829"/>
    </row>
    <row r="167" spans="1:16" s="294" customFormat="1" ht="12.6" customHeight="1">
      <c r="A167" s="480"/>
      <c r="B167" s="480"/>
      <c r="C167" s="2266" t="s">
        <v>618</v>
      </c>
      <c r="D167" s="2827"/>
      <c r="E167" s="2829"/>
      <c r="F167" s="2046" t="s">
        <v>2229</v>
      </c>
      <c r="G167" s="2943"/>
      <c r="H167" s="2944"/>
      <c r="I167" s="327" t="s">
        <v>1802</v>
      </c>
      <c r="J167" s="2939"/>
      <c r="K167" s="2940"/>
      <c r="L167" s="2941"/>
      <c r="M167" s="2047" t="s">
        <v>1979</v>
      </c>
      <c r="N167" s="2939"/>
      <c r="O167" s="2940"/>
      <c r="P167" s="2941"/>
    </row>
    <row r="168" spans="1:16" s="294" customFormat="1" ht="12.6" customHeight="1">
      <c r="A168" s="480"/>
      <c r="B168" s="480"/>
      <c r="C168" s="294" t="s">
        <v>2704</v>
      </c>
      <c r="D168" s="2766"/>
      <c r="E168" s="2767"/>
      <c r="F168" s="2767"/>
      <c r="G168" s="2767"/>
      <c r="H168" s="2769"/>
      <c r="I168" s="327" t="s">
        <v>1800</v>
      </c>
      <c r="J168" s="2938"/>
      <c r="K168" s="2901"/>
      <c r="L168" s="2901"/>
      <c r="M168" s="2901"/>
      <c r="N168" s="2901"/>
      <c r="O168" s="2901"/>
      <c r="P168" s="2902"/>
    </row>
    <row r="169" spans="1:16" s="294" customFormat="1" ht="12" customHeight="1">
      <c r="A169" s="480"/>
      <c r="B169" s="480"/>
      <c r="C169" s="294" t="s">
        <v>4779</v>
      </c>
      <c r="E169" s="328"/>
      <c r="F169" s="328"/>
      <c r="G169" s="328"/>
      <c r="H169" s="2277"/>
      <c r="I169" s="2509"/>
      <c r="J169" s="2945" t="s">
        <v>761</v>
      </c>
      <c r="K169" s="2946"/>
      <c r="L169" s="2500"/>
      <c r="M169" s="328"/>
      <c r="N169" s="2277"/>
      <c r="O169" s="328"/>
      <c r="P169" s="328"/>
    </row>
    <row r="170" spans="1:16" s="294" customFormat="1" ht="3" customHeight="1">
      <c r="A170" s="480"/>
      <c r="B170" s="480"/>
    </row>
    <row r="171" spans="1:16" s="294" customFormat="1" ht="12.6" customHeight="1">
      <c r="A171" s="480"/>
      <c r="B171" s="480" t="s">
        <v>1985</v>
      </c>
      <c r="C171" s="2268" t="s">
        <v>2702</v>
      </c>
      <c r="D171" s="2268"/>
      <c r="E171" s="2268"/>
      <c r="F171" s="2268"/>
      <c r="G171" s="2268"/>
      <c r="I171" s="2513"/>
      <c r="J171" s="2931" t="s">
        <v>761</v>
      </c>
      <c r="K171" s="2932"/>
      <c r="L171" s="2513"/>
      <c r="M171" s="2933" t="s">
        <v>2326</v>
      </c>
      <c r="N171" s="2934"/>
      <c r="O171" s="2935"/>
      <c r="P171" s="2514"/>
    </row>
    <row r="172" spans="1:16" s="294" customFormat="1" ht="12.6" customHeight="1">
      <c r="A172" s="480"/>
      <c r="B172" s="480"/>
      <c r="C172" s="2268" t="s">
        <v>2703</v>
      </c>
      <c r="D172" s="2268"/>
      <c r="E172" s="2268"/>
      <c r="F172" s="2268"/>
      <c r="G172" s="2268"/>
      <c r="I172" s="2498" t="s">
        <v>2990</v>
      </c>
      <c r="J172" s="2931" t="s">
        <v>761</v>
      </c>
      <c r="K172" s="2932"/>
      <c r="L172" s="2498"/>
      <c r="M172" s="2933" t="s">
        <v>2326</v>
      </c>
      <c r="N172" s="2934"/>
      <c r="O172" s="2935"/>
      <c r="P172" s="2515"/>
    </row>
    <row r="173" spans="1:16" s="294" customFormat="1" ht="1.5" customHeight="1">
      <c r="A173" s="480"/>
      <c r="B173" s="480"/>
      <c r="C173" s="2268"/>
      <c r="D173" s="2268"/>
      <c r="E173" s="296"/>
      <c r="F173" s="2268"/>
      <c r="G173" s="2268"/>
      <c r="J173" s="2276"/>
      <c r="K173" s="370"/>
      <c r="M173" s="2276"/>
      <c r="O173" s="2277"/>
      <c r="P173" s="303"/>
    </row>
    <row r="174" spans="1:16" s="294" customFormat="1" ht="12.6" customHeight="1">
      <c r="A174" s="480"/>
      <c r="B174" s="480" t="s">
        <v>749</v>
      </c>
      <c r="C174" s="2268" t="s">
        <v>1757</v>
      </c>
      <c r="D174" s="2268"/>
      <c r="E174" s="2268"/>
      <c r="F174" s="2268"/>
      <c r="G174" s="2268"/>
      <c r="I174" s="2491" t="s">
        <v>2993</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6" customHeight="1">
      <c r="A176" s="480"/>
      <c r="B176" s="480" t="s">
        <v>2115</v>
      </c>
      <c r="C176" s="2936" t="s">
        <v>1978</v>
      </c>
      <c r="D176" s="2936"/>
      <c r="E176" s="2936"/>
      <c r="F176" s="2936"/>
      <c r="G176" s="2268"/>
      <c r="I176" s="2491" t="s">
        <v>2993</v>
      </c>
      <c r="J176" s="330" t="s">
        <v>2753</v>
      </c>
      <c r="L176" s="2937" t="s">
        <v>3699</v>
      </c>
      <c r="M176" s="2937"/>
      <c r="N176" s="2268"/>
      <c r="O176" s="2268"/>
      <c r="P176" s="2492"/>
    </row>
    <row r="177" spans="1:16" s="294" customFormat="1" ht="12.6" customHeight="1">
      <c r="B177" s="480"/>
      <c r="L177" s="2838" t="s">
        <v>797</v>
      </c>
      <c r="M177" s="2838"/>
      <c r="N177" s="2155"/>
      <c r="O177" s="2155"/>
      <c r="P177" s="2494"/>
    </row>
    <row r="178" spans="1:16" s="294" customFormat="1" ht="12.6" customHeight="1">
      <c r="A178" s="480"/>
      <c r="B178" s="480"/>
      <c r="L178" s="2838" t="s">
        <v>1791</v>
      </c>
      <c r="M178" s="2838"/>
      <c r="N178" s="2155"/>
      <c r="O178" s="2155"/>
      <c r="P178" s="329" t="str">
        <f>IF(P176="","",P177/P176)</f>
        <v/>
      </c>
    </row>
    <row r="179" spans="1:16" s="294" customFormat="1" ht="13.2" customHeight="1">
      <c r="A179" s="480"/>
      <c r="B179" s="480" t="s">
        <v>1735</v>
      </c>
      <c r="C179" s="2268" t="s">
        <v>1609</v>
      </c>
      <c r="D179" s="2265"/>
      <c r="E179" s="2265"/>
      <c r="F179" s="2265"/>
      <c r="G179" s="2265"/>
      <c r="H179" s="2277"/>
      <c r="J179" s="302"/>
      <c r="K179" s="310"/>
      <c r="M179" s="2276"/>
      <c r="O179" s="2277"/>
      <c r="P179" s="303"/>
    </row>
    <row r="180" spans="1:16" s="294" customFormat="1" ht="12.6" customHeight="1">
      <c r="A180" s="480"/>
      <c r="B180" s="480"/>
      <c r="C180" s="2276" t="s">
        <v>2212</v>
      </c>
      <c r="D180" s="304"/>
      <c r="E180" s="2276"/>
      <c r="F180" s="2276"/>
      <c r="I180" s="2511" t="s">
        <v>2993</v>
      </c>
      <c r="L180" s="2276" t="s">
        <v>1610</v>
      </c>
      <c r="M180" s="2276"/>
      <c r="N180" s="2276"/>
      <c r="P180" s="2511" t="s">
        <v>2990</v>
      </c>
    </row>
    <row r="181" spans="1:16" s="294" customFormat="1" ht="12.6" customHeight="1">
      <c r="A181" s="480"/>
      <c r="B181" s="480"/>
      <c r="C181" s="2276" t="s">
        <v>2213</v>
      </c>
      <c r="I181" s="2507" t="s">
        <v>2993</v>
      </c>
      <c r="L181" s="2276" t="s">
        <v>2846</v>
      </c>
      <c r="M181" s="2276"/>
      <c r="N181" s="2276"/>
      <c r="P181" s="2507" t="s">
        <v>2993</v>
      </c>
    </row>
    <row r="182" spans="1:16" s="294" customFormat="1" ht="12.6" customHeight="1">
      <c r="A182" s="480"/>
      <c r="C182" s="2276" t="s">
        <v>2722</v>
      </c>
      <c r="I182" s="2507" t="s">
        <v>2993</v>
      </c>
      <c r="L182" s="2276" t="s">
        <v>2690</v>
      </c>
      <c r="N182" s="2914"/>
      <c r="O182" s="2915"/>
      <c r="P182" s="2507"/>
    </row>
    <row r="183" spans="1:16" s="294" customFormat="1" ht="12.6" customHeight="1">
      <c r="A183" s="480"/>
      <c r="B183" s="480"/>
      <c r="C183" s="2276" t="s">
        <v>1285</v>
      </c>
      <c r="D183" s="331"/>
      <c r="I183" s="2507" t="s">
        <v>2993</v>
      </c>
      <c r="K183" s="304"/>
      <c r="L183" s="2276" t="s">
        <v>3482</v>
      </c>
      <c r="M183" s="2276"/>
      <c r="N183" s="2276"/>
      <c r="P183" s="2507" t="s">
        <v>2993</v>
      </c>
    </row>
    <row r="184" spans="1:16" s="294" customFormat="1" ht="12.6" customHeight="1">
      <c r="A184" s="480"/>
      <c r="B184" s="296"/>
      <c r="C184" s="2276" t="s">
        <v>1807</v>
      </c>
      <c r="I184" s="2507" t="s">
        <v>2993</v>
      </c>
      <c r="J184" s="330" t="s">
        <v>2754</v>
      </c>
      <c r="O184" s="2916"/>
      <c r="P184" s="2917"/>
    </row>
    <row r="185" spans="1:16" s="294" customFormat="1" ht="12.6" customHeight="1">
      <c r="A185" s="480"/>
      <c r="B185" s="480"/>
      <c r="C185" s="2276" t="s">
        <v>2903</v>
      </c>
      <c r="I185" s="2510" t="s">
        <v>2993</v>
      </c>
      <c r="J185" s="330" t="s">
        <v>2754</v>
      </c>
      <c r="O185" s="2918"/>
      <c r="P185" s="2919"/>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66" t="s">
        <v>639</v>
      </c>
      <c r="D188" s="2265"/>
      <c r="E188" s="2265"/>
      <c r="F188" s="2277"/>
      <c r="G188" s="2277"/>
      <c r="H188" s="2870"/>
      <c r="I188" s="2871"/>
      <c r="N188" s="2276"/>
      <c r="O188" s="2276"/>
      <c r="P188" s="303"/>
    </row>
    <row r="189" spans="1:16" s="294" customFormat="1" ht="12.6" customHeight="1">
      <c r="A189" s="480"/>
      <c r="B189" s="480"/>
      <c r="C189" s="2266" t="s">
        <v>276</v>
      </c>
      <c r="D189" s="2265"/>
      <c r="E189" s="2265"/>
      <c r="F189" s="2277"/>
      <c r="G189" s="2277"/>
      <c r="H189" s="2926"/>
      <c r="I189" s="2927"/>
      <c r="N189" s="2276"/>
      <c r="O189" s="2276"/>
      <c r="P189" s="303"/>
    </row>
    <row r="190" spans="1:16" s="294" customFormat="1" ht="12.6" customHeight="1">
      <c r="A190" s="480"/>
      <c r="B190" s="480"/>
      <c r="C190" s="2266" t="s">
        <v>2295</v>
      </c>
      <c r="D190" s="2265"/>
      <c r="E190" s="2265"/>
      <c r="F190" s="2277"/>
      <c r="G190" s="2277"/>
      <c r="H190" s="2928">
        <v>44470</v>
      </c>
      <c r="I190" s="2929"/>
      <c r="N190" s="2276"/>
      <c r="O190" s="2276"/>
      <c r="P190" s="303"/>
    </row>
    <row r="191" spans="1:16" s="294" customFormat="1" ht="2.25" customHeight="1">
      <c r="B191" s="296"/>
      <c r="C191" s="2276"/>
      <c r="H191" s="2276"/>
      <c r="L191" s="312"/>
      <c r="M191" s="312"/>
      <c r="N191" s="312"/>
      <c r="O191" s="312"/>
      <c r="P191" s="300"/>
    </row>
    <row r="192" spans="1:16" ht="12" customHeight="1">
      <c r="A192" s="321" t="s">
        <v>2782</v>
      </c>
      <c r="C192" s="321" t="s">
        <v>572</v>
      </c>
      <c r="M192" s="321" t="s">
        <v>2251</v>
      </c>
      <c r="N192" s="321" t="s">
        <v>79</v>
      </c>
    </row>
    <row r="193" spans="1:44" ht="409.5" customHeight="1">
      <c r="A193" s="2920" t="s">
        <v>5258</v>
      </c>
      <c r="B193" s="2921"/>
      <c r="C193" s="2921"/>
      <c r="D193" s="2921"/>
      <c r="E193" s="2921"/>
      <c r="F193" s="2921"/>
      <c r="G193" s="2921"/>
      <c r="H193" s="2921"/>
      <c r="I193" s="2921"/>
      <c r="J193" s="2921"/>
      <c r="K193" s="2921"/>
      <c r="L193" s="2922"/>
      <c r="M193" s="2923"/>
      <c r="N193" s="2924"/>
      <c r="O193" s="2924"/>
      <c r="P193" s="2925"/>
      <c r="Q193" s="2765" t="s">
        <v>2693</v>
      </c>
      <c r="R193" s="2765"/>
      <c r="S193" s="2765"/>
      <c r="T193" s="2765"/>
      <c r="U193" s="2765"/>
    </row>
    <row r="194" spans="1:44" ht="12" customHeight="1">
      <c r="Q194" s="2765"/>
      <c r="R194" s="2765"/>
      <c r="S194" s="2765"/>
      <c r="T194" s="2765"/>
      <c r="U194" s="2765"/>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2885</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2886</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2887</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2888</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2889</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2890</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2891</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2892</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2893</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3867</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94</v>
      </c>
      <c r="S620" s="2519" t="s">
        <v>96</v>
      </c>
      <c r="T620" s="251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2561</v>
      </c>
      <c r="S621" s="2519" t="s">
        <v>628</v>
      </c>
      <c r="T621" s="2522"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2562</v>
      </c>
      <c r="S622" s="2519" t="s">
        <v>319</v>
      </c>
      <c r="T622" s="2522"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2563</v>
      </c>
      <c r="S623" s="2519" t="s">
        <v>2483</v>
      </c>
      <c r="T623" s="2522"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2564</v>
      </c>
      <c r="S624" s="2519"/>
      <c r="T624" s="2522"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2565</v>
      </c>
      <c r="S625" s="2519" t="s">
        <v>2007</v>
      </c>
      <c r="T625" s="2522"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2566</v>
      </c>
      <c r="S626" s="2519" t="s">
        <v>2483</v>
      </c>
      <c r="T626" s="2522"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2567</v>
      </c>
      <c r="S627" s="2519" t="s">
        <v>1327</v>
      </c>
      <c r="T627" s="2522"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2568</v>
      </c>
      <c r="S628" s="2519" t="s">
        <v>2009</v>
      </c>
      <c r="T628" s="2522"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2569</v>
      </c>
      <c r="S629" s="2519" t="s">
        <v>666</v>
      </c>
      <c r="T629" s="2522"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2570</v>
      </c>
      <c r="S630" s="2519" t="s">
        <v>628</v>
      </c>
      <c r="T630" s="2522"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2571</v>
      </c>
      <c r="S631" s="2519" t="s">
        <v>2172</v>
      </c>
      <c r="T631" s="2522"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2572</v>
      </c>
      <c r="S632" s="2519" t="s">
        <v>2531</v>
      </c>
      <c r="T632" s="2522"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2244</v>
      </c>
      <c r="S633" s="2519" t="s">
        <v>2528</v>
      </c>
      <c r="T633" s="2522"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2573</v>
      </c>
      <c r="S634" s="2519" t="s">
        <v>2172</v>
      </c>
      <c r="T634" s="2522"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2574</v>
      </c>
      <c r="S635" s="2519" t="s">
        <v>2486</v>
      </c>
      <c r="T635" s="2522"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2575</v>
      </c>
      <c r="S636" s="2519" t="s">
        <v>2007</v>
      </c>
      <c r="T636" s="2522"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1045</v>
      </c>
      <c r="S637" s="2519" t="s">
        <v>1456</v>
      </c>
      <c r="T637" s="2522"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904</v>
      </c>
      <c r="S638" s="2519" t="s">
        <v>1103</v>
      </c>
      <c r="T638" s="2522"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1046</v>
      </c>
      <c r="S639" s="2519" t="s">
        <v>628</v>
      </c>
      <c r="T639" s="2522"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1047</v>
      </c>
      <c r="S640" s="2519" t="s">
        <v>1911</v>
      </c>
      <c r="T640" s="2522"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1048</v>
      </c>
      <c r="S641" s="2519" t="s">
        <v>2005</v>
      </c>
      <c r="T641" s="2522"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1049</v>
      </c>
      <c r="S642" s="2519" t="s">
        <v>1096</v>
      </c>
      <c r="T642" s="2522"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1050</v>
      </c>
      <c r="S643" s="2519" t="s">
        <v>1520</v>
      </c>
      <c r="T643" s="2522"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1051</v>
      </c>
      <c r="S644" s="2519" t="s">
        <v>2483</v>
      </c>
      <c r="T644" s="2522"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1052</v>
      </c>
      <c r="S645" s="2519" t="s">
        <v>159</v>
      </c>
      <c r="T645" s="2522"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1053</v>
      </c>
      <c r="S646" s="2519" t="s">
        <v>1334</v>
      </c>
      <c r="T646" s="2522"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1054</v>
      </c>
      <c r="S647" s="2519" t="s">
        <v>1520</v>
      </c>
      <c r="T647" s="2522"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1055</v>
      </c>
      <c r="S648" s="2519" t="s">
        <v>1110</v>
      </c>
      <c r="T648" s="2522"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1056</v>
      </c>
      <c r="S649" s="2519" t="s">
        <v>2005</v>
      </c>
      <c r="T649" s="2522"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2"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1057</v>
      </c>
      <c r="S651" s="2519" t="s">
        <v>2486</v>
      </c>
      <c r="T651" s="2522"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1607</v>
      </c>
      <c r="S652" s="2519" t="s">
        <v>2528</v>
      </c>
      <c r="T652" s="2522"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1058</v>
      </c>
      <c r="S653" s="2519"/>
      <c r="T653" s="2522"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184</v>
      </c>
      <c r="S654" s="2519" t="s">
        <v>159</v>
      </c>
      <c r="T654" s="2522"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1059</v>
      </c>
      <c r="S655" s="2519" t="s">
        <v>175</v>
      </c>
      <c r="T655" s="2522"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2285</v>
      </c>
      <c r="S656" s="2519" t="s">
        <v>1206</v>
      </c>
      <c r="T656" s="2522"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1060</v>
      </c>
      <c r="S657" s="2519" t="s">
        <v>628</v>
      </c>
      <c r="T657" s="2522"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1061</v>
      </c>
      <c r="S658" s="2519" t="s">
        <v>628</v>
      </c>
      <c r="T658" s="2522"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1062</v>
      </c>
      <c r="S659" s="2519" t="s">
        <v>628</v>
      </c>
      <c r="T659" s="2522"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1063</v>
      </c>
      <c r="S660" s="2519" t="s">
        <v>628</v>
      </c>
      <c r="T660" s="2522"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1064</v>
      </c>
      <c r="S661" s="2519" t="s">
        <v>1668</v>
      </c>
      <c r="T661" s="2522"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1065</v>
      </c>
      <c r="S662" s="2519" t="s">
        <v>955</v>
      </c>
      <c r="T662" s="2522"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1066</v>
      </c>
      <c r="S663" s="2519" t="s">
        <v>122</v>
      </c>
      <c r="T663" s="2522"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1067</v>
      </c>
      <c r="S664" s="2519" t="s">
        <v>628</v>
      </c>
      <c r="T664" s="2522"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1068</v>
      </c>
      <c r="S665" s="2519" t="s">
        <v>316</v>
      </c>
      <c r="T665" s="2522"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1069</v>
      </c>
      <c r="S666" s="2519" t="s">
        <v>320</v>
      </c>
      <c r="T666" s="2522"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832</v>
      </c>
      <c r="S667" s="2519" t="s">
        <v>1313</v>
      </c>
      <c r="T667" s="2522"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1070</v>
      </c>
      <c r="S668" s="2519" t="s">
        <v>666</v>
      </c>
      <c r="T668" s="2522"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1071</v>
      </c>
      <c r="S669" s="2519" t="s">
        <v>1520</v>
      </c>
      <c r="T669" s="2522"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1072</v>
      </c>
      <c r="S670" s="2519" t="s">
        <v>628</v>
      </c>
      <c r="T670" s="2522"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1073</v>
      </c>
      <c r="S671" s="2519" t="s">
        <v>658</v>
      </c>
      <c r="T671" s="2522"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1074</v>
      </c>
      <c r="S672" s="2519" t="s">
        <v>159</v>
      </c>
      <c r="T672" s="2522"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1075</v>
      </c>
      <c r="S673" s="2519" t="s">
        <v>1911</v>
      </c>
      <c r="T673" s="2522"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1076</v>
      </c>
      <c r="S674" s="2519" t="s">
        <v>2005</v>
      </c>
      <c r="T674" s="2522"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1077</v>
      </c>
      <c r="S675" s="2519" t="s">
        <v>628</v>
      </c>
      <c r="T675" s="2522"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1078</v>
      </c>
      <c r="S676" s="2519" t="s">
        <v>1668</v>
      </c>
      <c r="T676" s="2522"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1079</v>
      </c>
      <c r="S677" s="2519" t="s">
        <v>2486</v>
      </c>
      <c r="T677" s="2522"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1080</v>
      </c>
      <c r="S678" s="2519" t="s">
        <v>159</v>
      </c>
      <c r="T678" s="2522"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1081</v>
      </c>
      <c r="S679" s="2519" t="s">
        <v>159</v>
      </c>
      <c r="T679" s="2522"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0NsJwJCS8qLy8qtMl4LZ6WaiNvrJ8/EjJRBbnMz2bQNcJaGod02auqN0tvkCmLDAobGMfPnXyKqqoEVUVPeVKA==" saltValue="oyUzGWCaJ0cJx/IjbCLWGw=="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8" customWidth="1"/>
    <col min="2" max="4" width="10.6640625" style="548" customWidth="1"/>
    <col min="5" max="5" width="15.6640625" style="548" customWidth="1"/>
    <col min="6" max="8" width="10.6640625" style="548" customWidth="1"/>
    <col min="9" max="16384" width="9.33203125" style="548"/>
  </cols>
  <sheetData>
    <row r="1" spans="1:8" ht="22.2" customHeight="1">
      <c r="B1" s="4097" t="str">
        <f>Overview!C8</f>
        <v>Dulles Park II</v>
      </c>
      <c r="C1" s="4097"/>
      <c r="D1" s="4097"/>
      <c r="E1" s="4097"/>
      <c r="F1" s="4097"/>
      <c r="G1" s="4097"/>
      <c r="H1" s="1297"/>
    </row>
    <row r="2" spans="1:8" ht="22.2" customHeight="1">
      <c r="A2" s="1869"/>
      <c r="B2" s="1869"/>
      <c r="C2" s="1869"/>
      <c r="D2" s="1869"/>
      <c r="E2" s="1869"/>
      <c r="F2" s="1869"/>
      <c r="G2" s="1869"/>
      <c r="H2" s="1869"/>
    </row>
    <row r="3" spans="1:8" ht="20.25" customHeight="1">
      <c r="C3" s="4096" t="s">
        <v>3077</v>
      </c>
      <c r="D3" s="4096"/>
      <c r="E3" s="4096"/>
      <c r="F3" s="4096"/>
    </row>
    <row r="5" spans="1:8" ht="15.6">
      <c r="D5" s="1260"/>
      <c r="E5" s="1260" t="s">
        <v>3078</v>
      </c>
    </row>
    <row r="6" spans="1:8" ht="15.6">
      <c r="D6" s="1298" t="s">
        <v>2480</v>
      </c>
      <c r="E6" s="1298" t="s">
        <v>3079</v>
      </c>
    </row>
    <row r="7" spans="1:8" ht="15">
      <c r="D7" s="1261"/>
      <c r="E7" s="1261"/>
    </row>
    <row r="8" spans="1:8" ht="21" customHeight="1">
      <c r="D8" s="1262">
        <v>1</v>
      </c>
      <c r="E8" s="1263">
        <f>-'Part VII-Pro Forma'!B25/12</f>
        <v>0</v>
      </c>
    </row>
    <row r="9" spans="1:8" ht="21" customHeight="1">
      <c r="D9" s="1262">
        <v>2</v>
      </c>
      <c r="E9" s="1263">
        <f>-'Part VII-Pro Forma'!C25/12</f>
        <v>0</v>
      </c>
    </row>
    <row r="10" spans="1:8" ht="21" customHeight="1">
      <c r="D10" s="1262">
        <v>3</v>
      </c>
      <c r="E10" s="1263">
        <f>-'Part VII-Pro Forma'!D25/12</f>
        <v>0</v>
      </c>
    </row>
    <row r="11" spans="1:8" ht="21" customHeight="1">
      <c r="D11" s="1264">
        <v>4</v>
      </c>
      <c r="E11" s="1263">
        <f>-'Part VII-Pro Forma'!E25/12</f>
        <v>0</v>
      </c>
    </row>
    <row r="12" spans="1:8" ht="21" customHeight="1">
      <c r="D12" s="1264">
        <v>5</v>
      </c>
      <c r="E12" s="1263">
        <f>-'Part VII-Pro Forma'!F25/12</f>
        <v>0</v>
      </c>
    </row>
    <row r="13" spans="1:8" ht="21" customHeight="1">
      <c r="D13" s="1262">
        <v>6</v>
      </c>
      <c r="E13" s="1263">
        <f>-'Part VII-Pro Forma'!G25/12</f>
        <v>0</v>
      </c>
    </row>
    <row r="14" spans="1:8" ht="21" customHeight="1">
      <c r="D14" s="1262">
        <v>7</v>
      </c>
      <c r="E14" s="1263">
        <f>-'Part VII-Pro Forma'!H25/12</f>
        <v>0</v>
      </c>
    </row>
    <row r="15" spans="1:8" ht="21" customHeight="1">
      <c r="D15" s="1264">
        <v>8</v>
      </c>
      <c r="E15" s="1263">
        <f>-'Part VII-Pro Forma'!I25/12</f>
        <v>0</v>
      </c>
    </row>
    <row r="16" spans="1:8" ht="21" customHeight="1">
      <c r="D16" s="1262">
        <v>9</v>
      </c>
      <c r="E16" s="1263">
        <f>-'Part VII-Pro Forma'!J25/12</f>
        <v>0</v>
      </c>
    </row>
    <row r="17" spans="4:8" ht="21" customHeight="1">
      <c r="D17" s="1262">
        <v>10</v>
      </c>
      <c r="E17" s="1263">
        <f>-'Part VII-Pro Forma'!K25/12</f>
        <v>0</v>
      </c>
    </row>
    <row r="18" spans="4:8" ht="21" customHeight="1">
      <c r="D18" s="1264">
        <v>11</v>
      </c>
      <c r="E18" s="1263">
        <f>-'Part VII-Pro Forma'!B57/12</f>
        <v>0</v>
      </c>
    </row>
    <row r="19" spans="4:8" ht="21" customHeight="1">
      <c r="D19" s="1262">
        <v>12</v>
      </c>
      <c r="E19" s="1263">
        <f>-'Part VII-Pro Forma'!C57/12</f>
        <v>0</v>
      </c>
    </row>
    <row r="20" spans="4:8" ht="21" customHeight="1">
      <c r="D20" s="1262">
        <v>13</v>
      </c>
      <c r="E20" s="1263">
        <f>-'Part VII-Pro Forma'!D57/12</f>
        <v>0</v>
      </c>
    </row>
    <row r="21" spans="4:8" ht="21" customHeight="1">
      <c r="D21" s="1262">
        <v>14</v>
      </c>
      <c r="E21" s="1263">
        <f>-'Part VII-Pro Forma'!E57/12</f>
        <v>0</v>
      </c>
    </row>
    <row r="22" spans="4:8" ht="21" customHeight="1">
      <c r="D22" s="1262">
        <v>15</v>
      </c>
      <c r="E22" s="1263">
        <f>-'Part VII-Pro Forma'!F57/12</f>
        <v>0</v>
      </c>
    </row>
    <row r="23" spans="4:8" ht="21" customHeight="1">
      <c r="D23" s="1262">
        <v>16</v>
      </c>
      <c r="E23" s="1263">
        <f>-'Part VII-Pro Forma'!G57/12</f>
        <v>0</v>
      </c>
    </row>
    <row r="24" spans="4:8" ht="21" customHeight="1">
      <c r="D24" s="1262">
        <v>17</v>
      </c>
      <c r="E24" s="1263">
        <f>-'Part VII-Pro Forma'!H57/12</f>
        <v>0</v>
      </c>
      <c r="H24" s="548" t="s">
        <v>243</v>
      </c>
    </row>
    <row r="25" spans="4:8" ht="21" customHeight="1">
      <c r="D25" s="1262">
        <v>18</v>
      </c>
      <c r="E25" s="1263">
        <f>-'Part VII-Pro Forma'!I57/12</f>
        <v>0</v>
      </c>
    </row>
    <row r="26" spans="4:8" ht="21" customHeight="1">
      <c r="D26" s="1262">
        <v>19</v>
      </c>
      <c r="E26" s="1263">
        <f>-'Part VII-Pro Forma'!J57/12</f>
        <v>0</v>
      </c>
    </row>
    <row r="27" spans="4:8" ht="21" customHeight="1">
      <c r="D27" s="1262">
        <v>20</v>
      </c>
      <c r="E27" s="1263">
        <f>-'Part VII-Pro Forma'!K57/12</f>
        <v>0</v>
      </c>
    </row>
    <row r="28" spans="4:8" ht="21" customHeight="1">
      <c r="D28" s="1262">
        <v>21</v>
      </c>
      <c r="E28" s="1263">
        <f>-'Part VII-Pro Forma'!B89/12</f>
        <v>0</v>
      </c>
    </row>
    <row r="29" spans="4:8" ht="21" customHeight="1">
      <c r="D29" s="1262">
        <v>22</v>
      </c>
      <c r="E29" s="1263">
        <f>-'Part VII-Pro Forma'!C89/12</f>
        <v>0</v>
      </c>
    </row>
    <row r="30" spans="4:8" ht="21" customHeight="1">
      <c r="D30" s="1262">
        <v>23</v>
      </c>
      <c r="E30" s="1263">
        <f>-'Part VII-Pro Forma'!D89/12</f>
        <v>0</v>
      </c>
    </row>
    <row r="31" spans="4:8" ht="21" customHeight="1">
      <c r="D31" s="1262">
        <v>24</v>
      </c>
      <c r="E31" s="1263">
        <f>-'Part VII-Pro Forma'!E89/12</f>
        <v>0</v>
      </c>
    </row>
    <row r="32" spans="4:8" ht="21" customHeight="1">
      <c r="D32" s="1262">
        <v>25</v>
      </c>
      <c r="E32" s="1263">
        <f>-'Part VII-Pro Forma'!F89/12</f>
        <v>0</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60" customWidth="1"/>
    <col min="2" max="2" width="10.3320312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664062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4098" t="s">
        <v>3080</v>
      </c>
      <c r="B1" s="4098"/>
      <c r="C1" s="4098"/>
      <c r="D1" s="4098"/>
      <c r="E1" s="4098"/>
      <c r="F1" s="4098"/>
      <c r="G1" s="4098"/>
      <c r="H1" s="4098"/>
      <c r="I1" s="4098"/>
      <c r="J1" s="4098"/>
      <c r="K1" s="4098"/>
    </row>
    <row r="2" spans="1:11" ht="15.6">
      <c r="A2" s="4112" t="str">
        <f>Overview!C8</f>
        <v>Dulles Park II</v>
      </c>
      <c r="B2" s="4112"/>
      <c r="C2" s="4112"/>
      <c r="D2" s="4112"/>
      <c r="E2" s="4112"/>
      <c r="F2" s="4112"/>
      <c r="G2" s="4112"/>
      <c r="H2" s="4112"/>
      <c r="I2" s="4112"/>
      <c r="J2" s="4112"/>
      <c r="K2" s="4112"/>
    </row>
    <row r="3" spans="1:11" ht="9" customHeight="1">
      <c r="A3" s="761"/>
      <c r="B3" s="761"/>
      <c r="C3" s="761"/>
    </row>
    <row r="4" spans="1:11" ht="17.399999999999999">
      <c r="A4" s="762" t="s">
        <v>3552</v>
      </c>
      <c r="B4" s="761"/>
      <c r="C4" s="761"/>
      <c r="K4" s="763"/>
    </row>
    <row r="5" spans="1:11" s="718" customFormat="1" ht="42" customHeight="1">
      <c r="C5" s="4099" t="s">
        <v>4459</v>
      </c>
      <c r="D5" s="4100"/>
      <c r="E5" s="4101"/>
      <c r="F5" s="562"/>
      <c r="G5" s="4099" t="s">
        <v>4460</v>
      </c>
      <c r="H5" s="4100"/>
      <c r="I5" s="4101"/>
      <c r="J5" s="760"/>
      <c r="K5" s="4110" t="s">
        <v>4461</v>
      </c>
    </row>
    <row r="6" spans="1:11" s="765" customFormat="1" ht="15" customHeight="1">
      <c r="A6" s="764" t="s">
        <v>2714</v>
      </c>
      <c r="C6" s="766" t="s">
        <v>3535</v>
      </c>
      <c r="D6" s="766" t="s">
        <v>4462</v>
      </c>
      <c r="E6" s="766" t="s">
        <v>1990</v>
      </c>
      <c r="G6" s="766" t="s">
        <v>3536</v>
      </c>
      <c r="H6" s="766" t="s">
        <v>4463</v>
      </c>
      <c r="I6" s="766" t="s">
        <v>1990</v>
      </c>
      <c r="K6" s="4111"/>
    </row>
    <row r="7" spans="1:11" s="562" customFormat="1" ht="13.5" customHeight="1">
      <c r="A7" s="562" t="s">
        <v>3081</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8</v>
      </c>
      <c r="E8" s="770">
        <f>C8*D8</f>
        <v>0</v>
      </c>
      <c r="G8" s="768"/>
      <c r="H8" s="769">
        <f>'Part VI-Revenues &amp; Expenses'!$K$67</f>
        <v>8</v>
      </c>
      <c r="I8" s="770">
        <f>G8*H8</f>
        <v>0</v>
      </c>
      <c r="K8" s="767" t="s">
        <v>3537</v>
      </c>
    </row>
    <row r="9" spans="1:11" s="562" customFormat="1" ht="13.5" customHeight="1">
      <c r="A9" s="562" t="s">
        <v>2713</v>
      </c>
      <c r="C9" s="768"/>
      <c r="D9" s="1265">
        <f>'Part VI-Revenues &amp; Expenses'!$L$63</f>
        <v>40</v>
      </c>
      <c r="E9" s="770">
        <f>C9*D9</f>
        <v>0</v>
      </c>
      <c r="G9" s="768"/>
      <c r="H9" s="769">
        <f>'Part VI-Revenues &amp; Expenses'!$L$67</f>
        <v>40</v>
      </c>
      <c r="I9" s="770">
        <f>G9*H9</f>
        <v>0</v>
      </c>
      <c r="K9" s="1272">
        <f>'Part IV-A-Uses of Funds'!$G$132</f>
        <v>9013295</v>
      </c>
    </row>
    <row r="10" spans="1:11" s="562" customFormat="1" ht="13.5" customHeight="1">
      <c r="A10" s="562" t="s">
        <v>2716</v>
      </c>
      <c r="C10" s="768"/>
      <c r="D10" s="1265">
        <f>'Part VI-Revenues &amp; Expenses'!$M$63</f>
        <v>0</v>
      </c>
      <c r="E10" s="770">
        <f>C10*D10</f>
        <v>0</v>
      </c>
      <c r="G10" s="768"/>
      <c r="H10" s="769">
        <f>'Part VI-Revenues &amp; Expenses'!$M$67</f>
        <v>0</v>
      </c>
      <c r="I10" s="770">
        <f>G10*H10</f>
        <v>0</v>
      </c>
      <c r="K10" s="767" t="s">
        <v>3538</v>
      </c>
    </row>
    <row r="11" spans="1:11" s="562" customFormat="1" ht="13.5" customHeight="1">
      <c r="A11" s="772" t="s">
        <v>3534</v>
      </c>
      <c r="C11" s="773"/>
      <c r="D11" s="1266">
        <f>'Part VI-Revenues &amp; Expenses'!$N$63</f>
        <v>0</v>
      </c>
      <c r="E11" s="775">
        <f>C11*D11</f>
        <v>0</v>
      </c>
      <c r="G11" s="773"/>
      <c r="H11" s="774">
        <f>'Part VI-Revenues &amp; Expenses'!$N$67</f>
        <v>0</v>
      </c>
      <c r="I11" s="775">
        <f>G11*H11</f>
        <v>0</v>
      </c>
      <c r="K11" s="4102" t="s">
        <v>3542</v>
      </c>
    </row>
    <row r="12" spans="1:11" ht="13.5" customHeight="1" thickBot="1">
      <c r="A12" s="776" t="s">
        <v>3504</v>
      </c>
      <c r="D12" s="807">
        <f>SUM(D7:D11)</f>
        <v>48</v>
      </c>
      <c r="E12" s="777"/>
      <c r="G12" s="776" t="s">
        <v>1793</v>
      </c>
      <c r="H12" s="1271">
        <f>SUM(H7:H11)</f>
        <v>48</v>
      </c>
      <c r="I12" s="777"/>
      <c r="K12" s="4103"/>
    </row>
    <row r="13" spans="1:11" s="562" customFormat="1" ht="13.5" customHeight="1" thickBot="1">
      <c r="A13" s="776" t="s">
        <v>3082</v>
      </c>
      <c r="B13" s="778"/>
      <c r="E13" s="779">
        <f>SUM(E7:E11)</f>
        <v>0</v>
      </c>
      <c r="G13" s="776" t="s">
        <v>3317</v>
      </c>
      <c r="H13" s="778"/>
      <c r="I13" s="780">
        <f>SUM(I7:I11)</f>
        <v>0</v>
      </c>
      <c r="K13" s="1272">
        <f>'Part VIII-Threshold Criteria'!$P$63</f>
        <v>9016824</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3" t="s">
        <v>4247</v>
      </c>
      <c r="F18" s="1274"/>
      <c r="G18" s="1274"/>
      <c r="H18" s="1274"/>
      <c r="I18" s="1274"/>
      <c r="K18" s="1250">
        <f>Overview!$E$13</f>
        <v>48</v>
      </c>
    </row>
    <row r="19" spans="1:11" s="562" customFormat="1" ht="13.5" customHeight="1">
      <c r="A19" s="562" t="s">
        <v>3083</v>
      </c>
      <c r="E19" s="1268"/>
      <c r="K19" s="635">
        <f>Overview!$C$13</f>
        <v>48</v>
      </c>
    </row>
    <row r="20" spans="1:11" ht="3" customHeight="1">
      <c r="A20" s="782"/>
      <c r="E20" s="1269"/>
    </row>
    <row r="21" spans="1:11" s="562" customFormat="1" ht="13.5" customHeight="1">
      <c r="A21" s="562" t="s">
        <v>3084</v>
      </c>
      <c r="E21" s="1267" t="s">
        <v>3540</v>
      </c>
      <c r="K21" s="783">
        <f>K18/K19</f>
        <v>1</v>
      </c>
    </row>
    <row r="22" spans="1:11" ht="6.75" customHeight="1">
      <c r="E22" s="1269"/>
    </row>
    <row r="23" spans="1:11" s="562" customFormat="1" ht="13.5" customHeight="1">
      <c r="A23" s="562" t="s">
        <v>3503</v>
      </c>
      <c r="C23" s="784"/>
      <c r="E23" s="1267" t="s">
        <v>3087</v>
      </c>
      <c r="K23" s="635">
        <f>K9</f>
        <v>9013295</v>
      </c>
    </row>
    <row r="24" spans="1:11" s="562" customFormat="1" ht="13.5" customHeight="1">
      <c r="A24" s="785" t="s">
        <v>1760</v>
      </c>
      <c r="E24" s="1268"/>
      <c r="K24" s="771">
        <f>'Part IV-A-Uses of Funds'!$G$122</f>
        <v>108329</v>
      </c>
    </row>
    <row r="25" spans="1:11" s="562" customFormat="1" ht="13.5" customHeight="1">
      <c r="A25" s="785" t="s">
        <v>3088</v>
      </c>
      <c r="E25" s="1268"/>
      <c r="K25" s="786">
        <v>0</v>
      </c>
    </row>
    <row r="26" spans="1:11" s="562" customFormat="1" ht="13.5" customHeight="1">
      <c r="A26" s="785" t="s">
        <v>3088</v>
      </c>
      <c r="E26" s="1268"/>
      <c r="K26" s="786">
        <v>0</v>
      </c>
    </row>
    <row r="27" spans="1:11" ht="3" customHeight="1">
      <c r="A27" s="787"/>
      <c r="E27" s="1269"/>
      <c r="K27" s="788">
        <v>0</v>
      </c>
    </row>
    <row r="28" spans="1:11" s="778" customFormat="1" ht="13.5" customHeight="1">
      <c r="A28" s="778" t="s">
        <v>3089</v>
      </c>
      <c r="E28" s="1270"/>
      <c r="K28" s="789">
        <f>K23-SUM(K24:K27)</f>
        <v>8904966</v>
      </c>
    </row>
    <row r="29" spans="1:11" ht="6.75" customHeight="1">
      <c r="A29" s="782"/>
      <c r="E29" s="1269"/>
      <c r="K29" s="790"/>
    </row>
    <row r="30" spans="1:11" s="562" customFormat="1" ht="15" customHeight="1">
      <c r="A30" s="778" t="s">
        <v>3090</v>
      </c>
      <c r="E30" s="1267" t="s">
        <v>3547</v>
      </c>
      <c r="F30" s="791"/>
      <c r="G30" s="791"/>
      <c r="H30" s="791"/>
      <c r="I30" s="791"/>
      <c r="K30" s="792">
        <f>K21*K28</f>
        <v>8904966</v>
      </c>
    </row>
    <row r="31" spans="1:11" ht="13.5" customHeight="1">
      <c r="E31" s="1269"/>
      <c r="K31" s="790"/>
    </row>
    <row r="32" spans="1:11" s="562" customFormat="1" ht="16.5" customHeight="1">
      <c r="A32" s="793" t="s">
        <v>3554</v>
      </c>
      <c r="B32" s="778"/>
      <c r="C32" s="778"/>
      <c r="D32" s="778"/>
      <c r="E32" s="1267"/>
    </row>
    <row r="33" spans="1:11" ht="6" customHeight="1" thickBot="1">
      <c r="E33" s="1269"/>
    </row>
    <row r="34" spans="1:11" s="562" customFormat="1" ht="18" customHeight="1" thickBot="1">
      <c r="A34" s="794" t="s">
        <v>3550</v>
      </c>
      <c r="B34" s="778"/>
      <c r="C34" s="778"/>
      <c r="D34" s="778"/>
      <c r="E34" s="1267" t="s">
        <v>3548</v>
      </c>
      <c r="K34" s="795">
        <f>MIN(E13,K30)</f>
        <v>0</v>
      </c>
    </row>
    <row r="35" spans="1:11" ht="6" customHeight="1">
      <c r="E35" s="1269"/>
    </row>
    <row r="36" spans="1:11" s="562" customFormat="1" ht="15" customHeight="1">
      <c r="A36" s="778" t="s">
        <v>3551</v>
      </c>
      <c r="E36" s="1267" t="s">
        <v>3549</v>
      </c>
      <c r="K36" s="796">
        <f>Overview!C25</f>
        <v>0</v>
      </c>
    </row>
    <row r="37" spans="1:11" s="562" customFormat="1" ht="9" customHeight="1" thickBot="1">
      <c r="E37" s="797"/>
      <c r="F37" s="797"/>
      <c r="G37" s="797"/>
      <c r="H37" s="797"/>
      <c r="K37" s="798"/>
    </row>
    <row r="38" spans="1:11" s="562" customFormat="1" ht="15.75" customHeight="1">
      <c r="A38" s="4104" t="s">
        <v>3545</v>
      </c>
      <c r="B38" s="4104"/>
      <c r="C38" s="4104"/>
      <c r="D38" s="4105" t="s">
        <v>3085</v>
      </c>
      <c r="E38" s="4105"/>
      <c r="F38" s="4105" t="s">
        <v>3086</v>
      </c>
      <c r="G38" s="4105"/>
      <c r="H38" s="4105"/>
      <c r="I38" s="1870" t="s">
        <v>2830</v>
      </c>
      <c r="K38" s="4106">
        <f>ROUND((D39/F39)*I39,0)</f>
        <v>0</v>
      </c>
    </row>
    <row r="39" spans="1:11" s="562" customFormat="1" ht="15.75" customHeight="1" thickBot="1">
      <c r="A39" s="4104"/>
      <c r="B39" s="4104"/>
      <c r="C39" s="4104"/>
      <c r="D39" s="4108">
        <f>K36</f>
        <v>0</v>
      </c>
      <c r="E39" s="4108"/>
      <c r="F39" s="4109">
        <f>K28</f>
        <v>8904966</v>
      </c>
      <c r="G39" s="4109"/>
      <c r="H39" s="4109"/>
      <c r="I39" s="799">
        <f>K19</f>
        <v>48</v>
      </c>
      <c r="K39" s="4107"/>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60" customWidth="1"/>
    <col min="2" max="2" width="0.6640625" style="760" customWidth="1"/>
    <col min="3" max="3" width="16.44140625" style="760" customWidth="1"/>
    <col min="4" max="4" width="18.33203125" style="760" customWidth="1"/>
    <col min="5" max="5" width="16.44140625" style="760" customWidth="1"/>
    <col min="6" max="6" width="13.33203125" style="760" customWidth="1"/>
    <col min="7" max="7" width="14.44140625" style="760" customWidth="1"/>
    <col min="8" max="8" width="5.6640625" style="760" customWidth="1"/>
    <col min="9" max="16384" width="9.33203125" style="760"/>
  </cols>
  <sheetData>
    <row r="1" spans="1:13" ht="12" customHeight="1">
      <c r="A1" s="4113" t="str">
        <f>CONCATENATE(Overview!E8,"  ",Overview!C8)</f>
        <v>2019-060  Dulles Park II</v>
      </c>
      <c r="B1" s="4113"/>
      <c r="C1" s="4113"/>
      <c r="D1" s="4113"/>
      <c r="E1" s="4113"/>
      <c r="F1" s="4113"/>
      <c r="G1" s="4113"/>
      <c r="H1" s="4113"/>
    </row>
    <row r="3" spans="1:13" ht="12" customHeight="1">
      <c r="A3" s="4114" t="s">
        <v>3506</v>
      </c>
      <c r="B3" s="4114"/>
      <c r="C3" s="4114"/>
      <c r="D3" s="4114"/>
      <c r="E3" s="4114"/>
      <c r="F3" s="4114"/>
      <c r="G3" s="4114"/>
      <c r="H3" s="4114"/>
      <c r="I3" s="1874"/>
      <c r="J3" s="4116" t="s">
        <v>4248</v>
      </c>
      <c r="K3" s="4116"/>
      <c r="L3" s="833"/>
      <c r="M3" s="833"/>
    </row>
    <row r="4" spans="1:13">
      <c r="J4" s="4116"/>
      <c r="K4" s="4116"/>
    </row>
    <row r="5" spans="1:13" ht="12" customHeight="1">
      <c r="A5" s="760">
        <v>1</v>
      </c>
      <c r="C5" s="760" t="s">
        <v>3092</v>
      </c>
      <c r="E5" s="815" t="str">
        <f>Overview!H9</f>
        <v>Dulles Park II, LP</v>
      </c>
      <c r="J5" s="4116"/>
      <c r="K5" s="4116"/>
    </row>
    <row r="6" spans="1:13" ht="3" customHeight="1">
      <c r="H6" s="777"/>
      <c r="J6" s="4116"/>
      <c r="K6" s="4116"/>
    </row>
    <row r="7" spans="1:13" ht="12" customHeight="1">
      <c r="A7" s="760">
        <v>2</v>
      </c>
      <c r="C7" s="760" t="s">
        <v>3093</v>
      </c>
      <c r="E7" s="815" t="str">
        <f>'Part II-Development Team'!H6</f>
        <v>1820 The Exchange SE #350</v>
      </c>
      <c r="J7" s="4116"/>
      <c r="K7" s="4116"/>
    </row>
    <row r="8" spans="1:13" ht="12" customHeight="1">
      <c r="E8" s="815" t="str">
        <f>+'Part II-Development Team'!H7&amp;","&amp;" "&amp;'Part II-Development Team'!H8&amp;" "&amp;LEFT('Part II-Development Team'!J8,5)</f>
        <v>Atlanta, GA 30339</v>
      </c>
      <c r="J8" s="4116"/>
      <c r="K8" s="4116"/>
    </row>
    <row r="9" spans="1:13" ht="12" customHeight="1">
      <c r="C9" s="760" t="s">
        <v>3094</v>
      </c>
      <c r="E9" s="4115">
        <f>'Part II-Development Team'!L7</f>
        <v>0</v>
      </c>
      <c r="F9" s="4115"/>
      <c r="J9" s="4116"/>
      <c r="K9" s="4116"/>
    </row>
    <row r="10" spans="1:13" ht="12" customHeight="1">
      <c r="C10" s="760" t="s">
        <v>3095</v>
      </c>
      <c r="E10" s="815" t="str">
        <f>'Part II-Development Team'!Q5</f>
        <v>Roya Collins</v>
      </c>
    </row>
    <row r="11" spans="1:13" ht="12" customHeight="1">
      <c r="C11" s="760" t="s">
        <v>4253</v>
      </c>
      <c r="E11" s="815" t="str">
        <f>'Part II-Development Team'!L9</f>
        <v>magitaenterprise@bellsouth.net</v>
      </c>
    </row>
    <row r="12" spans="1:13" ht="12" customHeight="1">
      <c r="C12" s="760" t="s">
        <v>4249</v>
      </c>
      <c r="E12" s="1875">
        <f>'Part II-Development Team'!H9</f>
        <v>4043344590</v>
      </c>
    </row>
    <row r="13" spans="1:13" ht="12" customHeight="1">
      <c r="C13" s="760" t="s">
        <v>4252</v>
      </c>
      <c r="E13" s="1875">
        <f>'Part II-Development Team'!Q7</f>
        <v>4043344590</v>
      </c>
    </row>
    <row r="14" spans="1:13" ht="3" customHeight="1"/>
    <row r="15" spans="1:13" ht="12" customHeight="1">
      <c r="A15" s="760">
        <v>3</v>
      </c>
      <c r="C15" s="760" t="s">
        <v>3096</v>
      </c>
      <c r="E15" s="815" t="str">
        <f>Overview!C8</f>
        <v>Dulles Park II</v>
      </c>
    </row>
    <row r="16" spans="1:13" ht="12" customHeight="1">
      <c r="C16" s="760" t="s">
        <v>3097</v>
      </c>
      <c r="E16" s="815" t="str">
        <f>'Part I-Project Information'!$F$35</f>
        <v>226 Old Clinton Road</v>
      </c>
    </row>
    <row r="17" spans="1:8" ht="12" customHeight="1">
      <c r="E17" s="815" t="str">
        <f>+'Part I-Project Information'!$F$38&amp;","&amp;" GA "&amp;LEFT('Part I-Project Information'!$J$38,5)</f>
        <v>Gray, GA 31032</v>
      </c>
    </row>
    <row r="18" spans="1:8" ht="3" customHeight="1"/>
    <row r="19" spans="1:8" ht="12" customHeight="1">
      <c r="A19" s="760">
        <v>4</v>
      </c>
      <c r="C19" s="760" t="s">
        <v>3098</v>
      </c>
      <c r="E19" s="815" t="str">
        <f>'Part II-Development Team'!H92</f>
        <v>TMC Management and Realty, Inc.</v>
      </c>
    </row>
    <row r="20" spans="1:8" ht="12" customHeight="1">
      <c r="C20" s="760" t="s">
        <v>3099</v>
      </c>
      <c r="E20" s="815" t="str">
        <f>'Part II-Development Team'!H93</f>
        <v>1341 Cassville Road, N.W.</v>
      </c>
    </row>
    <row r="21" spans="1:8" ht="12" customHeight="1">
      <c r="E21" s="815" t="str">
        <f>+'Part II-Development Team'!H94&amp;","&amp;" "&amp;'Part II-Development Team'!H95&amp;" "&amp;LEFT('Part II-Development Team'!L95,5)</f>
        <v>Cartersville, GA 30120</v>
      </c>
    </row>
    <row r="22" spans="1:8" ht="12" customHeight="1">
      <c r="C22" s="760" t="s">
        <v>4249</v>
      </c>
      <c r="E22" s="1875">
        <f>'Part II-Development Team'!H96</f>
        <v>7703862921</v>
      </c>
    </row>
    <row r="23" spans="1:8" ht="12" customHeight="1">
      <c r="C23" s="760" t="s">
        <v>4252</v>
      </c>
      <c r="E23" s="1875">
        <f>'Part II-Development Team'!Q94</f>
        <v>7703862921</v>
      </c>
    </row>
    <row r="24" spans="1:8" ht="12" customHeight="1">
      <c r="C24" s="760" t="s">
        <v>4253</v>
      </c>
      <c r="E24" s="1875" t="str">
        <f>'Part II-Development Team'!L96</f>
        <v>Brenda@tmcmgt.com</v>
      </c>
    </row>
    <row r="25" spans="1:8" ht="3" customHeight="1">
      <c r="E25" s="815"/>
    </row>
    <row r="26" spans="1:8" ht="12" customHeight="1">
      <c r="A26" s="760">
        <v>5</v>
      </c>
      <c r="C26" s="760" t="s">
        <v>3100</v>
      </c>
      <c r="E26" s="815" t="str">
        <f>Overview!$H$7</f>
        <v>New Construction</v>
      </c>
    </row>
    <row r="27" spans="1:8" ht="12" customHeight="1">
      <c r="E27" s="1873" t="s">
        <v>1771</v>
      </c>
    </row>
    <row r="28" spans="1:8" ht="12" customHeight="1">
      <c r="C28" s="760" t="s">
        <v>3505</v>
      </c>
      <c r="E28" s="760" t="str">
        <f>Overview!$C$9</f>
        <v>&lt;&lt;Select&gt;&gt;</v>
      </c>
    </row>
    <row r="29" spans="1:8" ht="3" customHeight="1">
      <c r="H29" s="837"/>
    </row>
    <row r="30" spans="1:8" ht="12" customHeight="1">
      <c r="A30" s="760">
        <v>6</v>
      </c>
      <c r="C30" s="760" t="s">
        <v>3101</v>
      </c>
      <c r="E30" s="760" t="s">
        <v>2409</v>
      </c>
      <c r="F30" s="1876">
        <f>'Part III-Sources of Funds'!L20</f>
        <v>6147213</v>
      </c>
      <c r="G30" s="760" t="s">
        <v>3102</v>
      </c>
    </row>
    <row r="31" spans="1:8" ht="12" customHeight="1">
      <c r="F31" s="1876" t="s">
        <v>3103</v>
      </c>
      <c r="G31" s="760" t="s">
        <v>3104</v>
      </c>
    </row>
    <row r="32" spans="1:8" ht="3" customHeight="1">
      <c r="F32" s="805"/>
    </row>
    <row r="33" spans="1:7" ht="12" customHeight="1">
      <c r="A33" s="760">
        <v>7</v>
      </c>
      <c r="C33" s="760" t="s">
        <v>3105</v>
      </c>
      <c r="F33" s="1877">
        <v>0</v>
      </c>
    </row>
    <row r="34" spans="1:7" ht="3" customHeight="1">
      <c r="F34" s="805"/>
    </row>
    <row r="35" spans="1:7" ht="12" customHeight="1">
      <c r="A35" s="760">
        <v>8</v>
      </c>
      <c r="C35" s="760" t="s">
        <v>3106</v>
      </c>
      <c r="E35" s="760" t="s">
        <v>2409</v>
      </c>
      <c r="F35" s="1878">
        <v>0.01</v>
      </c>
    </row>
    <row r="36" spans="1:7" ht="3" customHeight="1">
      <c r="F36" s="1877"/>
    </row>
    <row r="37" spans="1:7" ht="12" customHeight="1">
      <c r="A37" s="760">
        <v>9</v>
      </c>
      <c r="C37" s="760" t="s">
        <v>3107</v>
      </c>
      <c r="F37" s="1879">
        <v>24</v>
      </c>
      <c r="G37" s="760" t="s">
        <v>3108</v>
      </c>
    </row>
    <row r="38" spans="1:7" ht="3" customHeight="1">
      <c r="F38" s="1877"/>
    </row>
    <row r="39" spans="1:7" ht="12" customHeight="1">
      <c r="A39" s="760">
        <v>10</v>
      </c>
      <c r="C39" s="760" t="s">
        <v>3109</v>
      </c>
      <c r="E39" s="760" t="s">
        <v>2409</v>
      </c>
      <c r="F39" s="805">
        <f>'Part III-Sources of Funds'!L38*12</f>
        <v>0</v>
      </c>
      <c r="G39" s="760" t="s">
        <v>3108</v>
      </c>
    </row>
    <row r="40" spans="1:7" ht="3" customHeight="1">
      <c r="F40" s="805"/>
    </row>
    <row r="41" spans="1:7" ht="12" customHeight="1">
      <c r="A41" s="760">
        <v>11</v>
      </c>
      <c r="C41" s="760" t="s">
        <v>3110</v>
      </c>
      <c r="F41" s="1880">
        <v>24</v>
      </c>
      <c r="G41" s="760" t="s">
        <v>3108</v>
      </c>
    </row>
    <row r="42" spans="1:7" ht="3" customHeight="1"/>
    <row r="43" spans="1:7" ht="12" customHeight="1">
      <c r="A43" s="760">
        <v>12</v>
      </c>
      <c r="C43" s="760" t="s">
        <v>3111</v>
      </c>
      <c r="F43" s="1881"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Potemkin-Dulles II, LLC</v>
      </c>
    </row>
    <row r="48" spans="1:7" ht="3" customHeight="1">
      <c r="E48" s="815"/>
    </row>
    <row r="49" spans="1:7" ht="12" customHeight="1">
      <c r="A49" s="760">
        <v>15</v>
      </c>
      <c r="C49" s="760" t="s">
        <v>4255</v>
      </c>
      <c r="E49" s="815" t="str">
        <f>'Part II-Development Team'!Q98</f>
        <v>Scott Spivey</v>
      </c>
      <c r="G49" s="815" t="str">
        <f>'Part II-Development Team'!H98</f>
        <v>Spivey, Pope, Green &amp; Greer</v>
      </c>
    </row>
    <row r="50" spans="1:7" ht="12" customHeight="1">
      <c r="C50" s="760" t="s">
        <v>3116</v>
      </c>
      <c r="E50" s="815">
        <f>'Part II-Development Team'!O102</f>
        <v>0</v>
      </c>
      <c r="F50" s="805"/>
    </row>
    <row r="51" spans="1:7" ht="3" customHeight="1">
      <c r="F51" s="805"/>
    </row>
    <row r="52" spans="1:7" ht="12" customHeight="1">
      <c r="A52" s="760">
        <v>16</v>
      </c>
      <c r="C52" s="760" t="s">
        <v>3117</v>
      </c>
      <c r="F52" s="1880">
        <f>Overview!C13</f>
        <v>48</v>
      </c>
    </row>
    <row r="53" spans="1:7" ht="3" customHeight="1">
      <c r="F53" s="805"/>
    </row>
    <row r="54" spans="1:7" ht="12" customHeight="1">
      <c r="A54" s="833">
        <v>17</v>
      </c>
      <c r="B54" s="833"/>
      <c r="C54" s="833" t="s">
        <v>3118</v>
      </c>
      <c r="D54" s="833"/>
      <c r="E54" s="833"/>
      <c r="F54" s="1882">
        <f>'HOME Allocation Limit WS'!K18</f>
        <v>48</v>
      </c>
      <c r="G54" s="833"/>
    </row>
    <row r="55" spans="1:7" ht="3" customHeight="1">
      <c r="F55" s="805"/>
    </row>
    <row r="56" spans="1:7" ht="12" customHeight="1">
      <c r="A56" s="760">
        <v>18</v>
      </c>
      <c r="C56" s="760" t="s">
        <v>3119</v>
      </c>
      <c r="F56" s="1882">
        <f>'Part VI-Revenues &amp; Expenses'!O66</f>
        <v>0</v>
      </c>
      <c r="G56" s="760" t="s">
        <v>4254</v>
      </c>
    </row>
    <row r="57" spans="1:7" ht="3" customHeight="1">
      <c r="F57" s="805"/>
    </row>
    <row r="58" spans="1:7" ht="12" customHeight="1">
      <c r="A58" s="760">
        <v>19</v>
      </c>
      <c r="C58" s="760" t="s">
        <v>3120</v>
      </c>
      <c r="F58" s="1883"/>
      <c r="G58" s="760" t="s">
        <v>3507</v>
      </c>
    </row>
    <row r="59" spans="1:7" ht="3" customHeight="1">
      <c r="F59" s="805"/>
    </row>
    <row r="60" spans="1:7" ht="12" customHeight="1">
      <c r="A60" s="760">
        <v>20</v>
      </c>
      <c r="C60" s="760" t="s">
        <v>3121</v>
      </c>
      <c r="F60" s="1884" t="s">
        <v>970</v>
      </c>
      <c r="G60" s="833"/>
    </row>
    <row r="61" spans="1:7" ht="3" customHeight="1"/>
    <row r="62" spans="1:7" ht="12" customHeight="1">
      <c r="A62" s="760">
        <v>21</v>
      </c>
      <c r="C62" s="760" t="s">
        <v>3522</v>
      </c>
      <c r="E62" s="1885" t="s">
        <v>3508</v>
      </c>
      <c r="F62" s="1886" t="s">
        <v>3509</v>
      </c>
      <c r="G62" s="1885" t="s">
        <v>3122</v>
      </c>
    </row>
    <row r="63" spans="1:7" ht="12" customHeight="1">
      <c r="E63" s="1885" t="s">
        <v>3508</v>
      </c>
      <c r="F63" s="1886" t="s">
        <v>3509</v>
      </c>
      <c r="G63" s="1885"/>
    </row>
    <row r="64" spans="1:7" ht="3" customHeight="1"/>
    <row r="65" spans="1:7" ht="12" customHeight="1">
      <c r="A65" s="760">
        <v>22</v>
      </c>
      <c r="C65" s="760" t="s">
        <v>3123</v>
      </c>
      <c r="E65" s="815" t="str">
        <f>Overview!H9</f>
        <v>Dulles Park II,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87">
        <f>'Part IV-A-Uses of Funds'!$G$122</f>
        <v>108329</v>
      </c>
    </row>
    <row r="72" spans="1:7" ht="3" customHeight="1">
      <c r="F72" s="1887"/>
    </row>
    <row r="73" spans="1:7" ht="12" customHeight="1">
      <c r="A73" s="760">
        <v>26</v>
      </c>
      <c r="C73" s="760" t="s">
        <v>3128</v>
      </c>
      <c r="F73" s="1887">
        <f>'Part IV-A-Uses of Funds'!$G$123</f>
        <v>0</v>
      </c>
    </row>
    <row r="74" spans="1:7" ht="3" customHeight="1">
      <c r="F74" s="1887"/>
    </row>
    <row r="75" spans="1:7" ht="12" customHeight="1">
      <c r="A75" s="760">
        <v>27</v>
      </c>
      <c r="C75" s="760" t="s">
        <v>3129</v>
      </c>
      <c r="F75" s="1888">
        <f>'Part IV-A-Uses of Funds'!$G$121</f>
        <v>54165</v>
      </c>
    </row>
    <row r="76" spans="1:7" ht="3" customHeight="1">
      <c r="F76" s="1887"/>
    </row>
    <row r="77" spans="1:7" ht="12" customHeight="1">
      <c r="A77" s="760">
        <v>28</v>
      </c>
      <c r="C77" s="760" t="s">
        <v>3130</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33203125" style="760"/>
  </cols>
  <sheetData>
    <row r="1" spans="1:13" ht="13.8">
      <c r="A1" s="4117" t="s">
        <v>3319</v>
      </c>
      <c r="B1" s="4117"/>
      <c r="C1" s="4117"/>
      <c r="D1" s="4117"/>
      <c r="E1" s="4117"/>
      <c r="F1" s="4117"/>
      <c r="G1" s="4117"/>
      <c r="H1" s="4117"/>
      <c r="I1" s="4117"/>
      <c r="J1" s="4117"/>
    </row>
    <row r="2" spans="1:13" ht="13.8">
      <c r="A2" s="4117" t="str">
        <f>Overview!E8&amp;"  "&amp;Overview!C8</f>
        <v>2019-060  Dulles Park II</v>
      </c>
      <c r="B2" s="4117"/>
      <c r="C2" s="4117"/>
      <c r="D2" s="4117"/>
      <c r="E2" s="4117"/>
      <c r="F2" s="4117"/>
      <c r="G2" s="4117"/>
      <c r="H2" s="4117"/>
      <c r="I2" s="4117"/>
      <c r="J2" s="4117"/>
    </row>
    <row r="3" spans="1:13" ht="6" customHeight="1">
      <c r="K3" s="4116" t="s">
        <v>4248</v>
      </c>
      <c r="L3" s="4116"/>
      <c r="M3" s="4116"/>
    </row>
    <row r="4" spans="1:13" ht="12" customHeight="1">
      <c r="A4" s="801" t="s">
        <v>3131</v>
      </c>
      <c r="K4" s="4116"/>
      <c r="L4" s="4116"/>
      <c r="M4" s="4116"/>
    </row>
    <row r="5" spans="1:13" ht="12" customHeight="1">
      <c r="A5" s="760" t="s">
        <v>3132</v>
      </c>
      <c r="C5" s="802" t="str">
        <f>'Subsidy Layering Memo'!D6</f>
        <v>(Underwriter)</v>
      </c>
      <c r="I5" s="802"/>
      <c r="K5" s="4116"/>
      <c r="L5" s="4116"/>
      <c r="M5" s="4116"/>
    </row>
    <row r="6" spans="1:13" ht="6" customHeight="1">
      <c r="C6" s="697"/>
      <c r="D6" s="802"/>
      <c r="I6" s="802"/>
      <c r="K6" s="4116"/>
      <c r="L6" s="4116"/>
      <c r="M6" s="4116"/>
    </row>
    <row r="7" spans="1:13" ht="12" customHeight="1">
      <c r="A7" s="801" t="s">
        <v>3133</v>
      </c>
      <c r="C7" s="697"/>
      <c r="D7" s="802"/>
      <c r="I7" s="802"/>
      <c r="K7" s="4116"/>
      <c r="L7" s="4116"/>
      <c r="M7" s="4116"/>
    </row>
    <row r="8" spans="1:13" ht="12" customHeight="1">
      <c r="A8" s="760" t="s">
        <v>3134</v>
      </c>
      <c r="C8" s="802" t="str">
        <f>Overview!$H$9</f>
        <v>Dulles Park II, LP</v>
      </c>
      <c r="I8" s="802"/>
      <c r="K8" s="4116"/>
      <c r="L8" s="4116"/>
      <c r="M8" s="4116"/>
    </row>
    <row r="9" spans="1:13" ht="3" customHeight="1">
      <c r="C9" s="697"/>
      <c r="D9" s="802"/>
      <c r="I9" s="802"/>
    </row>
    <row r="10" spans="1:13" ht="12" customHeight="1">
      <c r="A10" s="760" t="s">
        <v>3135</v>
      </c>
      <c r="C10" s="1277" t="s">
        <v>1771</v>
      </c>
      <c r="I10" s="802"/>
    </row>
    <row r="11" spans="1:13" ht="12" customHeight="1">
      <c r="C11" s="1277" t="s">
        <v>1771</v>
      </c>
      <c r="I11" s="802"/>
    </row>
    <row r="12" spans="1:13" ht="12" customHeight="1">
      <c r="C12" s="802" t="s">
        <v>2679</v>
      </c>
      <c r="D12" s="823" t="s">
        <v>1771</v>
      </c>
      <c r="I12" s="802"/>
    </row>
    <row r="13" spans="1:13" ht="12" customHeight="1">
      <c r="C13" s="802" t="s">
        <v>3136</v>
      </c>
      <c r="D13" s="4120"/>
      <c r="E13" s="4120"/>
      <c r="F13" s="4120"/>
      <c r="G13" s="4120"/>
      <c r="H13" s="4120"/>
      <c r="I13" s="4120"/>
      <c r="J13" s="4120"/>
    </row>
    <row r="14" spans="1:13" ht="3" customHeight="1">
      <c r="G14" s="697"/>
      <c r="H14" s="802"/>
      <c r="I14" s="802"/>
    </row>
    <row r="15" spans="1:13" ht="12" customHeight="1">
      <c r="A15" s="760" t="s">
        <v>3137</v>
      </c>
      <c r="C15" s="804" t="str">
        <f>'Preview term'!E10</f>
        <v>Roya Collins</v>
      </c>
      <c r="G15" s="697"/>
      <c r="I15" s="802"/>
    </row>
    <row r="16" spans="1:13" ht="12" customHeight="1">
      <c r="A16" s="815" t="s">
        <v>4464</v>
      </c>
      <c r="C16" s="804" t="str">
        <f>'Part II-Development Team'!Q6</f>
        <v>Member</v>
      </c>
      <c r="G16" s="697"/>
      <c r="I16" s="802"/>
    </row>
    <row r="17" spans="1:9" ht="3" customHeight="1">
      <c r="G17" s="697"/>
      <c r="H17" s="802"/>
      <c r="I17" s="802"/>
    </row>
    <row r="18" spans="1:9" ht="12" customHeight="1">
      <c r="A18" s="760" t="s">
        <v>3138</v>
      </c>
      <c r="C18" s="804" t="str">
        <f>'Preview term'!$E$7</f>
        <v>1820 The Exchange SE #350</v>
      </c>
      <c r="G18" s="697"/>
      <c r="I18" s="802"/>
    </row>
    <row r="19" spans="1:9" ht="12" customHeight="1">
      <c r="C19" s="804" t="str">
        <f>'Preview term'!$E$8</f>
        <v>Atlanta, GA 30339</v>
      </c>
      <c r="G19" s="697"/>
      <c r="I19" s="802"/>
    </row>
    <row r="20" spans="1:9" ht="3" customHeight="1">
      <c r="G20" s="697"/>
      <c r="H20" s="802"/>
      <c r="I20" s="802"/>
    </row>
    <row r="21" spans="1:9" ht="12" customHeight="1">
      <c r="A21" s="760" t="s">
        <v>3139</v>
      </c>
      <c r="C21" s="804" t="str">
        <f>CONCATENATE('Preview term'!E49," of  ",'Preview term'!G49)</f>
        <v>Scott Spivey of  Spivey, Pope, Green &amp; Greer</v>
      </c>
      <c r="G21" s="697"/>
      <c r="I21" s="802"/>
    </row>
    <row r="22" spans="1:9" ht="3" customHeight="1">
      <c r="C22" s="804"/>
      <c r="G22" s="697"/>
      <c r="I22" s="802"/>
    </row>
    <row r="23" spans="1:9" ht="12" customHeight="1">
      <c r="A23" s="760" t="s">
        <v>3140</v>
      </c>
      <c r="C23" s="804">
        <f>'Preview term'!E12</f>
        <v>4043344590</v>
      </c>
      <c r="G23" s="697"/>
      <c r="I23" s="802"/>
    </row>
    <row r="24" spans="1:9" ht="3" customHeight="1">
      <c r="C24" s="804"/>
      <c r="G24" s="697"/>
      <c r="I24" s="802"/>
    </row>
    <row r="25" spans="1:9" ht="12" customHeight="1">
      <c r="A25" s="760" t="s">
        <v>3141</v>
      </c>
      <c r="C25" s="1279" t="str">
        <f>'Preview term'!E11</f>
        <v>magitaenterprise@bellsouth.net</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Dulles Park II</v>
      </c>
      <c r="I28" s="802"/>
    </row>
    <row r="29" spans="1:9" ht="3" customHeight="1">
      <c r="C29" s="804"/>
      <c r="I29" s="802"/>
    </row>
    <row r="30" spans="1:9" ht="12" customHeight="1">
      <c r="A30" s="760" t="s">
        <v>3144</v>
      </c>
      <c r="C30" s="804" t="str">
        <f>'Preview term'!E16</f>
        <v>226 Old Clinton Road</v>
      </c>
      <c r="I30" s="802"/>
    </row>
    <row r="31" spans="1:9">
      <c r="C31" s="802" t="str">
        <f>'Preview term'!E17</f>
        <v>Gray, GA 31032</v>
      </c>
      <c r="I31" s="802"/>
    </row>
    <row r="32" spans="1:9" ht="3" customHeight="1">
      <c r="C32" s="697"/>
      <c r="D32" s="697"/>
      <c r="I32" s="697"/>
    </row>
    <row r="33" spans="1:10" ht="12" customHeight="1">
      <c r="A33" s="760" t="s">
        <v>3145</v>
      </c>
      <c r="C33" s="697" t="s">
        <v>3146</v>
      </c>
      <c r="D33" s="1278">
        <f>'Preview term'!F54</f>
        <v>48</v>
      </c>
      <c r="I33" s="697"/>
    </row>
    <row r="34" spans="1:10" ht="12" customHeight="1">
      <c r="C34" s="697" t="s">
        <v>3147</v>
      </c>
      <c r="D34" s="806">
        <f>'HOME Allocation Limit WS'!H12-'HOME Allocation Limit WS'!D12</f>
        <v>0</v>
      </c>
      <c r="I34" s="697"/>
    </row>
    <row r="35" spans="1:10" ht="12" customHeight="1">
      <c r="C35" s="697" t="s">
        <v>3148</v>
      </c>
      <c r="D35" s="807">
        <f>SUM(D33:D34)</f>
        <v>48</v>
      </c>
      <c r="I35" s="697"/>
    </row>
    <row r="36" spans="1:10" ht="3" customHeight="1">
      <c r="C36" s="697"/>
      <c r="D36" s="697"/>
      <c r="I36" s="697"/>
    </row>
    <row r="37" spans="1:10" ht="12" customHeight="1">
      <c r="A37" s="760" t="s">
        <v>3149</v>
      </c>
      <c r="C37" s="1885" t="s">
        <v>1771</v>
      </c>
      <c r="D37" s="1276">
        <f>'Preview term'!F56</f>
        <v>0</v>
      </c>
      <c r="E37" s="697" t="s">
        <v>3150</v>
      </c>
      <c r="I37" s="697"/>
    </row>
    <row r="38" spans="1:10" ht="3" customHeight="1">
      <c r="G38" s="808"/>
      <c r="H38" s="697"/>
      <c r="I38" s="697"/>
    </row>
    <row r="39" spans="1:10" ht="25.5" customHeight="1">
      <c r="A39" s="809" t="s">
        <v>3151</v>
      </c>
      <c r="C39" s="4118"/>
      <c r="D39" s="4118"/>
      <c r="E39" s="4118"/>
      <c r="F39" s="4118"/>
      <c r="G39" s="4118"/>
      <c r="H39" s="4118"/>
      <c r="I39" s="4118"/>
      <c r="J39" s="4118"/>
    </row>
    <row r="40" spans="1:10" ht="3" customHeight="1">
      <c r="G40" s="697"/>
      <c r="H40" s="697"/>
      <c r="I40" s="697"/>
    </row>
    <row r="41" spans="1:10" ht="25.5" customHeight="1">
      <c r="A41" s="809" t="s">
        <v>3152</v>
      </c>
      <c r="C41" s="4119" t="s">
        <v>3510</v>
      </c>
      <c r="D41" s="4119"/>
      <c r="E41" s="4119"/>
      <c r="F41" s="4119"/>
      <c r="G41" s="4119"/>
      <c r="H41" s="4119"/>
      <c r="I41" s="4119"/>
      <c r="J41" s="4119"/>
    </row>
    <row r="42" spans="1:10" ht="3" customHeight="1">
      <c r="C42" s="560"/>
      <c r="D42" s="560"/>
      <c r="E42" s="560"/>
      <c r="F42" s="560"/>
      <c r="G42" s="560"/>
      <c r="H42" s="561"/>
      <c r="I42" s="562"/>
      <c r="J42" s="561"/>
    </row>
    <row r="43" spans="1:10" ht="12" customHeight="1">
      <c r="A43" s="760" t="s">
        <v>3153</v>
      </c>
      <c r="C43" s="633" t="str">
        <f>'Part I-Project Information'!J39</f>
        <v>Jones</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19" t="s">
        <v>575</v>
      </c>
      <c r="D49" s="4119"/>
      <c r="E49" s="4119"/>
      <c r="F49" s="4119"/>
      <c r="G49" s="4119"/>
      <c r="H49" s="4119"/>
      <c r="I49" s="4119"/>
      <c r="J49" s="4119"/>
    </row>
    <row r="50" spans="1:10" ht="12" customHeight="1">
      <c r="C50" s="4124" t="s">
        <v>1808</v>
      </c>
      <c r="D50" s="4124"/>
      <c r="E50" s="4124"/>
      <c r="F50" s="4124"/>
      <c r="G50" s="4124"/>
      <c r="H50" s="4124"/>
      <c r="I50" s="4124"/>
      <c r="J50" s="4124"/>
    </row>
    <row r="51" spans="1:10" ht="3" customHeight="1">
      <c r="D51" s="812"/>
      <c r="E51" s="812"/>
      <c r="F51" s="812"/>
      <c r="G51" s="813"/>
      <c r="H51" s="697"/>
      <c r="I51" s="812"/>
      <c r="J51" s="812"/>
    </row>
    <row r="52" spans="1:10" ht="12" customHeight="1">
      <c r="A52" s="809" t="s">
        <v>3157</v>
      </c>
      <c r="B52" s="809"/>
      <c r="C52" s="814" t="s">
        <v>3158</v>
      </c>
      <c r="D52" s="814" t="s">
        <v>3511</v>
      </c>
      <c r="E52" s="4125"/>
      <c r="F52" s="4125"/>
      <c r="G52" s="4125"/>
      <c r="H52" s="4125"/>
      <c r="I52" s="4125"/>
      <c r="J52" s="4125"/>
    </row>
    <row r="53" spans="1:10" ht="12" customHeight="1">
      <c r="A53" s="809"/>
      <c r="B53" s="809"/>
      <c r="C53" s="809"/>
      <c r="D53" s="814" t="s">
        <v>3512</v>
      </c>
      <c r="E53" s="4126"/>
      <c r="F53" s="4126"/>
      <c r="G53" s="4126"/>
      <c r="H53" s="4126"/>
      <c r="I53" s="4126"/>
      <c r="J53" s="4126"/>
    </row>
    <row r="54" spans="1:10" ht="12" customHeight="1">
      <c r="A54" s="801" t="s">
        <v>3159</v>
      </c>
      <c r="G54" s="697"/>
      <c r="H54" s="697"/>
      <c r="I54" s="697"/>
    </row>
    <row r="55" spans="1:10" ht="18" customHeight="1">
      <c r="A55" s="760" t="s">
        <v>3160</v>
      </c>
      <c r="C55" s="803" t="str">
        <f>Overview!C10</f>
        <v>Potemkin-Dulles II, LLC</v>
      </c>
      <c r="G55" s="697"/>
      <c r="I55" s="697"/>
    </row>
    <row r="56" spans="1:10" ht="3" customHeight="1">
      <c r="C56" s="803"/>
      <c r="G56" s="697"/>
      <c r="I56" s="697"/>
    </row>
    <row r="57" spans="1:10" ht="12" customHeight="1">
      <c r="A57" s="760" t="s">
        <v>3161</v>
      </c>
      <c r="C57" s="803" t="str">
        <f>Overview!C11</f>
        <v>N/A</v>
      </c>
      <c r="E57" s="803" t="str">
        <f>Overview!E11</f>
        <v>N/A</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0">
        <f>'Preview term'!F30</f>
        <v>6147213</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1" t="s">
        <v>1771</v>
      </c>
      <c r="D66" s="829"/>
      <c r="I66" s="697"/>
    </row>
    <row r="67" spans="1:10" ht="12" customHeight="1">
      <c r="C67" s="760" t="s">
        <v>3170</v>
      </c>
      <c r="D67" s="1872" t="s">
        <v>1771</v>
      </c>
      <c r="I67" s="697"/>
    </row>
    <row r="68" spans="1:10" ht="12" customHeight="1">
      <c r="C68" s="760" t="s">
        <v>3136</v>
      </c>
      <c r="D68" s="4120"/>
      <c r="E68" s="4120"/>
      <c r="F68" s="4120"/>
      <c r="G68" s="4120"/>
      <c r="H68" s="4120"/>
      <c r="I68" s="4120"/>
      <c r="J68" s="4120"/>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81" t="s">
        <v>1771</v>
      </c>
      <c r="I72" s="697"/>
    </row>
    <row r="73" spans="1:10" ht="3" customHeight="1">
      <c r="C73" s="815"/>
      <c r="G73" s="817"/>
      <c r="H73" s="697"/>
      <c r="I73" s="697"/>
    </row>
    <row r="74" spans="1:10" ht="12" customHeight="1">
      <c r="A74" s="760" t="s">
        <v>3173</v>
      </c>
      <c r="C74" s="815" t="s">
        <v>3174</v>
      </c>
      <c r="D74" s="1283">
        <v>0</v>
      </c>
      <c r="J74" s="697"/>
    </row>
    <row r="75" spans="1:10" ht="12" customHeight="1">
      <c r="C75" s="818" t="s">
        <v>3331</v>
      </c>
      <c r="D75" s="1284">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2409</v>
      </c>
      <c r="D79" s="821">
        <f>'Preview term'!F39</f>
        <v>0</v>
      </c>
      <c r="E79" s="697" t="s">
        <v>3515</v>
      </c>
      <c r="I79" s="697"/>
    </row>
    <row r="80" spans="1:10" ht="3" customHeight="1">
      <c r="D80" s="815"/>
      <c r="G80" s="697"/>
      <c r="H80" s="697"/>
      <c r="I80" s="697"/>
    </row>
    <row r="81" spans="1:9" ht="12" customHeight="1">
      <c r="A81" s="760" t="s">
        <v>3177</v>
      </c>
      <c r="D81" s="1282">
        <v>0</v>
      </c>
      <c r="E81" s="822">
        <f>D81*12</f>
        <v>0</v>
      </c>
      <c r="F81" s="697" t="s">
        <v>3562</v>
      </c>
    </row>
    <row r="82" spans="1:9" ht="3" customHeight="1">
      <c r="D82" s="803"/>
      <c r="E82" s="697"/>
      <c r="G82" s="697"/>
    </row>
    <row r="83" spans="1:9" ht="12" customHeight="1">
      <c r="A83" s="760" t="s">
        <v>3178</v>
      </c>
      <c r="D83" s="1872" t="s">
        <v>970</v>
      </c>
      <c r="E83" s="697" t="s">
        <v>3179</v>
      </c>
      <c r="G83" s="697"/>
    </row>
    <row r="84" spans="1:9" ht="3" customHeight="1">
      <c r="G84" s="697"/>
      <c r="H84" s="697"/>
      <c r="I84" s="697"/>
    </row>
    <row r="85" spans="1:9" ht="12" customHeight="1">
      <c r="A85" s="760" t="s">
        <v>3180</v>
      </c>
      <c r="C85" s="1280" t="str">
        <f>'Part VII-Pro Forma'!K71</f>
        <v/>
      </c>
      <c r="D85" s="824" t="s">
        <v>3513</v>
      </c>
      <c r="I85" s="697"/>
    </row>
    <row r="86" spans="1:9" ht="3" customHeight="1">
      <c r="C86" s="697" t="s">
        <v>1771</v>
      </c>
      <c r="D86" s="697"/>
      <c r="E86" s="697"/>
      <c r="I86" s="697"/>
    </row>
    <row r="87" spans="1:9" ht="12" customHeight="1">
      <c r="A87" s="760" t="s">
        <v>3181</v>
      </c>
      <c r="B87" s="825"/>
      <c r="C87" s="1281" t="s">
        <v>1771</v>
      </c>
      <c r="D87" s="1286"/>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Sterling Bank</v>
      </c>
      <c r="I92" s="697"/>
    </row>
    <row r="93" spans="1:9" ht="12" customHeight="1">
      <c r="C93" s="829"/>
      <c r="D93" s="697"/>
      <c r="E93" s="815" t="s">
        <v>1797</v>
      </c>
      <c r="F93" s="4127"/>
      <c r="G93" s="4127"/>
      <c r="H93" s="4127"/>
      <c r="I93" s="697"/>
    </row>
    <row r="94" spans="1:9" ht="12" customHeight="1">
      <c r="C94" s="815"/>
      <c r="D94" s="697"/>
      <c r="E94" s="815" t="s">
        <v>1982</v>
      </c>
      <c r="F94" s="4128"/>
      <c r="G94" s="4128"/>
      <c r="H94" s="4128"/>
      <c r="I94" s="697"/>
    </row>
    <row r="95" spans="1:9" ht="12" customHeight="1">
      <c r="C95" s="815"/>
      <c r="D95" s="697"/>
      <c r="E95" s="815" t="s">
        <v>1800</v>
      </c>
      <c r="F95" s="4123"/>
      <c r="G95" s="4123"/>
      <c r="H95" s="4123"/>
      <c r="I95" s="697"/>
    </row>
    <row r="96" spans="1:9" ht="12" customHeight="1">
      <c r="B96" s="805"/>
      <c r="C96" s="818" t="s">
        <v>3331</v>
      </c>
      <c r="D96" s="697" t="s">
        <v>3186</v>
      </c>
      <c r="E96" s="815">
        <f>'Part III-Sources of Funds'!E38</f>
        <v>0</v>
      </c>
      <c r="I96" s="697"/>
    </row>
    <row r="97" spans="1:10" ht="12" customHeight="1">
      <c r="C97" s="815"/>
      <c r="D97" s="697"/>
      <c r="E97" s="815" t="s">
        <v>1797</v>
      </c>
      <c r="F97" s="4127"/>
      <c r="G97" s="4127"/>
      <c r="H97" s="4127"/>
      <c r="I97" s="697"/>
    </row>
    <row r="98" spans="1:10" ht="12" customHeight="1">
      <c r="C98" s="815"/>
      <c r="D98" s="697"/>
      <c r="E98" s="815" t="s">
        <v>1982</v>
      </c>
      <c r="F98" s="4128"/>
      <c r="G98" s="4128"/>
      <c r="H98" s="4128"/>
      <c r="I98" s="697"/>
    </row>
    <row r="99" spans="1:10" ht="12" customHeight="1">
      <c r="C99" s="815"/>
      <c r="D99" s="697"/>
      <c r="E99" s="815" t="s">
        <v>1800</v>
      </c>
      <c r="F99" s="4123"/>
      <c r="G99" s="4123"/>
      <c r="H99" s="4123"/>
      <c r="I99" s="697"/>
    </row>
    <row r="100" spans="1:10" ht="3" customHeight="1">
      <c r="D100" s="826"/>
      <c r="G100" s="697"/>
      <c r="H100" s="697"/>
      <c r="I100" s="697"/>
    </row>
    <row r="101" spans="1:10" ht="12" customHeight="1">
      <c r="A101" s="760" t="s">
        <v>3187</v>
      </c>
      <c r="D101" s="1872">
        <f>'Part IX Scoring Criteria'!O333</f>
        <v>0</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5" t="s">
        <v>1771</v>
      </c>
      <c r="D106" s="4130"/>
      <c r="E106" s="4130"/>
      <c r="F106" s="4130"/>
      <c r="G106" s="4130"/>
      <c r="H106" s="4130"/>
      <c r="I106" s="4130"/>
      <c r="J106" s="4131"/>
    </row>
    <row r="107" spans="1:10" ht="3" customHeight="1">
      <c r="C107" s="815"/>
      <c r="D107" s="697"/>
      <c r="I107" s="697"/>
    </row>
    <row r="108" spans="1:10" ht="12" customHeight="1">
      <c r="A108" s="760" t="s">
        <v>3189</v>
      </c>
      <c r="C108" s="1872" t="s">
        <v>1771</v>
      </c>
    </row>
    <row r="109" spans="1:10" ht="3" customHeight="1">
      <c r="C109" s="815"/>
      <c r="E109" s="697"/>
      <c r="F109" s="697"/>
      <c r="I109" s="697"/>
    </row>
    <row r="110" spans="1:10" ht="12" customHeight="1">
      <c r="A110" s="760" t="s">
        <v>3190</v>
      </c>
      <c r="C110" s="1872" t="s">
        <v>1771</v>
      </c>
      <c r="I110" s="697"/>
    </row>
    <row r="111" spans="1:10" ht="3" customHeight="1">
      <c r="D111" s="808"/>
      <c r="I111" s="697"/>
    </row>
    <row r="112" spans="1:10" ht="12" customHeight="1">
      <c r="A112" s="760" t="s">
        <v>3191</v>
      </c>
      <c r="D112" s="821">
        <v>24</v>
      </c>
      <c r="E112" s="697" t="s">
        <v>3192</v>
      </c>
      <c r="I112" s="697"/>
    </row>
    <row r="113" spans="1:10" ht="12" customHeight="1">
      <c r="C113" s="803" t="s">
        <v>4257</v>
      </c>
      <c r="I113" s="697"/>
    </row>
    <row r="114" spans="1:10" ht="12" customHeight="1">
      <c r="C114" s="803" t="s">
        <v>4256</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1" t="s">
        <v>1771</v>
      </c>
      <c r="D118" s="829"/>
      <c r="I118" s="697"/>
    </row>
    <row r="119" spans="1:10" ht="12" customHeight="1">
      <c r="C119" s="697" t="s">
        <v>3196</v>
      </c>
      <c r="D119" s="819"/>
      <c r="E119" s="4133" t="s">
        <v>4258</v>
      </c>
      <c r="F119" s="4133"/>
      <c r="G119" s="4133"/>
      <c r="H119" s="4133"/>
      <c r="I119" s="4133"/>
      <c r="J119" s="4133"/>
    </row>
    <row r="120" spans="1:10" ht="12" customHeight="1">
      <c r="C120" s="697" t="s">
        <v>3197</v>
      </c>
      <c r="D120" s="1287"/>
      <c r="E120" s="4133"/>
      <c r="F120" s="4133"/>
      <c r="G120" s="4133"/>
      <c r="H120" s="4133"/>
      <c r="I120" s="4133"/>
      <c r="J120" s="4133"/>
    </row>
    <row r="121" spans="1:10" ht="12" customHeight="1">
      <c r="C121" s="697" t="s">
        <v>3198</v>
      </c>
      <c r="D121" s="1287"/>
      <c r="E121" s="4133"/>
      <c r="F121" s="4133"/>
      <c r="G121" s="4133"/>
      <c r="H121" s="4133"/>
      <c r="I121" s="4133"/>
      <c r="J121" s="4133"/>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Magita, Inc</v>
      </c>
      <c r="D130" s="803" t="str">
        <f>Overview!K11</f>
        <v>N/A</v>
      </c>
      <c r="G130" s="803" t="str">
        <f>Overview!M11</f>
        <v>N/A</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545817.5</v>
      </c>
      <c r="G133" s="697"/>
      <c r="I133" s="697"/>
    </row>
    <row r="134" spans="1:10" ht="3" customHeight="1">
      <c r="C134" s="697"/>
      <c r="G134" s="697"/>
      <c r="I134" s="697"/>
    </row>
    <row r="135" spans="1:10" ht="12" customHeight="1">
      <c r="A135" s="760" t="s">
        <v>3206</v>
      </c>
      <c r="C135" s="1872" t="s">
        <v>3207</v>
      </c>
      <c r="G135" s="697"/>
      <c r="I135" s="697"/>
    </row>
    <row r="136" spans="1:10" ht="3" customHeight="1">
      <c r="C136" s="803"/>
      <c r="G136" s="697"/>
      <c r="I136" s="697"/>
    </row>
    <row r="137" spans="1:10" ht="12" customHeight="1">
      <c r="A137" s="760" t="s">
        <v>3208</v>
      </c>
      <c r="C137" s="803" t="str">
        <f>'Preview term'!E19</f>
        <v>TMC Management and Realty, Inc.</v>
      </c>
      <c r="G137" s="697"/>
      <c r="I137" s="697"/>
      <c r="J137" s="832"/>
    </row>
    <row r="138" spans="1:10" ht="3" customHeight="1">
      <c r="C138" s="803"/>
      <c r="G138" s="697"/>
      <c r="I138" s="697"/>
    </row>
    <row r="139" spans="1:10" ht="12" customHeight="1">
      <c r="A139" s="760" t="s">
        <v>3209</v>
      </c>
      <c r="C139" s="804" t="str">
        <f>C8</f>
        <v>Dulles Park II, LP</v>
      </c>
      <c r="G139" s="697"/>
      <c r="I139" s="802"/>
      <c r="J139" s="833"/>
    </row>
    <row r="140" spans="1:10" ht="3" customHeight="1">
      <c r="C140" s="804"/>
      <c r="G140" s="697"/>
      <c r="I140" s="802"/>
      <c r="J140" s="833"/>
    </row>
    <row r="141" spans="1:10" ht="12" customHeight="1">
      <c r="A141" s="760" t="s">
        <v>3210</v>
      </c>
      <c r="C141" s="804" t="str">
        <f>C18</f>
        <v>1820 The Exchange SE #350</v>
      </c>
      <c r="G141" s="697"/>
      <c r="I141" s="802"/>
      <c r="J141" s="833"/>
    </row>
    <row r="142" spans="1:10">
      <c r="C142" s="804" t="str">
        <f>C19</f>
        <v>Atlanta, GA 30339</v>
      </c>
      <c r="G142" s="697"/>
      <c r="I142" s="802"/>
      <c r="J142" s="833"/>
    </row>
    <row r="143" spans="1:10" ht="3" customHeight="1">
      <c r="C143" s="834"/>
      <c r="G143" s="697"/>
      <c r="I143" s="802"/>
      <c r="J143" s="833"/>
    </row>
    <row r="144" spans="1:10" ht="12" customHeight="1">
      <c r="A144" s="760" t="s">
        <v>3211</v>
      </c>
      <c r="C144" s="804" t="str">
        <f>Overview!H10</f>
        <v>Affordable Equity Partners, Inc</v>
      </c>
      <c r="G144" s="697"/>
      <c r="I144" s="802"/>
      <c r="J144" s="832"/>
    </row>
    <row r="145" spans="1:10" ht="3" customHeight="1">
      <c r="C145" s="804"/>
      <c r="G145" s="697"/>
      <c r="I145" s="802"/>
      <c r="J145" s="833"/>
    </row>
    <row r="146" spans="1:10" ht="12" customHeight="1">
      <c r="A146" s="760" t="s">
        <v>3212</v>
      </c>
      <c r="C146" s="804" t="str">
        <f>Overview!K10</f>
        <v>Affordable Equity Partners, Inc</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72">
        <v>20</v>
      </c>
      <c r="E156" s="697" t="s">
        <v>2409</v>
      </c>
    </row>
    <row r="157" spans="1:10" ht="3" customHeight="1">
      <c r="D157" s="697"/>
      <c r="E157" s="697"/>
      <c r="G157" s="697"/>
    </row>
    <row r="158" spans="1:10" ht="12" customHeight="1">
      <c r="A158" s="760" t="s">
        <v>3218</v>
      </c>
      <c r="C158" s="1281"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4120"/>
      <c r="F164" s="4120"/>
      <c r="G164" s="4120"/>
      <c r="I164" s="697"/>
    </row>
    <row r="165" spans="1:13" ht="3" customHeight="1">
      <c r="E165" s="697"/>
      <c r="G165" s="697"/>
      <c r="I165" s="697"/>
    </row>
    <row r="166" spans="1:13" ht="12" customHeight="1">
      <c r="A166" s="760" t="s">
        <v>3221</v>
      </c>
      <c r="C166" s="760" t="s">
        <v>3222</v>
      </c>
      <c r="E166" s="836">
        <f>'Preview term'!F71</f>
        <v>108329</v>
      </c>
      <c r="G166" s="697"/>
      <c r="I166" s="697"/>
    </row>
    <row r="167" spans="1:13" ht="12" customHeight="1">
      <c r="C167" s="760" t="s">
        <v>3517</v>
      </c>
      <c r="E167" s="4120"/>
      <c r="F167" s="4120"/>
      <c r="G167" s="4120"/>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12000</v>
      </c>
      <c r="F172" s="802" t="s">
        <v>3226</v>
      </c>
      <c r="J172" s="833"/>
      <c r="K172" s="833"/>
      <c r="L172" s="833"/>
      <c r="M172" s="833"/>
    </row>
    <row r="173" spans="1:13">
      <c r="E173" s="836">
        <f>E172/12</f>
        <v>1000</v>
      </c>
      <c r="F173" s="697" t="s">
        <v>3078</v>
      </c>
    </row>
    <row r="174" spans="1:13" ht="12" customHeight="1">
      <c r="C174" s="760" t="s">
        <v>3518</v>
      </c>
      <c r="E174" s="4120"/>
      <c r="F174" s="4120"/>
      <c r="G174" s="4120"/>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20"/>
      <c r="G179" s="4120"/>
      <c r="H179" s="4120"/>
      <c r="I179" s="4120"/>
      <c r="J179" s="4120"/>
    </row>
    <row r="180" spans="1:10" ht="12" customHeight="1">
      <c r="C180" s="760" t="s">
        <v>3519</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54165</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7" t="s">
        <v>1771</v>
      </c>
      <c r="E195" s="697"/>
      <c r="F195" s="697"/>
      <c r="I195" s="697"/>
    </row>
    <row r="196" spans="1:10" ht="3" customHeight="1">
      <c r="G196" s="697"/>
      <c r="H196" s="697"/>
      <c r="I196" s="697"/>
    </row>
    <row r="197" spans="1:10">
      <c r="A197" s="809" t="s">
        <v>3521</v>
      </c>
      <c r="B197" s="809"/>
      <c r="C197" s="809"/>
      <c r="D197" s="809"/>
      <c r="E197" s="814" t="s">
        <v>3520</v>
      </c>
      <c r="F197" s="4132">
        <f>'Part VIII-Threshold Criteria'!E400</f>
        <v>0</v>
      </c>
      <c r="G197" s="4132"/>
      <c r="H197" s="4132"/>
      <c r="I197" s="4132"/>
      <c r="J197" s="4132"/>
    </row>
    <row r="198" spans="1:10" ht="9" customHeight="1">
      <c r="G198" s="697"/>
      <c r="H198" s="697"/>
      <c r="I198" s="697"/>
    </row>
    <row r="199" spans="1:10" ht="12" customHeight="1">
      <c r="A199" s="838" t="s">
        <v>3320</v>
      </c>
      <c r="G199" s="697"/>
      <c r="H199" s="697"/>
      <c r="I199" s="822"/>
    </row>
    <row r="200" spans="1:10" ht="25.5" hidden="1" customHeight="1">
      <c r="A200" s="4121" t="str">
        <f>'Subsidy Layering Memo'!A98</f>
        <v>Include any reserve requirements; explain any reserves far in excess of 6 month ODR, 3 mo lease up, 1 year RR, 6 mo T&amp;I standards.</v>
      </c>
      <c r="B200" s="4121"/>
      <c r="C200" s="4121"/>
      <c r="D200" s="4121"/>
      <c r="E200" s="4121"/>
      <c r="F200" s="4121"/>
      <c r="G200" s="4121"/>
      <c r="H200" s="4121"/>
      <c r="I200" s="4121"/>
      <c r="J200" s="4121"/>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22" t="s">
        <v>2943</v>
      </c>
      <c r="B204" s="4122"/>
      <c r="C204" s="4122"/>
      <c r="D204" s="4122"/>
      <c r="E204" s="4122"/>
      <c r="F204" s="4122"/>
      <c r="G204" s="4122"/>
      <c r="H204" s="4122"/>
      <c r="I204" s="4122"/>
      <c r="J204" s="4122"/>
    </row>
    <row r="205" spans="1:10">
      <c r="A205" s="697" t="s">
        <v>2944</v>
      </c>
      <c r="G205" s="697"/>
      <c r="H205" s="697"/>
      <c r="I205" s="697"/>
    </row>
    <row r="206" spans="1:10" ht="38.25" customHeight="1">
      <c r="A206" s="4122" t="str">
        <f>'Subsidy Layering Memo'!A37&amp;".  "&amp;'Subsidy Layering Memo'!A38</f>
        <v xml:space="preserve">.  </v>
      </c>
      <c r="B206" s="4129"/>
      <c r="C206" s="4129"/>
      <c r="D206" s="4129"/>
      <c r="E206" s="4129"/>
      <c r="F206" s="4129"/>
      <c r="G206" s="4129"/>
      <c r="H206" s="4129"/>
      <c r="I206" s="4129"/>
      <c r="J206" s="4129"/>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33203125" style="760"/>
    <col min="10" max="10" width="14.33203125" style="760" customWidth="1"/>
    <col min="11" max="16384" width="9.33203125" style="760"/>
  </cols>
  <sheetData>
    <row r="1" spans="1:11">
      <c r="A1" s="697" t="s">
        <v>3237</v>
      </c>
      <c r="H1" s="805" t="str">
        <f>Overview!C8</f>
        <v>Dulles Park II</v>
      </c>
    </row>
    <row r="2" spans="1:11">
      <c r="A2" s="697" t="s">
        <v>3238</v>
      </c>
      <c r="H2" s="760" t="str">
        <f>Overview!E8</f>
        <v>2019-060</v>
      </c>
    </row>
    <row r="3" spans="1:11" ht="3" customHeight="1"/>
    <row r="4" spans="1:11" ht="51.75" customHeight="1">
      <c r="A4" s="4129" t="s">
        <v>3337</v>
      </c>
      <c r="B4" s="4129"/>
      <c r="C4" s="4129"/>
      <c r="D4" s="4129"/>
      <c r="E4" s="4129"/>
      <c r="F4" s="4129"/>
      <c r="G4" s="4129"/>
      <c r="H4" s="4129"/>
      <c r="J4" s="1300">
        <f>SUM('Part VII-Pro Forma'!B14:B16)/12</f>
        <v>24086.851200000001</v>
      </c>
      <c r="K4" s="1299" t="s">
        <v>4465</v>
      </c>
    </row>
    <row r="5" spans="1:11" ht="1.5" customHeight="1">
      <c r="C5" s="839"/>
      <c r="D5" s="839"/>
      <c r="E5" s="839"/>
      <c r="F5" s="839"/>
      <c r="G5" s="839"/>
      <c r="H5" s="839"/>
    </row>
    <row r="6" spans="1:11" ht="12.75" customHeight="1">
      <c r="B6" s="840" t="s">
        <v>2435</v>
      </c>
      <c r="C6" s="4129" t="s">
        <v>3239</v>
      </c>
      <c r="D6" s="4129"/>
      <c r="E6" s="4129"/>
      <c r="F6" s="4129"/>
      <c r="G6" s="4129"/>
      <c r="H6" s="4129"/>
    </row>
    <row r="7" spans="1:11" ht="12.75" customHeight="1">
      <c r="B7" s="840" t="s">
        <v>2436</v>
      </c>
      <c r="C7" s="4129" t="s">
        <v>3240</v>
      </c>
      <c r="D7" s="4129"/>
      <c r="E7" s="4129"/>
      <c r="F7" s="4129"/>
      <c r="G7" s="4129"/>
      <c r="H7" s="4129"/>
    </row>
    <row r="8" spans="1:11" ht="3" customHeight="1"/>
    <row r="9" spans="1:11">
      <c r="A9" s="760" t="s">
        <v>3241</v>
      </c>
    </row>
    <row r="10" spans="1:11" ht="1.5" customHeight="1"/>
    <row r="11" spans="1:11" ht="26.25" customHeight="1">
      <c r="A11" s="841" t="s">
        <v>1983</v>
      </c>
      <c r="B11" s="4135" t="s">
        <v>3334</v>
      </c>
      <c r="C11" s="4135"/>
      <c r="D11" s="4135"/>
      <c r="E11" s="4135"/>
      <c r="F11" s="4135"/>
      <c r="G11" s="4136">
        <f>'Part III-Sources of Funds'!I49+'Part III-Sources of Funds'!I50</f>
        <v>9001890</v>
      </c>
      <c r="H11" s="4136"/>
    </row>
    <row r="12" spans="1:11" ht="1.5" customHeight="1">
      <c r="G12" s="809"/>
      <c r="H12" s="809"/>
    </row>
    <row r="13" spans="1:11" ht="26.25" customHeight="1">
      <c r="A13" s="841" t="s">
        <v>1985</v>
      </c>
      <c r="B13" s="4135" t="s">
        <v>3335</v>
      </c>
      <c r="C13" s="4135"/>
      <c r="D13" s="4135"/>
      <c r="E13" s="4135"/>
      <c r="F13" s="4135"/>
      <c r="G13" s="4137" t="s">
        <v>3167</v>
      </c>
      <c r="H13" s="4137"/>
    </row>
    <row r="14" spans="1:11" ht="12" hidden="1" customHeight="1">
      <c r="A14" s="841"/>
      <c r="B14" s="4118"/>
      <c r="C14" s="4118"/>
      <c r="D14" s="4118"/>
      <c r="E14" s="4118"/>
      <c r="F14" s="4118"/>
      <c r="G14" s="4118"/>
      <c r="H14" s="4118"/>
    </row>
    <row r="15" spans="1:11" ht="1.5" customHeight="1"/>
    <row r="16" spans="1:11" ht="12" customHeight="1">
      <c r="A16" s="841" t="s">
        <v>749</v>
      </c>
      <c r="B16" s="760" t="s">
        <v>3339</v>
      </c>
      <c r="F16" s="833"/>
      <c r="G16" s="4115" t="s">
        <v>2993</v>
      </c>
      <c r="H16" s="4115"/>
    </row>
    <row r="17" spans="1:8" ht="1.5" customHeight="1">
      <c r="G17" s="815"/>
    </row>
    <row r="18" spans="1:8" ht="12" customHeight="1">
      <c r="A18" s="841" t="s">
        <v>2115</v>
      </c>
      <c r="B18" s="809" t="s">
        <v>3336</v>
      </c>
      <c r="C18" s="841"/>
      <c r="D18" s="841"/>
      <c r="E18" s="841"/>
      <c r="G18" s="4118" t="s">
        <v>2824</v>
      </c>
      <c r="H18" s="4118"/>
    </row>
    <row r="19" spans="1:8" ht="12" hidden="1" customHeight="1">
      <c r="B19" s="4118"/>
      <c r="C19" s="4118"/>
      <c r="D19" s="4118"/>
      <c r="E19" s="4118"/>
      <c r="F19" s="4118"/>
      <c r="G19" s="4118"/>
      <c r="H19" s="4118"/>
    </row>
    <row r="20" spans="1:8" ht="13.5" customHeight="1"/>
    <row r="21" spans="1:8" ht="12" customHeight="1">
      <c r="A21" s="697" t="s">
        <v>3242</v>
      </c>
    </row>
    <row r="22" spans="1:8" ht="3" customHeight="1"/>
    <row r="23" spans="1:8" ht="26.25" customHeight="1">
      <c r="A23" s="4138" t="s">
        <v>3338</v>
      </c>
      <c r="B23" s="4138"/>
      <c r="C23" s="4138"/>
      <c r="D23" s="4138"/>
      <c r="E23" s="4138"/>
      <c r="F23" s="4138"/>
      <c r="G23" s="4138"/>
      <c r="H23" s="4138"/>
    </row>
    <row r="24" spans="1:8" ht="26.25" customHeight="1">
      <c r="A24" s="4134" t="s">
        <v>3243</v>
      </c>
      <c r="B24" s="4134"/>
      <c r="C24" s="4134"/>
      <c r="D24" s="4134"/>
      <c r="E24" s="4134"/>
      <c r="F24" s="4134"/>
      <c r="G24" s="4134"/>
      <c r="H24" s="4134"/>
    </row>
    <row r="25" spans="1:8" ht="9" customHeight="1">
      <c r="A25" s="782"/>
    </row>
    <row r="26" spans="1:8">
      <c r="A26" s="815" t="s">
        <v>3340</v>
      </c>
      <c r="B26" s="842"/>
      <c r="C26" s="815" t="s">
        <v>3341</v>
      </c>
      <c r="D26" s="843" t="s">
        <v>3527</v>
      </c>
    </row>
    <row r="27" spans="1:8" ht="6" customHeight="1"/>
    <row r="28" spans="1:8" ht="12.75" customHeight="1">
      <c r="C28" s="809" t="s">
        <v>3244</v>
      </c>
      <c r="D28" s="844" t="s">
        <v>1986</v>
      </c>
      <c r="E28" s="845"/>
      <c r="F28" s="4129" t="s">
        <v>3245</v>
      </c>
      <c r="G28" s="4129"/>
      <c r="H28" s="4129"/>
    </row>
    <row r="29" spans="1:8" ht="12.75" customHeight="1">
      <c r="C29" s="846" t="s">
        <v>1353</v>
      </c>
      <c r="D29" s="844" t="s">
        <v>1988</v>
      </c>
      <c r="E29" s="4129" t="s">
        <v>3345</v>
      </c>
      <c r="F29" s="4129"/>
      <c r="G29" s="4129"/>
      <c r="H29" s="4129"/>
    </row>
    <row r="30" spans="1:8" ht="12.75" customHeight="1">
      <c r="E30" s="4129" t="s">
        <v>3523</v>
      </c>
      <c r="F30" s="4129"/>
      <c r="G30" s="4129"/>
      <c r="H30" s="4129"/>
    </row>
    <row r="31" spans="1:8" ht="12.75" customHeight="1">
      <c r="D31" s="847" t="s">
        <v>3344</v>
      </c>
      <c r="E31" s="4129" t="s">
        <v>3524</v>
      </c>
      <c r="F31" s="4129"/>
      <c r="G31" s="4129"/>
      <c r="H31" s="4129"/>
    </row>
    <row r="32" spans="1:8" ht="3" customHeight="1">
      <c r="D32" s="844"/>
      <c r="E32" s="1871"/>
      <c r="F32" s="1871"/>
      <c r="G32" s="1871"/>
      <c r="H32" s="1871"/>
    </row>
    <row r="33" spans="1:11">
      <c r="A33" s="815" t="s">
        <v>3340</v>
      </c>
      <c r="B33" s="842"/>
      <c r="C33" s="815" t="s">
        <v>3342</v>
      </c>
      <c r="D33" s="843" t="s">
        <v>3528</v>
      </c>
    </row>
    <row r="34" spans="1:11" ht="4.5" customHeight="1"/>
    <row r="35" spans="1:11" ht="12.75" customHeight="1">
      <c r="C35" s="809" t="s">
        <v>3244</v>
      </c>
      <c r="D35" s="844" t="s">
        <v>1986</v>
      </c>
      <c r="E35" s="845"/>
      <c r="F35" s="4129" t="s">
        <v>3245</v>
      </c>
      <c r="G35" s="4129"/>
      <c r="H35" s="4129"/>
    </row>
    <row r="36" spans="1:11" ht="12.75" customHeight="1">
      <c r="C36" s="846" t="s">
        <v>1353</v>
      </c>
      <c r="D36" s="844" t="s">
        <v>1988</v>
      </c>
      <c r="E36" s="4129" t="s">
        <v>3346</v>
      </c>
      <c r="F36" s="4129"/>
      <c r="G36" s="4129"/>
      <c r="H36" s="4129"/>
    </row>
    <row r="37" spans="1:11" ht="12.75" customHeight="1">
      <c r="E37" s="4129" t="s">
        <v>3523</v>
      </c>
      <c r="F37" s="4129"/>
      <c r="G37" s="4129"/>
      <c r="H37" s="4129"/>
    </row>
    <row r="38" spans="1:11" ht="12.75" customHeight="1">
      <c r="D38" s="847" t="s">
        <v>3344</v>
      </c>
      <c r="E38" s="4129" t="s">
        <v>3524</v>
      </c>
      <c r="F38" s="4129"/>
      <c r="G38" s="4129"/>
      <c r="H38" s="4129"/>
    </row>
    <row r="39" spans="1:11" ht="3" customHeight="1">
      <c r="D39" s="844"/>
      <c r="E39" s="1871"/>
      <c r="F39" s="1871"/>
      <c r="G39" s="1871"/>
      <c r="H39" s="1871"/>
    </row>
    <row r="40" spans="1:11">
      <c r="A40" s="815" t="s">
        <v>3340</v>
      </c>
      <c r="B40" s="842"/>
      <c r="C40" s="815" t="s">
        <v>3343</v>
      </c>
      <c r="D40" s="843" t="s">
        <v>3529</v>
      </c>
    </row>
    <row r="41" spans="1:11" ht="4.5" customHeight="1"/>
    <row r="42" spans="1:11" ht="12.75" customHeight="1">
      <c r="C42" s="809" t="s">
        <v>3244</v>
      </c>
      <c r="D42" s="844" t="s">
        <v>1986</v>
      </c>
      <c r="E42" s="845"/>
      <c r="F42" s="4129" t="s">
        <v>3245</v>
      </c>
      <c r="G42" s="4129"/>
      <c r="H42" s="4129"/>
      <c r="K42" s="760" t="s">
        <v>243</v>
      </c>
    </row>
    <row r="43" spans="1:11" ht="12.75" customHeight="1">
      <c r="C43" s="846" t="s">
        <v>1353</v>
      </c>
      <c r="D43" s="844" t="s">
        <v>1988</v>
      </c>
      <c r="E43" s="4129" t="s">
        <v>3346</v>
      </c>
      <c r="F43" s="4129"/>
      <c r="G43" s="4129"/>
      <c r="H43" s="4129"/>
    </row>
    <row r="44" spans="1:11" ht="12.75" customHeight="1">
      <c r="E44" s="4129" t="s">
        <v>3523</v>
      </c>
      <c r="F44" s="4129"/>
      <c r="G44" s="4129"/>
      <c r="H44" s="4129"/>
    </row>
    <row r="45" spans="1:11" ht="12.75" customHeight="1">
      <c r="D45" s="847" t="s">
        <v>3344</v>
      </c>
      <c r="E45" s="4129" t="s">
        <v>3524</v>
      </c>
      <c r="F45" s="4129"/>
      <c r="G45" s="4129"/>
      <c r="H45" s="4129"/>
    </row>
    <row r="46" spans="1:11" ht="9" customHeight="1"/>
    <row r="47" spans="1:11" ht="7.5" customHeight="1">
      <c r="E47" s="4129"/>
      <c r="F47" s="4129"/>
      <c r="G47" s="4129"/>
      <c r="H47" s="4129"/>
    </row>
    <row r="48" spans="1:11" ht="24.75" customHeight="1">
      <c r="A48" s="4139" t="s">
        <v>4233</v>
      </c>
      <c r="B48" s="4139"/>
      <c r="C48" s="4139"/>
      <c r="D48" s="4139"/>
      <c r="E48" s="4139"/>
      <c r="F48" s="4139"/>
      <c r="G48" s="4139"/>
      <c r="H48" s="4139"/>
    </row>
    <row r="49" spans="1:11" ht="9" customHeight="1"/>
    <row r="50" spans="1:11" ht="26.25" customHeight="1">
      <c r="A50" s="4138" t="s">
        <v>3525</v>
      </c>
      <c r="B50" s="4138"/>
      <c r="C50" s="4138"/>
      <c r="D50" s="4138"/>
      <c r="E50" s="4138"/>
      <c r="F50" s="4138"/>
      <c r="G50" s="4138"/>
      <c r="H50" s="4138"/>
    </row>
    <row r="51" spans="1:11" ht="9" customHeight="1">
      <c r="A51" s="782"/>
    </row>
    <row r="52" spans="1:11">
      <c r="A52" s="815" t="s">
        <v>3340</v>
      </c>
      <c r="B52" s="842"/>
      <c r="C52" s="815" t="s">
        <v>3341</v>
      </c>
      <c r="D52" s="843" t="s">
        <v>3526</v>
      </c>
    </row>
    <row r="53" spans="1:11" ht="4.5" customHeight="1"/>
    <row r="54" spans="1:11" ht="12.75" customHeight="1">
      <c r="C54" s="809" t="s">
        <v>3244</v>
      </c>
      <c r="D54" s="844" t="s">
        <v>1986</v>
      </c>
      <c r="E54" s="845"/>
      <c r="F54" s="4129" t="s">
        <v>3245</v>
      </c>
      <c r="G54" s="4129"/>
      <c r="H54" s="4129"/>
    </row>
    <row r="55" spans="1:11" ht="12.75" customHeight="1">
      <c r="C55" s="846" t="s">
        <v>1353</v>
      </c>
      <c r="D55" s="844" t="s">
        <v>1988</v>
      </c>
      <c r="E55" s="4129" t="s">
        <v>3532</v>
      </c>
      <c r="F55" s="4129"/>
      <c r="G55" s="4129"/>
      <c r="H55" s="4129"/>
    </row>
    <row r="56" spans="1:11" ht="3" customHeight="1">
      <c r="D56" s="844"/>
      <c r="E56" s="1871"/>
      <c r="F56" s="1871"/>
      <c r="G56" s="1871"/>
      <c r="H56" s="1871"/>
    </row>
    <row r="57" spans="1:11">
      <c r="A57" s="815" t="s">
        <v>3340</v>
      </c>
      <c r="B57" s="842"/>
      <c r="C57" s="815" t="s">
        <v>3342</v>
      </c>
      <c r="D57" s="843" t="s">
        <v>3530</v>
      </c>
    </row>
    <row r="58" spans="1:11" ht="4.5" customHeight="1"/>
    <row r="59" spans="1:11">
      <c r="C59" s="809" t="s">
        <v>3244</v>
      </c>
      <c r="D59" s="844" t="s">
        <v>1986</v>
      </c>
      <c r="E59" s="845"/>
      <c r="F59" s="4129" t="s">
        <v>3245</v>
      </c>
      <c r="G59" s="4129"/>
      <c r="H59" s="4129"/>
    </row>
    <row r="60" spans="1:11" ht="12.75" customHeight="1">
      <c r="C60" s="846" t="s">
        <v>1353</v>
      </c>
      <c r="D60" s="844" t="s">
        <v>1988</v>
      </c>
      <c r="E60" s="4129" t="s">
        <v>3532</v>
      </c>
      <c r="F60" s="4129"/>
      <c r="G60" s="4129"/>
      <c r="H60" s="4129"/>
    </row>
    <row r="61" spans="1:11" ht="3" customHeight="1">
      <c r="D61" s="844"/>
      <c r="E61" s="1871"/>
      <c r="F61" s="1871"/>
      <c r="G61" s="1871"/>
      <c r="H61" s="1871"/>
    </row>
    <row r="62" spans="1:11">
      <c r="A62" s="815" t="s">
        <v>3340</v>
      </c>
      <c r="B62" s="842"/>
      <c r="C62" s="815" t="s">
        <v>3343</v>
      </c>
      <c r="D62" s="843" t="s">
        <v>3531</v>
      </c>
    </row>
    <row r="63" spans="1:11" ht="4.5" customHeight="1"/>
    <row r="64" spans="1:11">
      <c r="C64" s="809" t="s">
        <v>3244</v>
      </c>
      <c r="D64" s="844" t="s">
        <v>1986</v>
      </c>
      <c r="E64" s="845"/>
      <c r="F64" s="4129" t="s">
        <v>3245</v>
      </c>
      <c r="G64" s="4129"/>
      <c r="H64" s="4129"/>
      <c r="K64" s="760" t="s">
        <v>243</v>
      </c>
    </row>
    <row r="65" spans="3:8" ht="12.75" customHeight="1">
      <c r="C65" s="846" t="s">
        <v>1353</v>
      </c>
      <c r="D65" s="844" t="s">
        <v>1988</v>
      </c>
      <c r="E65" s="4129" t="s">
        <v>3532</v>
      </c>
      <c r="F65" s="4129"/>
      <c r="G65" s="4129"/>
      <c r="H65" s="4129"/>
    </row>
    <row r="66" spans="3:8" ht="7.5" customHeight="1">
      <c r="E66" s="4129"/>
      <c r="F66" s="4129"/>
      <c r="G66" s="4129"/>
      <c r="H66" s="4129"/>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90" customWidth="1"/>
    <col min="2" max="2" width="12.44140625" style="1890" customWidth="1"/>
    <col min="3" max="3" width="12.33203125" style="1890" customWidth="1"/>
    <col min="4" max="4" width="9.6640625" style="1890" customWidth="1"/>
    <col min="5" max="5" width="10.44140625" style="1890" customWidth="1"/>
    <col min="6" max="6" width="9.33203125" style="1890"/>
    <col min="7" max="7" width="11" style="1890" customWidth="1"/>
    <col min="8" max="8" width="14.44140625" style="1890" customWidth="1"/>
    <col min="9" max="9" width="10.33203125" style="1890" customWidth="1"/>
    <col min="10" max="16384" width="9.33203125" style="1890"/>
  </cols>
  <sheetData>
    <row r="1" spans="2:13" ht="15.6">
      <c r="B1" s="4151" t="s">
        <v>4272</v>
      </c>
      <c r="C1" s="4151"/>
      <c r="D1" s="4151"/>
      <c r="E1" s="4151"/>
      <c r="F1" s="4151"/>
      <c r="G1" s="4151"/>
      <c r="H1" s="4151"/>
      <c r="I1" s="4151"/>
    </row>
    <row r="2" spans="2:13" ht="13.8">
      <c r="B2" s="1891" t="s">
        <v>4260</v>
      </c>
      <c r="C2" s="808"/>
      <c r="D2" s="808"/>
      <c r="E2" s="808"/>
      <c r="F2" s="808"/>
      <c r="G2" s="808"/>
      <c r="H2" s="808"/>
      <c r="I2" s="808"/>
    </row>
    <row r="3" spans="2:13" ht="13.8">
      <c r="B3" s="1892" t="s">
        <v>4267</v>
      </c>
      <c r="C3" s="808"/>
      <c r="D3" s="808"/>
      <c r="E3" s="808"/>
      <c r="F3" s="808"/>
      <c r="G3" s="808"/>
      <c r="H3" s="808"/>
      <c r="I3" s="808"/>
    </row>
    <row r="4" spans="2:13">
      <c r="B4" s="4152" t="s">
        <v>3246</v>
      </c>
      <c r="C4" s="4152"/>
      <c r="D4" s="4152"/>
      <c r="E4" s="4157" t="s">
        <v>3247</v>
      </c>
      <c r="F4" s="4159"/>
      <c r="G4" s="4157" t="s">
        <v>617</v>
      </c>
      <c r="H4" s="4158"/>
      <c r="I4" s="4159"/>
      <c r="J4" s="1885" t="s">
        <v>3091</v>
      </c>
      <c r="K4" s="1885"/>
      <c r="L4" s="1893"/>
      <c r="M4" s="1893"/>
    </row>
    <row r="5" spans="2:13">
      <c r="B5" s="4153" t="str">
        <f>'Closing term sheet'!C8</f>
        <v>Dulles Park II, LP</v>
      </c>
      <c r="C5" s="4154"/>
      <c r="D5" s="4154"/>
      <c r="E5" s="4163"/>
      <c r="F5" s="4164"/>
      <c r="G5" s="4160" t="str">
        <f>'Closing term sheet'!C28</f>
        <v>Dulles Park II</v>
      </c>
      <c r="H5" s="4161"/>
      <c r="I5" s="4162"/>
      <c r="K5" s="760"/>
    </row>
    <row r="6" spans="2:13" ht="4.5" customHeight="1">
      <c r="D6" s="1894"/>
      <c r="E6" s="1894"/>
      <c r="F6" s="1894"/>
      <c r="G6" s="1894"/>
      <c r="H6" s="1894"/>
      <c r="I6" s="1894"/>
      <c r="K6" s="760"/>
    </row>
    <row r="7" spans="2:13">
      <c r="B7" s="4146" t="s">
        <v>3248</v>
      </c>
      <c r="C7" s="4146"/>
      <c r="D7" s="1895"/>
      <c r="E7" s="1895"/>
      <c r="F7" s="1895"/>
      <c r="G7" s="1895"/>
      <c r="H7" s="4155">
        <f>'Preview term'!E9</f>
        <v>0</v>
      </c>
      <c r="I7" s="4156"/>
    </row>
    <row r="8" spans="2:13" ht="4.5" customHeight="1">
      <c r="B8" s="1895"/>
      <c r="C8" s="1895"/>
      <c r="D8" s="1895"/>
      <c r="E8" s="1895"/>
      <c r="F8" s="1895"/>
      <c r="G8" s="1895"/>
      <c r="H8" s="1895"/>
      <c r="I8" s="1895"/>
      <c r="J8" s="1895"/>
    </row>
    <row r="9" spans="2:13">
      <c r="B9" s="1896" t="s">
        <v>3249</v>
      </c>
      <c r="C9" s="1896"/>
      <c r="D9" s="1895"/>
      <c r="E9" s="817" t="s">
        <v>4262</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4259</v>
      </c>
      <c r="C11" s="1895"/>
      <c r="D11" s="1899"/>
      <c r="E11" s="1895"/>
      <c r="F11" s="1895"/>
      <c r="G11" s="1895"/>
      <c r="H11" s="1895"/>
      <c r="I11" s="1895"/>
    </row>
    <row r="12" spans="2:13">
      <c r="B12" s="1900" t="s">
        <v>3250</v>
      </c>
      <c r="C12" s="1901"/>
      <c r="D12" s="1901"/>
      <c r="E12" s="1901"/>
      <c r="F12" s="1901"/>
      <c r="G12" s="1901"/>
      <c r="H12" s="1901"/>
      <c r="I12" s="1902" t="s">
        <v>1771</v>
      </c>
    </row>
    <row r="13" spans="2:13">
      <c r="B13" s="1903"/>
      <c r="C13" s="1904"/>
      <c r="D13" s="1895"/>
      <c r="E13" s="817" t="s">
        <v>3251</v>
      </c>
      <c r="F13" s="1895"/>
      <c r="G13" s="1895"/>
      <c r="H13" s="1895"/>
      <c r="I13" s="1905"/>
    </row>
    <row r="14" spans="2:13" ht="7.5" customHeight="1">
      <c r="B14" s="1906"/>
      <c r="C14" s="1895"/>
      <c r="D14" s="1895"/>
      <c r="E14" s="1895"/>
      <c r="F14" s="1899"/>
      <c r="G14" s="1895"/>
      <c r="H14" s="1895"/>
      <c r="I14" s="1905"/>
    </row>
    <row r="15" spans="2:13">
      <c r="B15" s="1906" t="s">
        <v>3347</v>
      </c>
      <c r="C15" s="1895"/>
      <c r="D15" s="1895"/>
      <c r="E15" s="1895"/>
      <c r="F15" s="837"/>
      <c r="G15" s="1895"/>
      <c r="H15" s="1895"/>
      <c r="I15" s="1907"/>
    </row>
    <row r="16" spans="2:13">
      <c r="B16" s="1908" t="s">
        <v>4263</v>
      </c>
      <c r="C16" s="1895"/>
      <c r="D16" s="1895"/>
      <c r="E16" s="1909" t="s">
        <v>3442</v>
      </c>
      <c r="F16" s="1895"/>
      <c r="G16" s="1895"/>
      <c r="H16" s="1895"/>
      <c r="I16" s="1907"/>
    </row>
    <row r="17" spans="2:9" ht="7.5" customHeight="1">
      <c r="B17" s="1903"/>
      <c r="C17" s="1895"/>
      <c r="D17" s="1895"/>
      <c r="E17" s="1895"/>
      <c r="F17" s="1895"/>
      <c r="G17" s="1895"/>
      <c r="H17" s="1895"/>
      <c r="I17" s="1905"/>
    </row>
    <row r="18" spans="2:9">
      <c r="B18" s="1906" t="s">
        <v>3252</v>
      </c>
      <c r="C18" s="1895"/>
      <c r="D18" s="1895"/>
      <c r="E18" s="1895"/>
      <c r="F18" s="1895"/>
      <c r="G18" s="1895"/>
      <c r="H18" s="1895"/>
      <c r="I18" s="1910" t="s">
        <v>1771</v>
      </c>
    </row>
    <row r="19" spans="2:9">
      <c r="B19" s="1911" t="s">
        <v>4264</v>
      </c>
      <c r="C19" s="1895"/>
      <c r="D19" s="1895"/>
      <c r="E19" s="1895"/>
      <c r="F19" s="1895"/>
      <c r="G19" s="1895"/>
      <c r="H19" s="1895"/>
      <c r="I19" s="1912"/>
    </row>
    <row r="20" spans="2:9" ht="7.5" customHeight="1">
      <c r="B20" s="1906"/>
      <c r="C20" s="1895"/>
      <c r="D20" s="1895"/>
      <c r="E20" s="1895"/>
      <c r="F20" s="1895"/>
      <c r="G20" s="1895"/>
      <c r="H20" s="1895"/>
      <c r="I20" s="1912"/>
    </row>
    <row r="21" spans="2:9">
      <c r="B21" s="1906" t="s">
        <v>4261</v>
      </c>
      <c r="C21" s="1895"/>
      <c r="D21" s="1895"/>
      <c r="E21" s="1895"/>
      <c r="F21" s="1895"/>
      <c r="G21" s="1895"/>
      <c r="H21" s="1895"/>
      <c r="I21" s="1907"/>
    </row>
    <row r="22" spans="2:9">
      <c r="B22" s="1911" t="s">
        <v>4265</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4266</v>
      </c>
      <c r="C25" s="1895"/>
      <c r="D25" s="1895"/>
      <c r="E25" s="1895"/>
      <c r="F25" s="1895"/>
      <c r="G25" s="1895"/>
      <c r="H25" s="1895"/>
      <c r="I25" s="1895"/>
    </row>
    <row r="26" spans="2:9" ht="3" customHeight="1">
      <c r="B26" s="1916"/>
      <c r="C26" s="1901"/>
      <c r="D26" s="1901"/>
      <c r="E26" s="1901"/>
      <c r="F26" s="1901"/>
      <c r="G26" s="1901"/>
      <c r="H26" s="1901"/>
      <c r="I26" s="1917"/>
    </row>
    <row r="27" spans="2:9">
      <c r="B27" s="1906" t="s">
        <v>3253</v>
      </c>
      <c r="C27" s="1895"/>
      <c r="D27" s="1918">
        <v>2</v>
      </c>
      <c r="F27" s="1895"/>
      <c r="G27" s="837" t="s">
        <v>3254</v>
      </c>
      <c r="H27" s="1895"/>
      <c r="I27" s="1919">
        <v>2</v>
      </c>
    </row>
    <row r="28" spans="2:9">
      <c r="B28" s="1903"/>
      <c r="C28" s="1909" t="s">
        <v>3255</v>
      </c>
      <c r="D28" s="1920"/>
      <c r="E28" s="1920"/>
      <c r="F28" s="1920"/>
      <c r="H28" s="1920" t="s">
        <v>3256</v>
      </c>
      <c r="I28" s="1905"/>
    </row>
    <row r="29" spans="2:9">
      <c r="B29" s="1903"/>
      <c r="C29" s="1909" t="s">
        <v>3257</v>
      </c>
      <c r="D29" s="1920"/>
      <c r="E29" s="1920"/>
      <c r="F29" s="1920"/>
      <c r="H29" s="1920" t="s">
        <v>3258</v>
      </c>
      <c r="I29" s="1905"/>
    </row>
    <row r="30" spans="2:9">
      <c r="B30" s="1903"/>
      <c r="C30" s="1909" t="s">
        <v>3259</v>
      </c>
      <c r="D30" s="1920"/>
      <c r="E30" s="1920"/>
      <c r="F30" s="1920"/>
      <c r="H30" s="1920" t="s">
        <v>3260</v>
      </c>
      <c r="I30" s="1905"/>
    </row>
    <row r="31" spans="2:9" ht="3" customHeight="1">
      <c r="B31" s="1913"/>
      <c r="C31" s="1914"/>
      <c r="D31" s="1914"/>
      <c r="E31" s="1914"/>
      <c r="F31" s="1914"/>
      <c r="G31" s="1914"/>
      <c r="H31" s="1914"/>
      <c r="I31" s="1915"/>
    </row>
    <row r="32" spans="2:9" ht="7.5" customHeight="1"/>
    <row r="33" spans="2:9" ht="15" customHeight="1">
      <c r="B33" s="756" t="s">
        <v>4268</v>
      </c>
    </row>
    <row r="34" spans="2:9" ht="3" customHeight="1">
      <c r="B34" s="1916"/>
      <c r="C34" s="1901"/>
      <c r="D34" s="1901"/>
      <c r="E34" s="1901"/>
      <c r="F34" s="1901"/>
      <c r="G34" s="1901"/>
      <c r="H34" s="1901"/>
      <c r="I34" s="1917"/>
    </row>
    <row r="35" spans="2:9">
      <c r="B35" s="1906" t="s">
        <v>4271</v>
      </c>
      <c r="C35" s="1895"/>
      <c r="D35" s="1895"/>
      <c r="F35" s="1921"/>
      <c r="H35" s="4165" t="s">
        <v>4280</v>
      </c>
      <c r="I35" s="4166"/>
    </row>
    <row r="36" spans="2:9">
      <c r="B36" s="1922" t="s">
        <v>4279</v>
      </c>
      <c r="C36" s="1920"/>
      <c r="D36" s="1920"/>
      <c r="E36" s="1895"/>
      <c r="F36" s="2229"/>
      <c r="G36" s="1923"/>
      <c r="H36" s="4165"/>
      <c r="I36" s="4166"/>
    </row>
    <row r="37" spans="2:9">
      <c r="B37" s="1922" t="s">
        <v>4277</v>
      </c>
      <c r="D37" s="1920"/>
      <c r="E37" s="1895"/>
      <c r="F37" s="2230"/>
      <c r="G37" s="1923"/>
      <c r="H37" s="4165"/>
      <c r="I37" s="4166"/>
    </row>
    <row r="38" spans="2:9">
      <c r="B38" s="1922" t="s">
        <v>4278</v>
      </c>
      <c r="D38" s="1895"/>
      <c r="E38" s="1895"/>
      <c r="F38" s="2230"/>
      <c r="G38" s="1923"/>
      <c r="H38" s="1923"/>
      <c r="I38" s="1924"/>
    </row>
    <row r="39" spans="2:9" ht="12.75" customHeight="1">
      <c r="B39" s="1922" t="s">
        <v>4276</v>
      </c>
      <c r="C39" s="1895"/>
      <c r="D39" s="1895"/>
      <c r="E39" s="1895"/>
      <c r="F39" s="2230"/>
      <c r="G39" s="1923"/>
      <c r="H39" s="1923"/>
      <c r="I39" s="1924"/>
    </row>
    <row r="40" spans="2:9">
      <c r="B40" s="1925" t="s">
        <v>4275</v>
      </c>
      <c r="C40" s="1926"/>
      <c r="D40" s="1927"/>
      <c r="E40" s="1928"/>
      <c r="F40" s="2230"/>
      <c r="G40" s="1928"/>
      <c r="H40" s="2228"/>
      <c r="I40" s="1905"/>
    </row>
    <row r="41" spans="2:9">
      <c r="B41" s="1925" t="s">
        <v>4274</v>
      </c>
      <c r="C41" s="1926"/>
      <c r="D41" s="1927"/>
      <c r="E41" s="1895"/>
      <c r="F41" s="2230"/>
      <c r="G41" s="1895"/>
      <c r="H41" s="1895"/>
      <c r="I41" s="1905"/>
    </row>
    <row r="42" spans="2:9">
      <c r="B42" s="1929" t="s">
        <v>4273</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4270</v>
      </c>
    </row>
    <row r="46" spans="2:9" ht="3" customHeight="1">
      <c r="B46" s="1916"/>
      <c r="C46" s="1901"/>
      <c r="D46" s="1901"/>
      <c r="E46" s="1901"/>
      <c r="F46" s="1901"/>
      <c r="G46" s="1901"/>
      <c r="H46" s="1901"/>
      <c r="I46" s="1917"/>
    </row>
    <row r="47" spans="2:9" ht="19.2">
      <c r="B47" s="1906" t="s">
        <v>4269</v>
      </c>
      <c r="C47" s="1895"/>
      <c r="D47" s="1931"/>
      <c r="E47" s="1932" t="str">
        <f>Overview!H7</f>
        <v>New Construction</v>
      </c>
      <c r="F47" s="784" t="s">
        <v>4281</v>
      </c>
      <c r="H47" s="1895"/>
      <c r="I47" s="1905"/>
    </row>
    <row r="48" spans="2:9">
      <c r="B48" s="1911" t="s">
        <v>3261</v>
      </c>
      <c r="C48" s="1920"/>
      <c r="D48" s="1920" t="s">
        <v>3262</v>
      </c>
      <c r="E48" s="1895"/>
      <c r="F48" s="4174" t="str">
        <f>'Closing term sheet'!$C$30</f>
        <v>226 Old Clinton Road</v>
      </c>
      <c r="G48" s="4175"/>
      <c r="H48" s="4175"/>
      <c r="I48" s="4176"/>
    </row>
    <row r="49" spans="2:9">
      <c r="B49" s="1911" t="s">
        <v>3263</v>
      </c>
      <c r="D49" s="1920" t="s">
        <v>3264</v>
      </c>
      <c r="E49" s="1895"/>
      <c r="F49" s="4177"/>
      <c r="G49" s="4178"/>
      <c r="H49" s="4178"/>
      <c r="I49" s="4179"/>
    </row>
    <row r="50" spans="2:9">
      <c r="B50" s="1911" t="s">
        <v>3265</v>
      </c>
      <c r="D50" s="1895"/>
      <c r="E50" s="1895"/>
      <c r="F50" s="1933"/>
      <c r="G50" s="1934"/>
      <c r="H50" s="1934"/>
      <c r="I50" s="1935"/>
    </row>
    <row r="51" spans="2:9" ht="7.5" customHeight="1">
      <c r="B51" s="1903"/>
      <c r="C51" s="1895"/>
      <c r="D51" s="1895"/>
      <c r="E51" s="1895"/>
      <c r="F51" s="1895"/>
      <c r="G51" s="1895"/>
      <c r="H51" s="1895"/>
      <c r="I51" s="1905"/>
    </row>
    <row r="52" spans="2:9">
      <c r="B52" s="1936" t="s">
        <v>4282</v>
      </c>
      <c r="C52" s="4142" t="str">
        <f>'Part I-Project Information'!F38</f>
        <v>Gray</v>
      </c>
      <c r="D52" s="4143"/>
      <c r="E52" s="1937" t="s">
        <v>4283</v>
      </c>
      <c r="F52" s="1897" t="s">
        <v>848</v>
      </c>
      <c r="G52" s="1937" t="s">
        <v>4284</v>
      </c>
      <c r="H52" s="1938">
        <f>'Part I-Project Information'!J38</f>
        <v>310325400</v>
      </c>
      <c r="I52" s="1905"/>
    </row>
    <row r="53" spans="2:9">
      <c r="B53" s="1936" t="s">
        <v>4446</v>
      </c>
      <c r="D53" s="1939" t="e">
        <f>VLOOKUP("='Part I-Project Information'!$J$39",'DCA Underwriting Assumptions'!$G$158:$O$317,9)</f>
        <v>#N/A</v>
      </c>
      <c r="I53" s="1905"/>
    </row>
    <row r="54" spans="2:9">
      <c r="B54" s="1936" t="s">
        <v>4447</v>
      </c>
      <c r="D54" s="1895"/>
      <c r="E54" s="1895"/>
      <c r="F54" s="1895"/>
      <c r="G54" s="1895"/>
      <c r="I54" s="1905"/>
    </row>
    <row r="55" spans="2:9">
      <c r="B55" s="1929" t="s">
        <v>4448</v>
      </c>
      <c r="D55" s="1940">
        <f>'Closing term sheet'!$D$33</f>
        <v>48</v>
      </c>
      <c r="E55" s="1941"/>
      <c r="F55" s="817" t="s">
        <v>3266</v>
      </c>
      <c r="G55" s="1895"/>
      <c r="H55" s="1895"/>
      <c r="I55" s="1905"/>
    </row>
    <row r="56" spans="2:9">
      <c r="B56" s="1929" t="s">
        <v>4450</v>
      </c>
      <c r="D56" s="1942">
        <f>'Closing term sheet'!$D$62</f>
        <v>6147213</v>
      </c>
      <c r="E56" s="1943"/>
      <c r="F56" s="817" t="s">
        <v>3267</v>
      </c>
      <c r="G56" s="1895"/>
      <c r="H56" s="1895"/>
      <c r="I56" s="1905"/>
    </row>
    <row r="57" spans="2:9">
      <c r="B57" s="1922" t="s">
        <v>4449</v>
      </c>
      <c r="D57" s="1944"/>
      <c r="F57" s="817" t="s">
        <v>3268</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48" t="s">
        <v>3269</v>
      </c>
      <c r="C61" s="4149"/>
      <c r="D61" s="4149"/>
      <c r="E61" s="4149"/>
      <c r="F61" s="4149"/>
      <c r="G61" s="4149"/>
      <c r="H61" s="4149"/>
      <c r="I61" s="4150"/>
    </row>
    <row r="62" spans="2:9" ht="7.5" customHeight="1">
      <c r="B62" s="4144"/>
      <c r="C62" s="4145"/>
      <c r="D62" s="4145"/>
      <c r="E62" s="1895"/>
      <c r="F62" s="1895"/>
      <c r="G62" s="1945"/>
      <c r="H62" s="1895"/>
      <c r="I62" s="1905"/>
    </row>
    <row r="63" spans="2:9">
      <c r="B63" s="1946" t="s">
        <v>3271</v>
      </c>
      <c r="C63" s="1895"/>
      <c r="D63" s="1940">
        <v>4</v>
      </c>
      <c r="F63" s="1895"/>
      <c r="G63" s="4146" t="s">
        <v>3270</v>
      </c>
      <c r="H63" s="4146"/>
      <c r="I63" s="4147"/>
    </row>
    <row r="64" spans="2:9">
      <c r="B64" s="1903"/>
      <c r="C64" s="1920" t="s">
        <v>3274</v>
      </c>
      <c r="D64" s="1920" t="s">
        <v>3275</v>
      </c>
      <c r="F64" s="1895"/>
      <c r="G64" s="829" t="s">
        <v>3272</v>
      </c>
      <c r="H64" s="1895"/>
      <c r="I64" s="1947">
        <f>'Closing term sheet'!$D$35</f>
        <v>48</v>
      </c>
    </row>
    <row r="65" spans="2:9">
      <c r="B65" s="1903"/>
      <c r="C65" s="1920" t="s">
        <v>3276</v>
      </c>
      <c r="D65" s="1920" t="s">
        <v>3277</v>
      </c>
      <c r="F65" s="1895"/>
      <c r="G65" s="1948" t="s">
        <v>3273</v>
      </c>
      <c r="H65" s="1895"/>
      <c r="I65" s="1947">
        <f>C42</f>
        <v>0</v>
      </c>
    </row>
    <row r="66" spans="2:9">
      <c r="B66" s="1911"/>
      <c r="C66" s="1920" t="s">
        <v>3278</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3279</v>
      </c>
      <c r="C70" s="1895"/>
      <c r="D70" s="1895"/>
      <c r="E70" s="1895"/>
      <c r="F70" s="1895"/>
      <c r="G70" s="1895"/>
      <c r="H70" s="1895"/>
      <c r="I70" s="1905"/>
    </row>
    <row r="71" spans="2:9" ht="7.5" customHeight="1">
      <c r="B71" s="1903"/>
      <c r="C71" s="1895"/>
      <c r="D71" s="1895"/>
      <c r="E71" s="1895"/>
      <c r="F71" s="1895"/>
      <c r="G71" s="1895"/>
      <c r="H71" s="1895"/>
      <c r="I71" s="1905"/>
    </row>
    <row r="72" spans="2:9">
      <c r="B72" s="1906" t="s">
        <v>3280</v>
      </c>
      <c r="D72" s="1895"/>
      <c r="E72" s="1895"/>
      <c r="F72" s="1895"/>
      <c r="G72" s="1895"/>
      <c r="H72" s="1895"/>
      <c r="I72" s="1931"/>
    </row>
    <row r="73" spans="2:9" ht="7.5" customHeight="1">
      <c r="B73" s="1903"/>
      <c r="C73" s="1895"/>
      <c r="D73" s="1895"/>
      <c r="E73" s="1895"/>
      <c r="F73" s="1895"/>
      <c r="G73" s="1895"/>
      <c r="H73" s="1895"/>
      <c r="I73" s="1905"/>
    </row>
    <row r="74" spans="2:9">
      <c r="B74" s="1903" t="s">
        <v>3281</v>
      </c>
      <c r="D74" s="1895"/>
      <c r="E74" s="1895"/>
      <c r="F74" s="1895" t="s">
        <v>3348</v>
      </c>
      <c r="G74" s="1895"/>
      <c r="H74" s="1895"/>
      <c r="I74" s="1950"/>
    </row>
    <row r="75" spans="2:9">
      <c r="B75" s="1903"/>
      <c r="E75" s="1895"/>
      <c r="F75" s="1895" t="s">
        <v>3349</v>
      </c>
      <c r="G75" s="1895"/>
      <c r="H75" s="1895"/>
      <c r="I75" s="1950"/>
    </row>
    <row r="76" spans="2:9">
      <c r="B76" s="1903"/>
      <c r="E76" s="1895"/>
      <c r="F76" s="1895" t="s">
        <v>3350</v>
      </c>
      <c r="G76" s="1895"/>
      <c r="H76" s="1895"/>
      <c r="I76" s="1950"/>
    </row>
    <row r="77" spans="2:9">
      <c r="B77" s="1903"/>
      <c r="E77" s="1895"/>
      <c r="F77" s="837" t="s">
        <v>3351</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48" t="s">
        <v>3282</v>
      </c>
      <c r="C81" s="4149"/>
      <c r="D81" s="4149"/>
      <c r="E81" s="4149"/>
      <c r="F81" s="4149"/>
      <c r="G81" s="4149"/>
      <c r="H81" s="4149"/>
      <c r="I81" s="4150"/>
    </row>
    <row r="82" spans="2:9">
      <c r="B82" s="1903"/>
      <c r="C82" s="1895"/>
      <c r="D82" s="1895"/>
      <c r="E82" s="1895"/>
      <c r="F82" s="1895"/>
      <c r="G82" s="1895"/>
      <c r="H82" s="1895"/>
      <c r="I82" s="1905"/>
    </row>
    <row r="83" spans="2:9">
      <c r="B83" s="1906" t="s">
        <v>3283</v>
      </c>
      <c r="C83" s="1895"/>
      <c r="D83" s="1895"/>
      <c r="E83" s="1895"/>
      <c r="F83" s="1895"/>
      <c r="G83" s="1895"/>
      <c r="H83" s="1895"/>
      <c r="I83" s="1905"/>
    </row>
    <row r="84" spans="2:9">
      <c r="B84" s="1903"/>
      <c r="C84" s="837" t="s">
        <v>3284</v>
      </c>
      <c r="D84" s="1895"/>
      <c r="E84" s="1895"/>
      <c r="F84" s="4170">
        <f>'Closing term sheet'!D62</f>
        <v>6147213</v>
      </c>
      <c r="G84" s="4170"/>
      <c r="H84" s="1895"/>
      <c r="I84" s="1905"/>
    </row>
    <row r="85" spans="2:9">
      <c r="B85" s="1903"/>
      <c r="C85" s="837" t="s">
        <v>3285</v>
      </c>
      <c r="D85" s="1895"/>
      <c r="E85" s="1895"/>
      <c r="F85" s="4141">
        <f>'Part III-Sources of Funds'!I45+'Part III-Sources of Funds'!L45</f>
        <v>11295.016839684185</v>
      </c>
      <c r="G85" s="4141"/>
      <c r="H85" s="1895"/>
      <c r="I85" s="1905"/>
    </row>
    <row r="86" spans="2:9">
      <c r="B86" s="1903"/>
      <c r="C86" s="837" t="s">
        <v>3286</v>
      </c>
      <c r="D86" s="1895"/>
      <c r="E86" s="1895"/>
      <c r="F86" s="4140"/>
      <c r="G86" s="4140"/>
      <c r="H86" s="1895"/>
      <c r="I86" s="1905"/>
    </row>
    <row r="87" spans="2:9">
      <c r="B87" s="1903"/>
      <c r="C87" s="1920" t="s">
        <v>3287</v>
      </c>
      <c r="D87" s="1895"/>
      <c r="E87" s="1895"/>
      <c r="F87" s="4141">
        <v>11000</v>
      </c>
      <c r="G87" s="4141"/>
      <c r="H87" s="1895"/>
      <c r="I87" s="1905"/>
    </row>
    <row r="88" spans="2:9">
      <c r="B88" s="1903"/>
      <c r="C88" s="837" t="s">
        <v>3288</v>
      </c>
      <c r="D88" s="1895"/>
      <c r="E88" s="1895"/>
      <c r="F88" s="4173"/>
      <c r="G88" s="4173"/>
      <c r="H88" s="1895"/>
      <c r="I88" s="1905"/>
    </row>
    <row r="89" spans="2:9">
      <c r="B89" s="1903"/>
      <c r="C89" s="817" t="s">
        <v>3289</v>
      </c>
      <c r="D89" s="1895"/>
      <c r="E89" s="1895"/>
      <c r="F89" s="4168">
        <f>SUM(F84:G88)</f>
        <v>6169508.016839684</v>
      </c>
      <c r="G89" s="4168"/>
      <c r="H89" s="1895"/>
      <c r="I89" s="1905"/>
    </row>
    <row r="90" spans="2:9">
      <c r="B90" s="1903"/>
      <c r="C90" s="1895"/>
      <c r="D90" s="1895"/>
      <c r="E90" s="1895"/>
      <c r="F90" s="4169"/>
      <c r="G90" s="4169"/>
      <c r="H90" s="1895"/>
      <c r="I90" s="1905"/>
    </row>
    <row r="91" spans="2:9">
      <c r="B91" s="1906" t="s">
        <v>3290</v>
      </c>
      <c r="C91" s="1895"/>
      <c r="D91" s="1895"/>
      <c r="E91" s="1895"/>
      <c r="F91" s="1895"/>
      <c r="G91" s="1895"/>
      <c r="H91" s="1895"/>
      <c r="I91" s="1905"/>
    </row>
    <row r="92" spans="2:9">
      <c r="B92" s="1903"/>
      <c r="C92" s="837" t="s">
        <v>3291</v>
      </c>
      <c r="D92" s="1895"/>
      <c r="E92" s="1895"/>
      <c r="F92" s="4170"/>
      <c r="G92" s="4170"/>
      <c r="H92" s="1895"/>
      <c r="I92" s="1905"/>
    </row>
    <row r="93" spans="2:9">
      <c r="B93" s="1903"/>
      <c r="C93" s="837" t="s">
        <v>3292</v>
      </c>
      <c r="D93" s="1895"/>
      <c r="E93" s="1895"/>
      <c r="F93" s="4171"/>
      <c r="G93" s="4171"/>
      <c r="H93" s="1895"/>
      <c r="I93" s="1905"/>
    </row>
    <row r="94" spans="2:9">
      <c r="B94" s="1903"/>
      <c r="C94" s="837" t="s">
        <v>3293</v>
      </c>
      <c r="D94" s="1895"/>
      <c r="E94" s="1895"/>
      <c r="F94" s="4172" t="s">
        <v>3167</v>
      </c>
      <c r="G94" s="4167"/>
      <c r="H94" s="1895"/>
      <c r="I94" s="1905"/>
    </row>
    <row r="95" spans="2:9">
      <c r="B95" s="1903"/>
      <c r="C95" s="817" t="s">
        <v>3294</v>
      </c>
      <c r="D95" s="1895"/>
      <c r="E95" s="1895"/>
      <c r="F95" s="4168">
        <f>+SUM(F92:G94)</f>
        <v>0</v>
      </c>
      <c r="G95" s="4168"/>
      <c r="H95" s="1895"/>
      <c r="I95" s="1905"/>
    </row>
    <row r="96" spans="2:9">
      <c r="B96" s="1903"/>
      <c r="C96" s="1895"/>
      <c r="D96" s="1895"/>
      <c r="E96" s="1895"/>
      <c r="F96" s="1895"/>
      <c r="G96" s="1895"/>
      <c r="H96" s="1895"/>
      <c r="I96" s="1905"/>
    </row>
    <row r="97" spans="2:9">
      <c r="B97" s="1906" t="s">
        <v>3295</v>
      </c>
      <c r="C97" s="1895"/>
      <c r="D97" s="1895"/>
      <c r="E97" s="1895"/>
      <c r="F97" s="1895"/>
      <c r="G97" s="1895"/>
      <c r="H97" s="1895"/>
      <c r="I97" s="1905"/>
    </row>
    <row r="98" spans="2:9">
      <c r="B98" s="1903"/>
      <c r="C98" s="837" t="s">
        <v>3296</v>
      </c>
      <c r="D98" s="1895"/>
      <c r="E98" s="1895"/>
      <c r="F98" s="4170"/>
      <c r="G98" s="4170"/>
      <c r="H98" s="1895"/>
      <c r="I98" s="1905"/>
    </row>
    <row r="99" spans="2:9">
      <c r="B99" s="1903"/>
      <c r="C99" s="837" t="s">
        <v>3297</v>
      </c>
      <c r="D99" s="1895"/>
      <c r="E99" s="1895"/>
      <c r="F99" s="4171"/>
      <c r="G99" s="4171"/>
      <c r="H99" s="1895"/>
      <c r="I99" s="1905"/>
    </row>
    <row r="100" spans="2:9">
      <c r="B100" s="1903"/>
      <c r="C100" s="837" t="s">
        <v>3298</v>
      </c>
      <c r="D100" s="1895"/>
      <c r="E100" s="1895"/>
      <c r="F100" s="4173"/>
      <c r="G100" s="4173"/>
      <c r="H100" s="1895"/>
      <c r="I100" s="1905"/>
    </row>
    <row r="101" spans="2:9">
      <c r="B101" s="1903"/>
      <c r="C101" s="817" t="s">
        <v>3299</v>
      </c>
      <c r="D101" s="1895"/>
      <c r="E101" s="1895"/>
      <c r="F101" s="4168">
        <f>+SUM(F98:G100)</f>
        <v>0</v>
      </c>
      <c r="G101" s="4168"/>
      <c r="H101" s="1895"/>
      <c r="I101" s="1905"/>
    </row>
    <row r="102" spans="2:9">
      <c r="B102" s="1903"/>
      <c r="C102" s="1895"/>
      <c r="D102" s="1895"/>
      <c r="E102" s="1895"/>
      <c r="F102" s="1895"/>
      <c r="G102" s="1895"/>
      <c r="H102" s="1895"/>
      <c r="I102" s="1905"/>
    </row>
    <row r="103" spans="2:9">
      <c r="B103" s="1946" t="s">
        <v>3300</v>
      </c>
      <c r="C103" s="837"/>
      <c r="D103" s="1895"/>
      <c r="E103" s="1895"/>
      <c r="F103" s="4167">
        <f>'Part III-Sources of Funds'!I46+'Part III-Sources of Funds'!I47</f>
        <v>0</v>
      </c>
      <c r="G103" s="4167"/>
      <c r="H103" s="1895"/>
      <c r="I103" s="1905"/>
    </row>
    <row r="104" spans="2:9">
      <c r="B104" s="1903"/>
      <c r="C104" s="1895"/>
      <c r="D104" s="1895"/>
      <c r="E104" s="1895"/>
      <c r="F104" s="1895"/>
      <c r="G104" s="1895"/>
      <c r="H104" s="1895"/>
      <c r="I104" s="1951" t="s">
        <v>3301</v>
      </c>
    </row>
    <row r="105" spans="2:9">
      <c r="B105" s="1906" t="s">
        <v>3302</v>
      </c>
      <c r="C105" s="1895"/>
      <c r="D105" s="1895"/>
      <c r="E105" s="1895"/>
      <c r="F105" s="4167">
        <f>+F103+F101+F95+F89</f>
        <v>6169508.016839684</v>
      </c>
      <c r="G105" s="4167"/>
      <c r="H105" s="1895"/>
      <c r="I105" s="1905"/>
    </row>
    <row r="106" spans="2:9">
      <c r="B106" s="1913"/>
      <c r="C106" s="1914"/>
      <c r="D106" s="1914"/>
      <c r="E106" s="1914"/>
      <c r="F106" s="1914"/>
      <c r="G106" s="1914"/>
      <c r="H106" s="1914"/>
      <c r="I106" s="1915"/>
    </row>
    <row r="108" spans="2:9">
      <c r="C108" s="1952" t="s">
        <v>2990</v>
      </c>
    </row>
    <row r="109" spans="2:9">
      <c r="C109" s="1952"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Normal="100" workbookViewId="0">
      <selection sqref="A1:XFD1048576"/>
    </sheetView>
  </sheetViews>
  <sheetFormatPr defaultColWidth="8.6640625" defaultRowHeight="15.6"/>
  <cols>
    <col min="1" max="1" width="2.33203125" style="2754" customWidth="1"/>
    <col min="2" max="13" width="7.6640625" style="2754" customWidth="1"/>
    <col min="14" max="15" width="5.6640625" style="2754" customWidth="1"/>
    <col min="16" max="16384" width="8.6640625" style="2754"/>
  </cols>
  <sheetData>
    <row r="1" spans="1:26" ht="18">
      <c r="N1" s="2755" t="s">
        <v>1498</v>
      </c>
      <c r="O1" s="2755"/>
      <c r="P1" s="2755"/>
      <c r="Q1" s="2755"/>
      <c r="R1" s="2755"/>
      <c r="S1" s="2755"/>
      <c r="T1" s="2755"/>
      <c r="U1" s="2755"/>
      <c r="V1" s="2755"/>
      <c r="W1" s="2755"/>
      <c r="X1" s="2755"/>
      <c r="Y1" s="2755"/>
      <c r="Z1" s="2755"/>
    </row>
    <row r="2" spans="1:26">
      <c r="N2" s="2756" t="s">
        <v>1499</v>
      </c>
      <c r="O2" s="2756"/>
      <c r="P2" s="2756"/>
      <c r="Q2" s="2756"/>
      <c r="R2" s="2756"/>
      <c r="S2" s="2756"/>
      <c r="T2" s="2756"/>
      <c r="U2" s="2756"/>
      <c r="V2" s="2756"/>
      <c r="W2" s="2756"/>
      <c r="X2" s="2756"/>
      <c r="Y2" s="2756"/>
      <c r="Z2" s="2756"/>
    </row>
    <row r="3" spans="1:26">
      <c r="N3" s="2757" t="s">
        <v>1500</v>
      </c>
      <c r="O3" s="2757"/>
      <c r="P3" s="2757"/>
      <c r="Q3" s="2757"/>
      <c r="R3" s="2757"/>
      <c r="S3" s="2757"/>
      <c r="T3" s="2757"/>
      <c r="U3" s="2757"/>
      <c r="V3" s="2757"/>
      <c r="W3" s="2757"/>
      <c r="X3" s="2757"/>
      <c r="Y3" s="2757"/>
      <c r="Z3" s="2757"/>
    </row>
    <row r="4" spans="1:26">
      <c r="B4" s="2758"/>
      <c r="C4" s="2758"/>
      <c r="D4" s="2758"/>
      <c r="E4" s="2758"/>
      <c r="F4" s="2758"/>
      <c r="G4" s="2758"/>
      <c r="H4" s="2758"/>
      <c r="I4" s="2758"/>
      <c r="J4" s="2758"/>
      <c r="K4" s="2758"/>
      <c r="L4" s="2758"/>
      <c r="M4" s="2758"/>
      <c r="N4" s="2759" t="s">
        <v>702</v>
      </c>
    </row>
    <row r="5" spans="1:26" ht="59.25" customHeight="1">
      <c r="A5" s="4181" t="s">
        <v>2750</v>
      </c>
      <c r="B5" s="4181"/>
      <c r="C5" s="4181"/>
      <c r="D5" s="4181"/>
      <c r="E5" s="4181"/>
      <c r="F5" s="4181"/>
      <c r="G5" s="4181"/>
      <c r="H5" s="4181"/>
      <c r="I5" s="4181"/>
      <c r="J5" s="4181"/>
      <c r="K5" s="4181"/>
      <c r="L5" s="4181"/>
      <c r="M5" s="4181"/>
    </row>
    <row r="6" spans="1:26" ht="11.7" customHeight="1">
      <c r="A6" s="2758"/>
      <c r="B6" s="2758"/>
      <c r="C6" s="2758"/>
      <c r="D6" s="2758"/>
      <c r="E6" s="2758"/>
      <c r="F6" s="2758"/>
      <c r="G6" s="2758"/>
      <c r="H6" s="2758"/>
      <c r="I6" s="2758"/>
      <c r="J6" s="2758"/>
      <c r="K6" s="2758"/>
      <c r="L6" s="2758"/>
      <c r="M6" s="2758"/>
    </row>
    <row r="7" spans="1:26">
      <c r="A7" s="2758" t="s">
        <v>707</v>
      </c>
      <c r="B7" s="2758"/>
      <c r="C7" s="2758"/>
      <c r="D7" s="2758"/>
      <c r="E7" s="2758"/>
      <c r="F7" s="2758"/>
      <c r="G7" s="2758"/>
      <c r="H7" s="2758"/>
      <c r="I7" s="2758"/>
      <c r="J7" s="2758"/>
      <c r="K7" s="2758"/>
      <c r="L7" s="2758"/>
      <c r="M7" s="2758"/>
    </row>
    <row r="8" spans="1:26" ht="11.7" customHeight="1">
      <c r="A8" s="2758"/>
      <c r="B8" s="2758"/>
      <c r="C8" s="2758"/>
      <c r="D8" s="2758"/>
      <c r="E8" s="2758"/>
      <c r="F8" s="2758"/>
      <c r="G8" s="2758"/>
      <c r="H8" s="2758"/>
      <c r="I8" s="2758"/>
      <c r="J8" s="2758"/>
      <c r="K8" s="2758"/>
      <c r="L8" s="2758"/>
      <c r="M8" s="2758"/>
    </row>
    <row r="9" spans="1:26">
      <c r="A9" s="4182" t="s">
        <v>1906</v>
      </c>
      <c r="B9" s="4182"/>
      <c r="C9" s="4182"/>
      <c r="D9" s="4182"/>
      <c r="E9" s="4182"/>
      <c r="F9" s="4182"/>
      <c r="G9" s="4182"/>
      <c r="H9" s="4182"/>
      <c r="I9" s="4182"/>
      <c r="J9" s="4182"/>
      <c r="K9" s="4182"/>
      <c r="L9" s="4182"/>
      <c r="M9" s="4182"/>
    </row>
    <row r="10" spans="1:26" ht="6.75" customHeight="1">
      <c r="A10" s="4182"/>
      <c r="B10" s="4182"/>
      <c r="C10" s="4182"/>
      <c r="D10" s="4182"/>
      <c r="E10" s="4182"/>
      <c r="F10" s="4182"/>
      <c r="G10" s="4182"/>
      <c r="H10" s="4182"/>
      <c r="I10" s="4182"/>
      <c r="J10" s="4182"/>
      <c r="K10" s="4182"/>
      <c r="L10" s="4182"/>
      <c r="M10" s="4182"/>
    </row>
    <row r="11" spans="1:26" ht="44.25" customHeight="1">
      <c r="A11" s="4183" t="s">
        <v>4930</v>
      </c>
      <c r="B11" s="4183"/>
      <c r="C11" s="4183"/>
      <c r="D11" s="4183"/>
      <c r="E11" s="4183"/>
      <c r="F11" s="4183"/>
      <c r="G11" s="4183"/>
      <c r="H11" s="4183"/>
      <c r="I11" s="4183"/>
      <c r="J11" s="4183"/>
      <c r="K11" s="4183"/>
      <c r="L11" s="4183"/>
      <c r="M11" s="4183"/>
    </row>
    <row r="12" spans="1:26" ht="3" customHeight="1">
      <c r="A12" s="4182"/>
      <c r="B12" s="4182"/>
      <c r="C12" s="4182"/>
      <c r="D12" s="4182"/>
      <c r="E12" s="4182"/>
      <c r="F12" s="4182"/>
      <c r="G12" s="4182"/>
      <c r="H12" s="4182"/>
      <c r="I12" s="4182"/>
      <c r="J12" s="4182"/>
      <c r="K12" s="4182"/>
      <c r="L12" s="4182"/>
      <c r="M12" s="4182"/>
    </row>
    <row r="13" spans="1:26" ht="96" customHeight="1">
      <c r="A13" s="2760" t="s">
        <v>1737</v>
      </c>
      <c r="B13" s="4184" t="s">
        <v>3674</v>
      </c>
      <c r="C13" s="4184"/>
      <c r="D13" s="4184"/>
      <c r="E13" s="4184"/>
      <c r="F13" s="4184"/>
      <c r="G13" s="4184"/>
      <c r="H13" s="4184"/>
      <c r="I13" s="4184"/>
      <c r="J13" s="4184"/>
      <c r="K13" s="4184"/>
      <c r="L13" s="4184"/>
      <c r="M13" s="4184"/>
    </row>
    <row r="14" spans="1:26" ht="47.25" customHeight="1">
      <c r="A14" s="2760" t="s">
        <v>1738</v>
      </c>
      <c r="B14" s="4184" t="s">
        <v>3675</v>
      </c>
      <c r="C14" s="4184"/>
      <c r="D14" s="4184"/>
      <c r="E14" s="4184"/>
      <c r="F14" s="4184"/>
      <c r="G14" s="4184"/>
      <c r="H14" s="4184"/>
      <c r="I14" s="4184"/>
      <c r="J14" s="4184"/>
      <c r="K14" s="4184"/>
      <c r="L14" s="4184"/>
      <c r="M14" s="4184"/>
    </row>
    <row r="15" spans="1:26" ht="117" customHeight="1">
      <c r="A15" s="2760" t="s">
        <v>1739</v>
      </c>
      <c r="B15" s="4184" t="s">
        <v>3676</v>
      </c>
      <c r="C15" s="4184"/>
      <c r="D15" s="4184"/>
      <c r="E15" s="4184"/>
      <c r="F15" s="4184"/>
      <c r="G15" s="4184"/>
      <c r="H15" s="4184"/>
      <c r="I15" s="4184"/>
      <c r="J15" s="4184"/>
      <c r="K15" s="4184"/>
      <c r="L15" s="4184"/>
      <c r="M15" s="4184"/>
    </row>
    <row r="16" spans="1:26" ht="147" customHeight="1">
      <c r="A16" s="2760" t="s">
        <v>2365</v>
      </c>
      <c r="B16" s="4184" t="s">
        <v>3457</v>
      </c>
      <c r="C16" s="4184"/>
      <c r="D16" s="4184"/>
      <c r="E16" s="4184"/>
      <c r="F16" s="4184"/>
      <c r="G16" s="4184"/>
      <c r="H16" s="4184"/>
      <c r="I16" s="4184"/>
      <c r="J16" s="4184"/>
      <c r="K16" s="4184"/>
      <c r="L16" s="4184"/>
      <c r="M16" s="4184"/>
    </row>
    <row r="17" spans="1:13" ht="48.75" customHeight="1">
      <c r="A17" s="2760" t="s">
        <v>1549</v>
      </c>
      <c r="B17" s="4184" t="s">
        <v>683</v>
      </c>
      <c r="C17" s="4184"/>
      <c r="D17" s="4184"/>
      <c r="E17" s="4184"/>
      <c r="F17" s="4184"/>
      <c r="G17" s="4184"/>
      <c r="H17" s="4184"/>
      <c r="I17" s="4184"/>
      <c r="J17" s="4184"/>
      <c r="K17" s="4184"/>
      <c r="L17" s="4184"/>
      <c r="M17" s="4184"/>
    </row>
    <row r="18" spans="1:13" ht="165" customHeight="1">
      <c r="A18" s="2760" t="s">
        <v>1550</v>
      </c>
      <c r="B18" s="4184" t="s">
        <v>3456</v>
      </c>
      <c r="C18" s="4184"/>
      <c r="D18" s="4184"/>
      <c r="E18" s="4184"/>
      <c r="F18" s="4184"/>
      <c r="G18" s="4184"/>
      <c r="H18" s="4184"/>
      <c r="I18" s="4184"/>
      <c r="J18" s="4184"/>
      <c r="K18" s="4184"/>
      <c r="L18" s="4184"/>
      <c r="M18" s="4184"/>
    </row>
    <row r="19" spans="1:13" ht="48.75" customHeight="1">
      <c r="A19" s="2760" t="s">
        <v>98</v>
      </c>
      <c r="B19" s="4180" t="s">
        <v>3677</v>
      </c>
      <c r="C19" s="4180"/>
      <c r="D19" s="4180"/>
      <c r="E19" s="4180"/>
      <c r="F19" s="4180"/>
      <c r="G19" s="4180"/>
      <c r="H19" s="4180"/>
      <c r="I19" s="4180"/>
      <c r="J19" s="4180"/>
      <c r="K19" s="4180"/>
      <c r="L19" s="4180"/>
      <c r="M19" s="4180"/>
    </row>
    <row r="20" spans="1:13" ht="50.25" customHeight="1">
      <c r="A20" s="2760" t="s">
        <v>511</v>
      </c>
      <c r="B20" s="4184" t="s">
        <v>3459</v>
      </c>
      <c r="C20" s="4184"/>
      <c r="D20" s="4184"/>
      <c r="E20" s="4184"/>
      <c r="F20" s="4184"/>
      <c r="G20" s="4184"/>
      <c r="H20" s="4184"/>
      <c r="I20" s="4184"/>
      <c r="J20" s="4184"/>
      <c r="K20" s="4184"/>
      <c r="L20" s="4184"/>
      <c r="M20" s="4184"/>
    </row>
    <row r="21" spans="1:13" ht="31.5" customHeight="1">
      <c r="A21" s="2760" t="s">
        <v>512</v>
      </c>
      <c r="B21" s="4184" t="s">
        <v>3486</v>
      </c>
      <c r="C21" s="4184"/>
      <c r="D21" s="4184"/>
      <c r="E21" s="4184"/>
      <c r="F21" s="4184"/>
      <c r="G21" s="4184"/>
      <c r="H21" s="4184"/>
      <c r="I21" s="4184"/>
      <c r="J21" s="4184"/>
      <c r="K21" s="4184"/>
      <c r="L21" s="4184"/>
      <c r="M21" s="4184"/>
    </row>
    <row r="22" spans="1:13" ht="1.5" customHeight="1">
      <c r="A22" s="4182"/>
      <c r="B22" s="4182"/>
      <c r="C22" s="4182"/>
      <c r="D22" s="4182"/>
      <c r="E22" s="4182"/>
      <c r="F22" s="4182"/>
      <c r="G22" s="4182"/>
      <c r="H22" s="4182"/>
      <c r="I22" s="4182"/>
      <c r="J22" s="4182"/>
      <c r="K22" s="4182"/>
      <c r="L22" s="4182"/>
      <c r="M22" s="4182"/>
    </row>
    <row r="23" spans="1:13" ht="3" customHeight="1">
      <c r="A23" s="4182"/>
      <c r="B23" s="4182"/>
      <c r="C23" s="4182"/>
      <c r="D23" s="4182"/>
      <c r="E23" s="4182"/>
      <c r="F23" s="4182"/>
      <c r="G23" s="4182"/>
      <c r="H23" s="4182"/>
      <c r="I23" s="4182"/>
      <c r="J23" s="4182"/>
      <c r="K23" s="4182"/>
      <c r="L23" s="4182"/>
      <c r="M23" s="4182"/>
    </row>
    <row r="24" spans="1:13" ht="13.5" customHeight="1">
      <c r="A24" s="4182" t="s">
        <v>1465</v>
      </c>
      <c r="B24" s="4182"/>
      <c r="C24" s="4182"/>
      <c r="D24" s="4182"/>
      <c r="E24" s="4182"/>
      <c r="F24" s="4182"/>
      <c r="G24" s="4182"/>
      <c r="H24" s="4182"/>
      <c r="I24" s="4182"/>
      <c r="J24" s="4182"/>
      <c r="K24" s="4182"/>
      <c r="L24" s="4182"/>
      <c r="M24" s="4182"/>
    </row>
    <row r="25" spans="1:13" ht="32.25" customHeight="1">
      <c r="A25" s="2760" t="s">
        <v>1466</v>
      </c>
      <c r="B25" s="4184" t="s">
        <v>3487</v>
      </c>
      <c r="C25" s="4184"/>
      <c r="D25" s="4184"/>
      <c r="E25" s="4184"/>
      <c r="F25" s="4184"/>
      <c r="G25" s="4184"/>
      <c r="H25" s="4184"/>
      <c r="I25" s="4184"/>
      <c r="J25" s="4184"/>
      <c r="K25" s="4184"/>
      <c r="L25" s="4184"/>
      <c r="M25" s="4184"/>
    </row>
    <row r="26" spans="1:13" ht="31.5" customHeight="1">
      <c r="A26" s="2760" t="s">
        <v>1466</v>
      </c>
      <c r="B26" s="4184" t="s">
        <v>3488</v>
      </c>
      <c r="C26" s="4184"/>
      <c r="D26" s="4184"/>
      <c r="E26" s="4184"/>
      <c r="F26" s="4184"/>
      <c r="G26" s="4184"/>
      <c r="H26" s="4184"/>
      <c r="I26" s="4184"/>
      <c r="J26" s="4184"/>
      <c r="K26" s="4184"/>
      <c r="L26" s="4184"/>
      <c r="M26" s="4184"/>
    </row>
    <row r="27" spans="1:13" ht="78.75" customHeight="1">
      <c r="A27" s="2760" t="s">
        <v>1466</v>
      </c>
      <c r="B27" s="4184" t="s">
        <v>2751</v>
      </c>
      <c r="C27" s="4184"/>
      <c r="D27" s="4184"/>
      <c r="E27" s="4184"/>
      <c r="F27" s="4184"/>
      <c r="G27" s="4184"/>
      <c r="H27" s="4184"/>
      <c r="I27" s="4184"/>
      <c r="J27" s="4184"/>
      <c r="K27" s="4184"/>
      <c r="L27" s="4184"/>
      <c r="M27" s="4184"/>
    </row>
    <row r="28" spans="1:13" ht="7.5" customHeight="1">
      <c r="A28" s="4182"/>
      <c r="B28" s="4182"/>
      <c r="C28" s="4182"/>
      <c r="D28" s="4182"/>
      <c r="E28" s="4182"/>
      <c r="F28" s="4182"/>
      <c r="G28" s="4182"/>
      <c r="H28" s="4182"/>
      <c r="I28" s="4182"/>
      <c r="J28" s="4182"/>
      <c r="K28" s="4182"/>
      <c r="L28" s="4182"/>
      <c r="M28" s="4182"/>
    </row>
    <row r="29" spans="1:13" ht="43.5" customHeight="1">
      <c r="A29" s="4184" t="s">
        <v>946</v>
      </c>
      <c r="B29" s="4184"/>
      <c r="C29" s="4184"/>
      <c r="D29" s="4184"/>
      <c r="E29" s="4184"/>
      <c r="F29" s="4184"/>
      <c r="G29" s="4184"/>
      <c r="H29" s="4184"/>
      <c r="I29" s="4184"/>
      <c r="J29" s="4184"/>
      <c r="K29" s="4184"/>
      <c r="L29" s="4184"/>
      <c r="M29" s="4184"/>
    </row>
    <row r="30" spans="1:13" ht="3" customHeight="1">
      <c r="A30" s="4182"/>
      <c r="B30" s="4182"/>
      <c r="C30" s="4182"/>
      <c r="D30" s="4182"/>
      <c r="E30" s="4182"/>
      <c r="F30" s="4182"/>
      <c r="G30" s="4182"/>
      <c r="H30" s="4182"/>
      <c r="I30" s="4182"/>
      <c r="J30" s="4182"/>
      <c r="K30" s="4182"/>
      <c r="L30" s="4182"/>
      <c r="M30" s="4182"/>
    </row>
    <row r="31" spans="1:13" ht="32.25" customHeight="1">
      <c r="A31" s="4184" t="s">
        <v>2752</v>
      </c>
      <c r="B31" s="4184"/>
      <c r="C31" s="4184"/>
      <c r="D31" s="4184"/>
      <c r="E31" s="4184"/>
      <c r="F31" s="4184"/>
      <c r="G31" s="4184"/>
      <c r="H31" s="4184"/>
      <c r="I31" s="4184"/>
      <c r="J31" s="4184"/>
      <c r="K31" s="4184"/>
      <c r="L31" s="4184"/>
      <c r="M31" s="4184"/>
    </row>
    <row r="32" spans="1:13" ht="4.5" customHeight="1">
      <c r="A32" s="4182"/>
      <c r="B32" s="4182"/>
      <c r="C32" s="4182"/>
      <c r="D32" s="4182"/>
      <c r="E32" s="4182"/>
      <c r="F32" s="4182"/>
      <c r="G32" s="4182"/>
      <c r="H32" s="4182"/>
      <c r="I32" s="4182"/>
      <c r="J32" s="4182"/>
      <c r="K32" s="4182"/>
      <c r="L32" s="4182"/>
      <c r="M32" s="4182"/>
    </row>
    <row r="33" spans="1:13">
      <c r="A33" s="4182" t="s">
        <v>922</v>
      </c>
      <c r="B33" s="4182"/>
      <c r="C33" s="4182"/>
      <c r="D33" s="4182"/>
      <c r="E33" s="4182"/>
      <c r="F33" s="4182"/>
      <c r="G33" s="4182"/>
      <c r="H33" s="4182"/>
      <c r="I33" s="4182"/>
      <c r="J33" s="4182"/>
      <c r="K33" s="4182"/>
      <c r="L33" s="4182"/>
      <c r="M33" s="4182"/>
    </row>
    <row r="34" spans="1:13" ht="6" customHeight="1">
      <c r="A34" s="2761"/>
      <c r="B34" s="2761"/>
      <c r="C34" s="2761"/>
      <c r="D34" s="2761"/>
      <c r="E34" s="2761"/>
      <c r="F34" s="2761"/>
      <c r="G34" s="2761"/>
      <c r="H34" s="2761"/>
      <c r="I34" s="2761"/>
      <c r="J34" s="2761"/>
      <c r="K34" s="2761"/>
      <c r="L34" s="2761"/>
      <c r="M34" s="2761"/>
    </row>
    <row r="35" spans="1:13">
      <c r="A35" s="4185"/>
      <c r="B35" s="4185"/>
      <c r="C35" s="4185"/>
      <c r="D35" s="4185"/>
      <c r="E35" s="4185"/>
      <c r="F35" s="4185"/>
      <c r="G35" s="2762"/>
      <c r="H35" s="4185"/>
      <c r="I35" s="4185"/>
      <c r="J35" s="4185"/>
      <c r="K35" s="4185"/>
      <c r="L35" s="4185"/>
      <c r="M35" s="4185"/>
    </row>
    <row r="36" spans="1:13" ht="12" customHeight="1">
      <c r="A36" s="4186" t="s">
        <v>923</v>
      </c>
      <c r="B36" s="4186"/>
      <c r="C36" s="4186"/>
      <c r="D36" s="4186"/>
      <c r="E36" s="4186"/>
      <c r="F36" s="4186"/>
      <c r="G36" s="2762"/>
      <c r="H36" s="4186" t="s">
        <v>1980</v>
      </c>
      <c r="I36" s="4186"/>
      <c r="J36" s="4186"/>
      <c r="K36" s="4186"/>
      <c r="L36" s="4186"/>
      <c r="M36" s="4186"/>
    </row>
    <row r="37" spans="1:13" ht="6" customHeight="1">
      <c r="A37" s="2762"/>
      <c r="B37" s="2762"/>
      <c r="C37" s="2762"/>
      <c r="D37" s="2762"/>
      <c r="E37" s="2762"/>
      <c r="F37" s="2762"/>
      <c r="G37" s="2762"/>
      <c r="H37" s="2762"/>
      <c r="I37" s="2762"/>
      <c r="J37" s="2762"/>
      <c r="K37" s="2762"/>
      <c r="L37" s="2762"/>
      <c r="M37" s="2762"/>
    </row>
    <row r="38" spans="1:13">
      <c r="A38" s="4185"/>
      <c r="B38" s="4185"/>
      <c r="C38" s="4185"/>
      <c r="D38" s="4185"/>
      <c r="E38" s="4185"/>
      <c r="F38" s="4185"/>
      <c r="G38" s="2762"/>
      <c r="H38" s="4187"/>
      <c r="I38" s="4187"/>
      <c r="J38" s="4187"/>
      <c r="K38" s="4187"/>
      <c r="L38" s="4187"/>
      <c r="M38" s="4187"/>
    </row>
    <row r="39" spans="1:13" ht="12" customHeight="1">
      <c r="A39" s="4186" t="s">
        <v>924</v>
      </c>
      <c r="B39" s="4186"/>
      <c r="C39" s="4186"/>
      <c r="D39" s="4186"/>
      <c r="E39" s="4186"/>
      <c r="F39" s="4186"/>
      <c r="G39" s="2762"/>
      <c r="H39" s="4186" t="s">
        <v>925</v>
      </c>
      <c r="I39" s="4186"/>
      <c r="J39" s="4186"/>
      <c r="K39" s="4186"/>
      <c r="L39" s="4186"/>
      <c r="M39" s="4186"/>
    </row>
    <row r="40" spans="1:13" ht="3" customHeight="1">
      <c r="A40" s="2763"/>
      <c r="B40" s="2763"/>
      <c r="C40" s="2763"/>
      <c r="D40" s="2763"/>
      <c r="E40" s="2763"/>
      <c r="F40" s="2763"/>
      <c r="G40" s="2762"/>
      <c r="H40" s="2763"/>
      <c r="I40" s="2763"/>
      <c r="J40" s="2763"/>
      <c r="K40" s="2763"/>
      <c r="L40" s="2763"/>
      <c r="M40" s="2763"/>
    </row>
    <row r="41" spans="1:13" ht="11.7" customHeight="1">
      <c r="A41" s="2758"/>
      <c r="B41" s="2758"/>
      <c r="C41" s="2758"/>
      <c r="D41" s="2758"/>
      <c r="E41" s="2758"/>
      <c r="F41" s="2758"/>
      <c r="G41" s="2758"/>
      <c r="H41" s="4188" t="s">
        <v>926</v>
      </c>
      <c r="I41" s="4188"/>
      <c r="J41" s="4188"/>
      <c r="K41" s="4188"/>
      <c r="L41" s="4188"/>
      <c r="M41" s="4188"/>
    </row>
    <row r="42" spans="1:13" ht="11.7" customHeight="1">
      <c r="A42" s="2758"/>
      <c r="B42" s="2758"/>
      <c r="C42" s="2758"/>
      <c r="D42" s="2758"/>
      <c r="E42" s="2758"/>
      <c r="F42" s="2758"/>
      <c r="G42" s="2758"/>
    </row>
    <row r="43" spans="1:13" ht="11.7" customHeight="1">
      <c r="A43" s="2758"/>
      <c r="B43" s="2758"/>
      <c r="C43" s="2758"/>
      <c r="D43" s="2758"/>
      <c r="E43" s="2758"/>
      <c r="F43" s="2758"/>
      <c r="G43" s="2758"/>
      <c r="H43" s="2758"/>
      <c r="I43" s="2758"/>
      <c r="J43" s="2758"/>
      <c r="K43" s="2758"/>
      <c r="L43" s="2758"/>
      <c r="M43" s="2758"/>
    </row>
    <row r="44" spans="1:13" ht="11.7" customHeight="1">
      <c r="A44" s="2758"/>
      <c r="B44" s="2758"/>
      <c r="C44" s="2758"/>
      <c r="D44" s="2758"/>
      <c r="E44" s="2758"/>
      <c r="F44" s="2758"/>
      <c r="G44" s="2758"/>
      <c r="H44" s="2758"/>
      <c r="I44" s="2758"/>
      <c r="J44" s="2758"/>
      <c r="K44" s="2758"/>
      <c r="L44" s="2758"/>
      <c r="M44" s="2758"/>
    </row>
    <row r="45" spans="1:13" ht="11.7" customHeight="1"/>
    <row r="46" spans="1:13" ht="11.7" customHeight="1"/>
    <row r="47" spans="1:13" ht="11.7" customHeight="1"/>
    <row r="48" spans="1:13" ht="11.7" customHeight="1"/>
    <row r="49" ht="11.7" customHeight="1"/>
  </sheetData>
  <sheetProtection algorithmName="SHA-512" hashValue="wkbitOcAWDtaCLczk8xaJ1fOIIkBUkgK7+JN/5Z6rHhVt2qpKHPUD/IP071s26kYo0PWNPGQJEesvM04ezW9Lw==" saltValue="s1eZTcYlgdKKGGX+DO1oe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2" customHeight="1">
      <c r="A2" s="4192" t="s">
        <v>721</v>
      </c>
      <c r="B2" s="4193"/>
      <c r="C2" s="4193"/>
      <c r="D2" s="4193"/>
      <c r="E2" s="4193"/>
      <c r="F2" s="4193"/>
      <c r="G2" s="4193"/>
      <c r="H2" s="4193"/>
      <c r="I2" s="4193"/>
      <c r="J2" s="4193"/>
      <c r="K2" s="4193"/>
      <c r="L2" s="4193"/>
      <c r="M2" s="4193"/>
      <c r="N2" s="4193"/>
      <c r="O2" s="4193"/>
      <c r="P2" s="4193"/>
      <c r="Q2" s="4193"/>
      <c r="R2" s="4194"/>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7"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7"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7"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7"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7" customHeight="1">
      <c r="A11" s="170"/>
      <c r="B11" s="170"/>
      <c r="C11" s="170"/>
      <c r="D11" s="168"/>
      <c r="E11" s="168"/>
      <c r="F11" s="170" t="s">
        <v>3625</v>
      </c>
      <c r="G11" s="170"/>
      <c r="H11" s="168"/>
      <c r="I11" s="168"/>
      <c r="J11" s="565" t="s">
        <v>3626</v>
      </c>
      <c r="K11" s="281"/>
      <c r="M11" s="281"/>
      <c r="N11" s="281"/>
      <c r="O11" s="170"/>
      <c r="Q11" s="279"/>
      <c r="R11" s="279"/>
      <c r="S11" s="292"/>
      <c r="T11" s="168"/>
      <c r="U11" s="168"/>
      <c r="V11" s="987"/>
      <c r="W11" s="987"/>
      <c r="X11" s="987"/>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7" customHeight="1">
      <c r="A13" s="170"/>
      <c r="B13" s="170"/>
      <c r="C13" s="170"/>
      <c r="D13" s="2049">
        <v>2018</v>
      </c>
      <c r="E13" s="168"/>
      <c r="F13" s="4195" t="s">
        <v>3359</v>
      </c>
      <c r="G13" s="4196"/>
      <c r="H13" s="4196"/>
      <c r="I13" s="4196"/>
      <c r="J13" s="4197"/>
      <c r="K13" s="281"/>
      <c r="L13" s="566" t="s">
        <v>3579</v>
      </c>
      <c r="M13" s="281"/>
      <c r="N13" s="4195" t="s">
        <v>3359</v>
      </c>
      <c r="O13" s="4196"/>
      <c r="P13" s="4196"/>
      <c r="Q13" s="4196"/>
      <c r="R13" s="4197"/>
      <c r="S13" s="292"/>
      <c r="T13" s="168"/>
      <c r="U13" s="168"/>
      <c r="V13" s="987"/>
      <c r="W13" s="987"/>
      <c r="X13" s="987"/>
      <c r="AA13" s="512"/>
      <c r="AB13" s="512"/>
    </row>
    <row r="14" spans="1:28" s="271" customFormat="1" ht="11.7" customHeight="1">
      <c r="A14" s="170"/>
      <c r="D14" s="567" t="s">
        <v>2613</v>
      </c>
      <c r="E14" s="567" t="s">
        <v>1296</v>
      </c>
      <c r="F14" s="568">
        <v>0</v>
      </c>
      <c r="G14" s="569">
        <v>1</v>
      </c>
      <c r="H14" s="1057">
        <v>2</v>
      </c>
      <c r="I14" s="1057">
        <v>3</v>
      </c>
      <c r="J14" s="570" t="s">
        <v>3356</v>
      </c>
      <c r="L14" s="567" t="s">
        <v>2613</v>
      </c>
      <c r="M14" s="567" t="s">
        <v>1296</v>
      </c>
      <c r="N14" s="568">
        <v>0</v>
      </c>
      <c r="O14" s="569">
        <v>1</v>
      </c>
      <c r="P14" s="1057">
        <v>2</v>
      </c>
      <c r="Q14" s="1057">
        <v>3</v>
      </c>
      <c r="R14" s="570" t="s">
        <v>3356</v>
      </c>
      <c r="S14" s="292"/>
      <c r="T14" s="168"/>
      <c r="U14" s="168"/>
      <c r="V14" s="987"/>
      <c r="W14" s="987"/>
      <c r="X14" s="987"/>
      <c r="AA14" s="512"/>
      <c r="AB14" s="512"/>
    </row>
    <row r="15" spans="1:28" s="271" customFormat="1" ht="11.7" customHeight="1">
      <c r="A15" s="170"/>
      <c r="C15" s="312"/>
      <c r="D15" s="1007" t="s">
        <v>1782</v>
      </c>
      <c r="E15" s="1007" t="s">
        <v>3358</v>
      </c>
      <c r="F15" s="1008">
        <v>137262</v>
      </c>
      <c r="G15" s="1008">
        <v>177349</v>
      </c>
      <c r="H15" s="1008">
        <v>212078</v>
      </c>
      <c r="I15" s="1008">
        <v>252716</v>
      </c>
      <c r="J15" s="1008">
        <v>297120</v>
      </c>
      <c r="L15" s="292" t="s">
        <v>1782</v>
      </c>
      <c r="M15" s="292" t="s">
        <v>3358</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7" customHeight="1">
      <c r="A16" s="170"/>
      <c r="C16" s="312"/>
      <c r="D16" s="1007" t="s">
        <v>1782</v>
      </c>
      <c r="E16" s="1007" t="s">
        <v>3355</v>
      </c>
      <c r="F16" s="1008">
        <v>107293</v>
      </c>
      <c r="G16" s="1008">
        <v>150210</v>
      </c>
      <c r="H16" s="1008">
        <v>193128</v>
      </c>
      <c r="I16" s="1008">
        <v>257504</v>
      </c>
      <c r="J16" s="1008">
        <v>321879</v>
      </c>
      <c r="L16" s="292" t="s">
        <v>1782</v>
      </c>
      <c r="M16" s="292" t="s">
        <v>3355</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7" customHeight="1">
      <c r="A17" s="170"/>
      <c r="C17" s="312"/>
      <c r="D17" s="1007" t="s">
        <v>1782</v>
      </c>
      <c r="E17" s="1007" t="s">
        <v>3353</v>
      </c>
      <c r="F17" s="1008">
        <v>121714</v>
      </c>
      <c r="G17" s="1008">
        <v>158836</v>
      </c>
      <c r="H17" s="1008">
        <v>192451</v>
      </c>
      <c r="I17" s="1008">
        <v>234909</v>
      </c>
      <c r="J17" s="1008">
        <v>278528</v>
      </c>
      <c r="L17" s="292" t="s">
        <v>1782</v>
      </c>
      <c r="M17" s="292" t="s">
        <v>3353</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7" customHeight="1">
      <c r="A18" s="170"/>
      <c r="C18" s="312"/>
      <c r="D18" s="1007" t="s">
        <v>1782</v>
      </c>
      <c r="E18" s="1007" t="s">
        <v>3354</v>
      </c>
      <c r="F18" s="1008">
        <v>107065</v>
      </c>
      <c r="G18" s="1008">
        <v>146199</v>
      </c>
      <c r="H18" s="1008">
        <v>185055</v>
      </c>
      <c r="I18" s="1008">
        <v>243836</v>
      </c>
      <c r="J18" s="1008">
        <v>302233</v>
      </c>
      <c r="L18" s="292" t="s">
        <v>1782</v>
      </c>
      <c r="M18" s="292" t="s">
        <v>3354</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7" customHeight="1">
      <c r="A19" s="170"/>
      <c r="C19" s="312"/>
      <c r="D19" s="999" t="s">
        <v>166</v>
      </c>
      <c r="E19" s="999" t="s">
        <v>3358</v>
      </c>
      <c r="F19" s="1000">
        <v>135505</v>
      </c>
      <c r="G19" s="1000">
        <v>175180</v>
      </c>
      <c r="H19" s="1000">
        <v>209551</v>
      </c>
      <c r="I19" s="1000">
        <v>249808</v>
      </c>
      <c r="J19" s="1000">
        <v>293789</v>
      </c>
      <c r="L19" s="292" t="s">
        <v>166</v>
      </c>
      <c r="M19" s="292" t="s">
        <v>3358</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7" customHeight="1">
      <c r="A20" s="170"/>
      <c r="C20" s="312"/>
      <c r="D20" s="999" t="s">
        <v>166</v>
      </c>
      <c r="E20" s="999" t="s">
        <v>3355</v>
      </c>
      <c r="F20" s="1000">
        <v>105897</v>
      </c>
      <c r="G20" s="1000">
        <v>148256</v>
      </c>
      <c r="H20" s="1000">
        <v>190615</v>
      </c>
      <c r="I20" s="1000">
        <v>254153</v>
      </c>
      <c r="J20" s="1000">
        <v>317691</v>
      </c>
      <c r="L20" s="292" t="s">
        <v>166</v>
      </c>
      <c r="M20" s="292" t="s">
        <v>3355</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7" customHeight="1">
      <c r="A21" s="170"/>
      <c r="C21" s="312"/>
      <c r="D21" s="999" t="s">
        <v>166</v>
      </c>
      <c r="E21" s="999" t="s">
        <v>3353</v>
      </c>
      <c r="F21" s="1000">
        <v>119770</v>
      </c>
      <c r="G21" s="1000">
        <v>156444</v>
      </c>
      <c r="H21" s="1000">
        <v>189688</v>
      </c>
      <c r="I21" s="1000">
        <v>231786</v>
      </c>
      <c r="J21" s="1000">
        <v>274973</v>
      </c>
      <c r="L21" s="292" t="s">
        <v>166</v>
      </c>
      <c r="M21" s="292" t="s">
        <v>3353</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7" customHeight="1">
      <c r="A22" s="170"/>
      <c r="C22" s="312"/>
      <c r="D22" s="999" t="s">
        <v>166</v>
      </c>
      <c r="E22" s="999" t="s">
        <v>3354</v>
      </c>
      <c r="F22" s="1000">
        <v>104962</v>
      </c>
      <c r="G22" s="1000">
        <v>143211</v>
      </c>
      <c r="H22" s="1000">
        <v>181178</v>
      </c>
      <c r="I22" s="1000">
        <v>238632</v>
      </c>
      <c r="J22" s="1000">
        <v>295697</v>
      </c>
      <c r="L22" s="292" t="s">
        <v>166</v>
      </c>
      <c r="M22" s="292" t="s">
        <v>3354</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7" customHeight="1">
      <c r="A23" s="170"/>
      <c r="C23" s="312"/>
      <c r="D23" s="997" t="s">
        <v>1205</v>
      </c>
      <c r="E23" s="997" t="s">
        <v>3358</v>
      </c>
      <c r="F23" s="998">
        <v>147803</v>
      </c>
      <c r="G23" s="998">
        <v>191097</v>
      </c>
      <c r="H23" s="998">
        <v>228604</v>
      </c>
      <c r="I23" s="998">
        <v>272539</v>
      </c>
      <c r="J23" s="998">
        <v>320539</v>
      </c>
      <c r="L23" s="565" t="s">
        <v>1205</v>
      </c>
      <c r="M23" s="565" t="s">
        <v>3358</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7" customHeight="1">
      <c r="A24" s="170"/>
      <c r="C24" s="312"/>
      <c r="D24" s="997" t="s">
        <v>1205</v>
      </c>
      <c r="E24" s="997" t="s">
        <v>3355</v>
      </c>
      <c r="F24" s="998">
        <v>115504</v>
      </c>
      <c r="G24" s="998">
        <v>161705</v>
      </c>
      <c r="H24" s="998">
        <v>207907</v>
      </c>
      <c r="I24" s="998">
        <v>277209</v>
      </c>
      <c r="J24" s="998">
        <v>346512</v>
      </c>
      <c r="L24" s="565" t="s">
        <v>1205</v>
      </c>
      <c r="M24" s="565" t="s">
        <v>3355</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7" customHeight="1">
      <c r="A25" s="170"/>
      <c r="C25" s="312"/>
      <c r="D25" s="997" t="s">
        <v>1205</v>
      </c>
      <c r="E25" s="997" t="s">
        <v>3353</v>
      </c>
      <c r="F25" s="998">
        <v>130569</v>
      </c>
      <c r="G25" s="998">
        <v>170576</v>
      </c>
      <c r="H25" s="998">
        <v>206849</v>
      </c>
      <c r="I25" s="998">
        <v>252801</v>
      </c>
      <c r="J25" s="998">
        <v>299931</v>
      </c>
      <c r="L25" s="565" t="s">
        <v>1205</v>
      </c>
      <c r="M25" s="565" t="s">
        <v>3353</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7" customHeight="1">
      <c r="A26" s="170"/>
      <c r="C26" s="312"/>
      <c r="D26" s="997" t="s">
        <v>1205</v>
      </c>
      <c r="E26" s="997" t="s">
        <v>3354</v>
      </c>
      <c r="F26" s="998">
        <v>114354</v>
      </c>
      <c r="G26" s="998">
        <v>156004</v>
      </c>
      <c r="H26" s="998">
        <v>197346</v>
      </c>
      <c r="I26" s="998">
        <v>259909</v>
      </c>
      <c r="J26" s="998">
        <v>322047</v>
      </c>
      <c r="L26" s="565" t="s">
        <v>1205</v>
      </c>
      <c r="M26" s="565" t="s">
        <v>3354</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7" customHeight="1">
      <c r="A27" s="170"/>
      <c r="C27" s="312"/>
      <c r="D27" s="1001" t="s">
        <v>1330</v>
      </c>
      <c r="E27" s="1001" t="s">
        <v>3358</v>
      </c>
      <c r="F27" s="1002">
        <v>137432</v>
      </c>
      <c r="G27" s="1002">
        <v>177418</v>
      </c>
      <c r="H27" s="1002">
        <v>212058</v>
      </c>
      <c r="I27" s="1002">
        <v>252539</v>
      </c>
      <c r="J27" s="1002">
        <v>296777</v>
      </c>
      <c r="L27" s="565" t="s">
        <v>1330</v>
      </c>
      <c r="M27" s="565" t="s">
        <v>3358</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7" customHeight="1">
      <c r="A28" s="170"/>
      <c r="C28" s="312"/>
      <c r="D28" s="1001" t="s">
        <v>1330</v>
      </c>
      <c r="E28" s="1001" t="s">
        <v>3355</v>
      </c>
      <c r="F28" s="1002">
        <v>107460</v>
      </c>
      <c r="G28" s="1002">
        <v>150444</v>
      </c>
      <c r="H28" s="1002">
        <v>193428</v>
      </c>
      <c r="I28" s="1002">
        <v>257905</v>
      </c>
      <c r="J28" s="1002">
        <v>322381</v>
      </c>
      <c r="L28" s="565" t="s">
        <v>1330</v>
      </c>
      <c r="M28" s="565" t="s">
        <v>3355</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7" customHeight="1">
      <c r="A29" s="170"/>
      <c r="C29" s="312"/>
      <c r="D29" s="1001" t="s">
        <v>1330</v>
      </c>
      <c r="E29" s="1001" t="s">
        <v>3353</v>
      </c>
      <c r="F29" s="1002">
        <v>122447</v>
      </c>
      <c r="G29" s="1002">
        <v>159574</v>
      </c>
      <c r="H29" s="1002">
        <v>193140</v>
      </c>
      <c r="I29" s="1002">
        <v>235376</v>
      </c>
      <c r="J29" s="1002">
        <v>278857</v>
      </c>
      <c r="L29" s="565" t="s">
        <v>1330</v>
      </c>
      <c r="M29" s="565" t="s">
        <v>3353</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7" customHeight="1">
      <c r="A30" s="170"/>
      <c r="C30" s="312"/>
      <c r="D30" s="1001" t="s">
        <v>1330</v>
      </c>
      <c r="E30" s="1001" t="s">
        <v>3354</v>
      </c>
      <c r="F30" s="1002">
        <v>108299</v>
      </c>
      <c r="G30" s="1002">
        <v>148060</v>
      </c>
      <c r="H30" s="1002">
        <v>187554</v>
      </c>
      <c r="I30" s="1002">
        <v>247273</v>
      </c>
      <c r="J30" s="1002">
        <v>306622</v>
      </c>
      <c r="L30" s="565" t="s">
        <v>1330</v>
      </c>
      <c r="M30" s="565" t="s">
        <v>3354</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7" customHeight="1">
      <c r="A31" s="170"/>
      <c r="C31" s="312"/>
      <c r="D31" s="1026" t="s">
        <v>1521</v>
      </c>
      <c r="E31" s="1026" t="s">
        <v>3358</v>
      </c>
      <c r="F31" s="855">
        <v>144345</v>
      </c>
      <c r="G31" s="855">
        <v>186781</v>
      </c>
      <c r="H31" s="855">
        <v>223544</v>
      </c>
      <c r="I31" s="855">
        <v>266662</v>
      </c>
      <c r="J31" s="855">
        <v>313764</v>
      </c>
      <c r="L31" s="1026" t="s">
        <v>1521</v>
      </c>
      <c r="M31" s="565" t="s">
        <v>3358</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7" customHeight="1">
      <c r="A32" s="170"/>
      <c r="C32" s="312"/>
      <c r="D32" s="1026" t="s">
        <v>1521</v>
      </c>
      <c r="E32" s="1026" t="s">
        <v>3355</v>
      </c>
      <c r="F32" s="855">
        <v>112768</v>
      </c>
      <c r="G32" s="855">
        <v>157875</v>
      </c>
      <c r="H32" s="855">
        <v>202982</v>
      </c>
      <c r="I32" s="855">
        <v>270642</v>
      </c>
      <c r="J32" s="855">
        <v>338303</v>
      </c>
      <c r="L32" s="1026" t="s">
        <v>1521</v>
      </c>
      <c r="M32" s="565" t="s">
        <v>3355</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7" customHeight="1">
      <c r="A33" s="170"/>
      <c r="C33" s="312"/>
      <c r="D33" s="1026" t="s">
        <v>1521</v>
      </c>
      <c r="E33" s="1026" t="s">
        <v>3353</v>
      </c>
      <c r="F33" s="855">
        <v>126924</v>
      </c>
      <c r="G33" s="855">
        <v>166037</v>
      </c>
      <c r="H33" s="855">
        <v>201553</v>
      </c>
      <c r="I33" s="855">
        <v>246710</v>
      </c>
      <c r="J33" s="855">
        <v>292932</v>
      </c>
      <c r="L33" s="1026" t="s">
        <v>1521</v>
      </c>
      <c r="M33" s="565" t="s">
        <v>3353</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7" customHeight="1">
      <c r="A34" s="170"/>
      <c r="C34" s="312"/>
      <c r="D34" s="1026" t="s">
        <v>1521</v>
      </c>
      <c r="E34" s="1026" t="s">
        <v>3354</v>
      </c>
      <c r="F34" s="855">
        <v>110561</v>
      </c>
      <c r="G34" s="855">
        <v>150648</v>
      </c>
      <c r="H34" s="855">
        <v>190425</v>
      </c>
      <c r="I34" s="855">
        <v>250646</v>
      </c>
      <c r="J34" s="855">
        <v>310437</v>
      </c>
      <c r="L34" s="1026" t="s">
        <v>1521</v>
      </c>
      <c r="M34" s="565" t="s">
        <v>3354</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7" customHeight="1">
      <c r="A35" s="170"/>
      <c r="C35" s="312"/>
      <c r="D35" s="1003" t="s">
        <v>161</v>
      </c>
      <c r="E35" s="1003" t="s">
        <v>3358</v>
      </c>
      <c r="F35" s="1004">
        <v>136468</v>
      </c>
      <c r="G35" s="1004">
        <v>176299</v>
      </c>
      <c r="H35" s="1004">
        <v>210804</v>
      </c>
      <c r="I35" s="1004">
        <v>251173</v>
      </c>
      <c r="J35" s="1004">
        <v>295283</v>
      </c>
      <c r="L35" s="292" t="s">
        <v>161</v>
      </c>
      <c r="M35" s="292" t="s">
        <v>3358</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7" customHeight="1">
      <c r="A36" s="170"/>
      <c r="C36" s="312"/>
      <c r="D36" s="1003" t="s">
        <v>161</v>
      </c>
      <c r="E36" s="1003" t="s">
        <v>3355</v>
      </c>
      <c r="F36" s="1004">
        <v>106679</v>
      </c>
      <c r="G36" s="1004">
        <v>149350</v>
      </c>
      <c r="H36" s="1004">
        <v>192022</v>
      </c>
      <c r="I36" s="1004">
        <v>256029</v>
      </c>
      <c r="J36" s="1004">
        <v>320036</v>
      </c>
      <c r="L36" s="292" t="s">
        <v>161</v>
      </c>
      <c r="M36" s="292" t="s">
        <v>3355</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7" customHeight="1">
      <c r="A37" s="170"/>
      <c r="C37" s="312"/>
      <c r="D37" s="1003" t="s">
        <v>161</v>
      </c>
      <c r="E37" s="1003" t="s">
        <v>3353</v>
      </c>
      <c r="F37" s="1004">
        <v>121108</v>
      </c>
      <c r="G37" s="1004">
        <v>158009</v>
      </c>
      <c r="H37" s="1004">
        <v>191414</v>
      </c>
      <c r="I37" s="1004">
        <v>233581</v>
      </c>
      <c r="J37" s="1004">
        <v>276915</v>
      </c>
      <c r="L37" s="292" t="s">
        <v>161</v>
      </c>
      <c r="M37" s="292" t="s">
        <v>3353</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7" customHeight="1">
      <c r="A38" s="170"/>
      <c r="C38" s="312"/>
      <c r="D38" s="1003" t="s">
        <v>161</v>
      </c>
      <c r="E38" s="1003" t="s">
        <v>3354</v>
      </c>
      <c r="F38" s="1004">
        <v>106630</v>
      </c>
      <c r="G38" s="1004">
        <v>145635</v>
      </c>
      <c r="H38" s="1004">
        <v>184366</v>
      </c>
      <c r="I38" s="1004">
        <v>242953</v>
      </c>
      <c r="J38" s="1004">
        <v>301159</v>
      </c>
      <c r="L38" s="292" t="s">
        <v>161</v>
      </c>
      <c r="M38" s="292" t="s">
        <v>3354</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7" customHeight="1">
      <c r="A39" s="170"/>
      <c r="C39" s="312"/>
      <c r="D39" s="1005" t="s">
        <v>1320</v>
      </c>
      <c r="E39" s="1005" t="s">
        <v>3358</v>
      </c>
      <c r="F39" s="1006">
        <v>138055</v>
      </c>
      <c r="G39" s="1006">
        <v>178400</v>
      </c>
      <c r="H39" s="1006">
        <v>213351</v>
      </c>
      <c r="I39" s="1006">
        <v>254259</v>
      </c>
      <c r="J39" s="1006">
        <v>298956</v>
      </c>
      <c r="L39" s="565" t="s">
        <v>1320</v>
      </c>
      <c r="M39" s="565" t="s">
        <v>3358</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7" customHeight="1">
      <c r="A40" s="170"/>
      <c r="C40" s="312"/>
      <c r="D40" s="1005" t="s">
        <v>1320</v>
      </c>
      <c r="E40" s="1005" t="s">
        <v>3355</v>
      </c>
      <c r="F40" s="1006">
        <v>107908</v>
      </c>
      <c r="G40" s="1006">
        <v>151071</v>
      </c>
      <c r="H40" s="1006">
        <v>194234</v>
      </c>
      <c r="I40" s="1006">
        <v>258978</v>
      </c>
      <c r="J40" s="1006">
        <v>323723</v>
      </c>
      <c r="L40" s="565" t="s">
        <v>1320</v>
      </c>
      <c r="M40" s="565" t="s">
        <v>3355</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7" customHeight="1">
      <c r="A41" s="170"/>
      <c r="C41" s="312"/>
      <c r="D41" s="1005" t="s">
        <v>1320</v>
      </c>
      <c r="E41" s="1005" t="s">
        <v>3353</v>
      </c>
      <c r="F41" s="1006">
        <v>122320</v>
      </c>
      <c r="G41" s="1006">
        <v>159663</v>
      </c>
      <c r="H41" s="1006">
        <v>193488</v>
      </c>
      <c r="I41" s="1006">
        <v>236238</v>
      </c>
      <c r="J41" s="1006">
        <v>280140</v>
      </c>
      <c r="L41" s="565" t="s">
        <v>1320</v>
      </c>
      <c r="M41" s="565" t="s">
        <v>3353</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7" customHeight="1">
      <c r="A42" s="170"/>
      <c r="C42" s="312"/>
      <c r="D42" s="1005" t="s">
        <v>1320</v>
      </c>
      <c r="E42" s="1005" t="s">
        <v>3354</v>
      </c>
      <c r="F42" s="1006">
        <v>107499</v>
      </c>
      <c r="G42" s="1006">
        <v>146762</v>
      </c>
      <c r="H42" s="1006">
        <v>185744</v>
      </c>
      <c r="I42" s="1006">
        <v>244720</v>
      </c>
      <c r="J42" s="1006">
        <v>303307</v>
      </c>
      <c r="L42" s="565" t="s">
        <v>1320</v>
      </c>
      <c r="M42" s="565" t="s">
        <v>3354</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7" customHeight="1">
      <c r="A43" s="170"/>
      <c r="C43" s="312"/>
      <c r="D43" s="997" t="s">
        <v>1326</v>
      </c>
      <c r="E43" s="997" t="s">
        <v>3358</v>
      </c>
      <c r="F43" s="998">
        <v>141285</v>
      </c>
      <c r="G43" s="998">
        <v>182625</v>
      </c>
      <c r="H43" s="998">
        <v>218438</v>
      </c>
      <c r="I43" s="998">
        <v>260372</v>
      </c>
      <c r="J43" s="998">
        <v>306189</v>
      </c>
      <c r="L43" s="565" t="s">
        <v>1326</v>
      </c>
      <c r="M43" s="565" t="s">
        <v>3358</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7" customHeight="1">
      <c r="A44" s="170"/>
      <c r="C44" s="312"/>
      <c r="D44" s="997" t="s">
        <v>1326</v>
      </c>
      <c r="E44" s="997" t="s">
        <v>3355</v>
      </c>
      <c r="F44" s="998">
        <v>110421</v>
      </c>
      <c r="G44" s="998">
        <v>154590</v>
      </c>
      <c r="H44" s="998">
        <v>198758</v>
      </c>
      <c r="I44" s="998">
        <v>265011</v>
      </c>
      <c r="J44" s="998">
        <v>331263</v>
      </c>
      <c r="L44" s="565" t="s">
        <v>1326</v>
      </c>
      <c r="M44" s="565" t="s">
        <v>3355</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7" customHeight="1">
      <c r="A45" s="170"/>
      <c r="C45" s="312"/>
      <c r="D45" s="997" t="s">
        <v>1326</v>
      </c>
      <c r="E45" s="997" t="s">
        <v>3353</v>
      </c>
      <c r="F45" s="998">
        <v>124989</v>
      </c>
      <c r="G45" s="998">
        <v>163219</v>
      </c>
      <c r="H45" s="998">
        <v>197865</v>
      </c>
      <c r="I45" s="998">
        <v>241707</v>
      </c>
      <c r="J45" s="998">
        <v>286701</v>
      </c>
      <c r="L45" s="565" t="s">
        <v>1326</v>
      </c>
      <c r="M45" s="565" t="s">
        <v>3353</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7" customHeight="1">
      <c r="A46" s="170"/>
      <c r="C46" s="312"/>
      <c r="D46" s="997" t="s">
        <v>1326</v>
      </c>
      <c r="E46" s="997" t="s">
        <v>3354</v>
      </c>
      <c r="F46" s="998">
        <v>109647</v>
      </c>
      <c r="G46" s="998">
        <v>149636</v>
      </c>
      <c r="H46" s="998">
        <v>189334</v>
      </c>
      <c r="I46" s="998">
        <v>249402</v>
      </c>
      <c r="J46" s="998">
        <v>309066</v>
      </c>
      <c r="L46" s="565" t="s">
        <v>1326</v>
      </c>
      <c r="M46" s="565" t="s">
        <v>3354</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7" customHeight="1">
      <c r="A47" s="170"/>
      <c r="C47" s="312"/>
      <c r="D47" s="1001" t="s">
        <v>1696</v>
      </c>
      <c r="E47" s="1001" t="s">
        <v>3358</v>
      </c>
      <c r="F47" s="1002">
        <v>129610</v>
      </c>
      <c r="G47" s="1002">
        <v>167690</v>
      </c>
      <c r="H47" s="1002">
        <v>200679</v>
      </c>
      <c r="I47" s="1002">
        <v>239361</v>
      </c>
      <c r="J47" s="1002">
        <v>281618</v>
      </c>
      <c r="L47" s="565" t="s">
        <v>1696</v>
      </c>
      <c r="M47" s="565" t="s">
        <v>3358</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7" customHeight="1">
      <c r="A48" s="170"/>
      <c r="C48" s="312"/>
      <c r="D48" s="1001" t="s">
        <v>1696</v>
      </c>
      <c r="E48" s="1001" t="s">
        <v>3355</v>
      </c>
      <c r="F48" s="1002">
        <v>101262</v>
      </c>
      <c r="G48" s="1002">
        <v>141766</v>
      </c>
      <c r="H48" s="1002">
        <v>182271</v>
      </c>
      <c r="I48" s="1002">
        <v>243028</v>
      </c>
      <c r="J48" s="1002">
        <v>303785</v>
      </c>
      <c r="L48" s="565" t="s">
        <v>1696</v>
      </c>
      <c r="M48" s="565" t="s">
        <v>3355</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7" customHeight="1">
      <c r="A49" s="170"/>
      <c r="C49" s="312"/>
      <c r="D49" s="1001" t="s">
        <v>1696</v>
      </c>
      <c r="E49" s="1001" t="s">
        <v>3353</v>
      </c>
      <c r="F49" s="1002">
        <v>114063</v>
      </c>
      <c r="G49" s="1002">
        <v>149176</v>
      </c>
      <c r="H49" s="1002">
        <v>181052</v>
      </c>
      <c r="I49" s="1002">
        <v>221554</v>
      </c>
      <c r="J49" s="1002">
        <v>263026</v>
      </c>
      <c r="L49" s="565" t="s">
        <v>1696</v>
      </c>
      <c r="M49" s="565" t="s">
        <v>3353</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7" customHeight="1">
      <c r="A50" s="170"/>
      <c r="C50" s="312"/>
      <c r="D50" s="1001" t="s">
        <v>1696</v>
      </c>
      <c r="E50" s="1001" t="s">
        <v>3354</v>
      </c>
      <c r="F50" s="1002">
        <v>99454</v>
      </c>
      <c r="G50" s="1002">
        <v>135544</v>
      </c>
      <c r="H50" s="1002">
        <v>171357</v>
      </c>
      <c r="I50" s="1002">
        <v>225572</v>
      </c>
      <c r="J50" s="1002">
        <v>279402</v>
      </c>
      <c r="L50" s="565" t="s">
        <v>1696</v>
      </c>
      <c r="M50" s="565" t="s">
        <v>3354</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87"/>
      <c r="W53" s="987"/>
      <c r="X53" s="987"/>
      <c r="AA53" s="512"/>
      <c r="AB53" s="512"/>
    </row>
    <row r="54" spans="1:28" s="271" customFormat="1" ht="11.7"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7" customHeight="1">
      <c r="A55" s="170"/>
      <c r="B55" s="170"/>
      <c r="C55" s="170"/>
      <c r="D55" s="168"/>
      <c r="E55" s="168"/>
      <c r="O55" s="170"/>
      <c r="T55" s="277"/>
      <c r="U55" s="168"/>
      <c r="V55" s="987"/>
      <c r="W55" s="987"/>
      <c r="X55" s="987"/>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3659</v>
      </c>
      <c r="H59" s="168"/>
      <c r="I59" s="168"/>
      <c r="J59" s="170" t="s">
        <v>1530</v>
      </c>
      <c r="K59" s="170"/>
      <c r="L59" s="170"/>
      <c r="M59" s="170"/>
      <c r="N59" s="170"/>
      <c r="O59" s="170"/>
      <c r="P59" s="168"/>
      <c r="Q59" s="1107">
        <v>5000</v>
      </c>
      <c r="R59" s="282" t="s">
        <v>1733</v>
      </c>
      <c r="S59" s="283"/>
      <c r="AA59" s="512"/>
      <c r="AB59" s="512"/>
    </row>
    <row r="60" spans="1:28" s="271" customFormat="1" ht="11.7" customHeight="1">
      <c r="A60" s="168"/>
      <c r="B60" s="170"/>
      <c r="C60" s="170"/>
      <c r="D60" s="168"/>
      <c r="E60" s="168"/>
      <c r="F60" s="170"/>
      <c r="G60" s="170" t="s">
        <v>3658</v>
      </c>
      <c r="H60" s="168"/>
      <c r="I60" s="168"/>
      <c r="J60" s="170" t="s">
        <v>1530</v>
      </c>
      <c r="K60" s="170"/>
      <c r="L60" s="170"/>
      <c r="M60" s="170"/>
      <c r="N60" s="170"/>
      <c r="O60" s="170"/>
      <c r="P60" s="168"/>
      <c r="Q60" s="1107">
        <v>4500</v>
      </c>
      <c r="R60" s="282" t="s">
        <v>1733</v>
      </c>
      <c r="S60" s="283"/>
      <c r="AA60" s="512"/>
      <c r="AB60" s="512"/>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7"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7" customHeight="1">
      <c r="A63" s="170"/>
      <c r="B63" s="170"/>
      <c r="C63" s="170"/>
      <c r="D63" s="168"/>
      <c r="E63" s="168"/>
      <c r="G63" s="170" t="s">
        <v>3940</v>
      </c>
      <c r="H63" s="168"/>
      <c r="I63" s="168"/>
      <c r="J63" s="170" t="s">
        <v>1530</v>
      </c>
      <c r="K63" s="170"/>
      <c r="L63" s="170"/>
      <c r="M63" s="170"/>
      <c r="N63" s="170"/>
      <c r="O63" s="170"/>
      <c r="P63" s="168"/>
      <c r="Q63" s="110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7" customHeight="1">
      <c r="A66" s="170"/>
      <c r="B66" s="170"/>
      <c r="C66" s="170"/>
      <c r="D66" s="170"/>
      <c r="E66" s="168"/>
      <c r="F66" s="170" t="s">
        <v>3431</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3861</v>
      </c>
      <c r="K70" s="170"/>
      <c r="L70" s="170"/>
      <c r="M70" s="170"/>
      <c r="N70" s="170"/>
      <c r="O70" s="170"/>
      <c r="P70" s="168"/>
      <c r="Q70" s="1059">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3941</v>
      </c>
      <c r="K71" s="170"/>
      <c r="L71" s="170"/>
      <c r="M71" s="170"/>
      <c r="N71" s="170"/>
      <c r="O71" s="170"/>
      <c r="P71" s="168"/>
      <c r="Q71" s="1058" t="s">
        <v>970</v>
      </c>
      <c r="R71" s="1058">
        <v>0.05</v>
      </c>
      <c r="S71" s="283"/>
      <c r="T71" s="283"/>
      <c r="U71" s="283"/>
      <c r="AA71" s="512"/>
      <c r="AB71" s="512"/>
    </row>
    <row r="72" spans="1:28" s="271" customFormat="1" ht="11.7" customHeight="1">
      <c r="A72" s="170"/>
      <c r="B72" s="170"/>
      <c r="C72" s="170"/>
      <c r="D72" s="168"/>
      <c r="E72" s="168"/>
      <c r="F72" s="170" t="s">
        <v>276</v>
      </c>
      <c r="G72" s="170"/>
      <c r="H72" s="168"/>
      <c r="I72" s="168"/>
      <c r="J72" s="170" t="s">
        <v>3941</v>
      </c>
      <c r="K72" s="170"/>
      <c r="L72" s="170"/>
      <c r="M72" s="170"/>
      <c r="N72" s="170"/>
      <c r="O72" s="170"/>
      <c r="P72" s="168"/>
      <c r="Q72" s="1058" t="s">
        <v>970</v>
      </c>
      <c r="R72" s="1058">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3942</v>
      </c>
      <c r="K73" s="170"/>
      <c r="L73" s="170"/>
      <c r="M73" s="170"/>
      <c r="N73" s="170"/>
      <c r="O73" s="170"/>
      <c r="P73" s="168"/>
      <c r="Q73" s="282" t="s">
        <v>1733</v>
      </c>
      <c r="R73" s="1058">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3942</v>
      </c>
      <c r="K74" s="170"/>
      <c r="L74" s="170"/>
      <c r="M74" s="170"/>
      <c r="N74" s="170"/>
      <c r="O74" s="170"/>
      <c r="P74" s="168"/>
      <c r="Q74" s="282" t="s">
        <v>1733</v>
      </c>
      <c r="R74" s="1058">
        <v>0.02</v>
      </c>
      <c r="S74" s="283"/>
      <c r="T74" s="283"/>
      <c r="U74" s="283"/>
      <c r="AA74" s="512"/>
      <c r="AB74" s="512"/>
    </row>
    <row r="75" spans="1:28" s="271" customFormat="1" ht="11.7" customHeight="1">
      <c r="A75" s="170"/>
      <c r="B75" s="170" t="s">
        <v>2817</v>
      </c>
      <c r="C75" s="170"/>
      <c r="D75" s="168"/>
      <c r="E75" s="168"/>
      <c r="F75" s="170" t="s">
        <v>1733</v>
      </c>
      <c r="G75" s="170"/>
      <c r="H75" s="168"/>
      <c r="I75" s="168"/>
      <c r="J75" s="170" t="s">
        <v>3942</v>
      </c>
      <c r="K75" s="170"/>
      <c r="L75" s="170"/>
      <c r="M75" s="170"/>
      <c r="N75" s="170"/>
      <c r="O75" s="170"/>
      <c r="P75" s="168"/>
      <c r="Q75" s="282" t="s">
        <v>1733</v>
      </c>
      <c r="R75" s="1058">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7" customHeight="1">
      <c r="A77" s="168"/>
      <c r="B77" s="283" t="s">
        <v>3842</v>
      </c>
      <c r="C77" s="170"/>
      <c r="D77" s="170"/>
      <c r="E77" s="168"/>
      <c r="F77" s="172" t="s">
        <v>3479</v>
      </c>
      <c r="G77" s="170"/>
      <c r="H77" s="168"/>
      <c r="I77" s="168"/>
      <c r="J77" s="170" t="s">
        <v>1200</v>
      </c>
      <c r="K77" s="170"/>
      <c r="L77" s="170"/>
      <c r="M77" s="170"/>
      <c r="N77" s="170"/>
      <c r="O77" s="170"/>
      <c r="P77" s="168"/>
      <c r="Q77" s="4198">
        <v>1000</v>
      </c>
      <c r="R77" s="4199"/>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4198">
        <v>500</v>
      </c>
      <c r="R78" s="4199"/>
      <c r="S78" s="283"/>
      <c r="T78" s="283"/>
      <c r="U78" s="283"/>
      <c r="AA78" s="512"/>
      <c r="AB78" s="512"/>
    </row>
    <row r="79" spans="1:28" s="271" customFormat="1" ht="11.7" customHeight="1">
      <c r="A79" s="170"/>
      <c r="B79" s="170"/>
      <c r="C79" s="170"/>
      <c r="D79" s="170"/>
      <c r="E79" s="168"/>
      <c r="F79" s="172" t="s">
        <v>3950</v>
      </c>
      <c r="G79" s="170"/>
      <c r="H79" s="168"/>
      <c r="I79" s="168"/>
      <c r="J79" s="172" t="s">
        <v>3946</v>
      </c>
      <c r="K79" s="170"/>
      <c r="L79" s="170"/>
      <c r="M79" s="170"/>
      <c r="N79" s="170"/>
      <c r="O79" s="170"/>
      <c r="P79" s="168"/>
      <c r="Q79" s="4198">
        <v>1500</v>
      </c>
      <c r="R79" s="4199"/>
      <c r="S79" s="283"/>
      <c r="T79" s="283"/>
      <c r="U79" s="283"/>
      <c r="AA79" s="512"/>
      <c r="AB79" s="512"/>
    </row>
    <row r="80" spans="1:28" s="271" customFormat="1" ht="11.7" customHeight="1">
      <c r="A80" s="170"/>
      <c r="B80" s="170"/>
      <c r="C80" s="170"/>
      <c r="D80" s="170"/>
      <c r="E80" s="168"/>
      <c r="G80" s="170"/>
      <c r="H80" s="168"/>
      <c r="I80" s="168"/>
      <c r="J80" s="172" t="s">
        <v>3947</v>
      </c>
      <c r="K80" s="170"/>
      <c r="L80" s="170"/>
      <c r="M80" s="170"/>
      <c r="N80" s="170"/>
      <c r="O80" s="170"/>
      <c r="P80" s="168"/>
      <c r="Q80" s="4198">
        <v>1500</v>
      </c>
      <c r="R80" s="4199"/>
      <c r="S80" s="283"/>
      <c r="T80" s="283"/>
      <c r="U80" s="283"/>
      <c r="AA80" s="512"/>
      <c r="AB80" s="512"/>
    </row>
    <row r="81" spans="1:28" s="271" customFormat="1" ht="11.7" customHeight="1">
      <c r="A81" s="170"/>
      <c r="B81" s="170"/>
      <c r="C81" s="170"/>
      <c r="D81" s="170"/>
      <c r="E81" s="168"/>
      <c r="G81" s="170"/>
      <c r="H81" s="168"/>
      <c r="I81" s="168"/>
      <c r="J81" s="172" t="s">
        <v>3948</v>
      </c>
      <c r="K81" s="170"/>
      <c r="L81" s="170"/>
      <c r="M81" s="170"/>
      <c r="N81" s="170"/>
      <c r="O81" s="170"/>
      <c r="P81" s="168"/>
      <c r="Q81" s="4198">
        <v>1500</v>
      </c>
      <c r="R81" s="4199"/>
      <c r="S81" s="283"/>
      <c r="T81" s="283"/>
      <c r="U81" s="283"/>
      <c r="AA81" s="512"/>
      <c r="AB81" s="512"/>
    </row>
    <row r="82" spans="1:28" s="271" customFormat="1" ht="11.7" customHeight="1">
      <c r="A82" s="170"/>
      <c r="B82" s="170"/>
      <c r="C82" s="170"/>
      <c r="D82" s="170"/>
      <c r="E82" s="168"/>
      <c r="G82" s="170"/>
      <c r="H82" s="168"/>
      <c r="I82" s="168"/>
      <c r="J82" s="172" t="s">
        <v>3949</v>
      </c>
      <c r="K82" s="170"/>
      <c r="L82" s="170"/>
      <c r="M82" s="170"/>
      <c r="N82" s="170"/>
      <c r="O82" s="170"/>
      <c r="P82" s="168"/>
      <c r="Q82" s="4198">
        <v>1500</v>
      </c>
      <c r="R82" s="4199"/>
      <c r="S82" s="283"/>
      <c r="T82" s="283"/>
      <c r="U82" s="283"/>
      <c r="AA82" s="512"/>
      <c r="AB82" s="512"/>
    </row>
    <row r="83" spans="1:28" s="271" customFormat="1" ht="11.7" customHeight="1">
      <c r="A83" s="170"/>
      <c r="B83" s="170"/>
      <c r="C83" s="170"/>
      <c r="D83" s="170"/>
      <c r="E83" s="168"/>
      <c r="F83" s="172" t="s">
        <v>4730</v>
      </c>
      <c r="G83" s="170"/>
      <c r="H83" s="168"/>
      <c r="I83" s="168"/>
      <c r="J83" s="170" t="s">
        <v>1200</v>
      </c>
      <c r="K83" s="170"/>
      <c r="L83" s="170"/>
      <c r="M83" s="170"/>
      <c r="N83" s="170"/>
      <c r="O83" s="170"/>
      <c r="P83" s="168"/>
      <c r="Q83" s="4198">
        <v>6500</v>
      </c>
      <c r="R83" s="4199"/>
      <c r="S83" s="283"/>
      <c r="T83" s="283"/>
      <c r="U83" s="283"/>
      <c r="AA83" s="512"/>
      <c r="AB83" s="512"/>
    </row>
    <row r="84" spans="1:28" s="271" customFormat="1" ht="11.7" customHeight="1">
      <c r="A84" s="170"/>
      <c r="B84" s="170"/>
      <c r="C84" s="170"/>
      <c r="D84" s="170"/>
      <c r="E84" s="168"/>
      <c r="F84" s="172" t="s">
        <v>4730</v>
      </c>
      <c r="G84" s="170"/>
      <c r="H84" s="168"/>
      <c r="I84" s="168"/>
      <c r="J84" s="170" t="s">
        <v>1201</v>
      </c>
      <c r="K84" s="170"/>
      <c r="L84" s="170"/>
      <c r="M84" s="170"/>
      <c r="N84" s="170"/>
      <c r="O84" s="170"/>
      <c r="P84" s="168"/>
      <c r="Q84" s="4198">
        <v>5500</v>
      </c>
      <c r="R84" s="4199"/>
      <c r="S84" s="283"/>
      <c r="T84" s="283"/>
      <c r="U84" s="283"/>
      <c r="AA84" s="512"/>
      <c r="AB84" s="512"/>
    </row>
    <row r="85" spans="1:28" s="271" customFormat="1" ht="11.7" customHeight="1">
      <c r="A85" s="170"/>
      <c r="B85" s="170"/>
      <c r="C85" s="170"/>
      <c r="D85" s="170"/>
      <c r="E85" s="168"/>
      <c r="F85" s="172" t="s">
        <v>3439</v>
      </c>
      <c r="G85" s="170"/>
      <c r="H85" s="168"/>
      <c r="I85" s="168"/>
      <c r="J85" s="170"/>
      <c r="K85" s="170"/>
      <c r="L85" s="170"/>
      <c r="M85" s="170"/>
      <c r="N85" s="170"/>
      <c r="O85" s="170"/>
      <c r="P85" s="168"/>
      <c r="Q85" s="4198">
        <v>5000</v>
      </c>
      <c r="R85" s="4199"/>
      <c r="S85" s="283"/>
      <c r="T85" s="283"/>
      <c r="U85" s="283"/>
      <c r="AA85" s="512"/>
      <c r="AB85" s="512"/>
    </row>
    <row r="86" spans="1:28" s="271" customFormat="1" ht="11.7" customHeight="1">
      <c r="A86" s="170"/>
      <c r="B86" s="170"/>
      <c r="C86" s="170"/>
      <c r="D86" s="170"/>
      <c r="E86" s="168"/>
      <c r="F86" s="172"/>
      <c r="G86" s="170" t="s">
        <v>4728</v>
      </c>
      <c r="H86" s="168"/>
      <c r="I86" s="168"/>
      <c r="J86" s="170" t="s">
        <v>4729</v>
      </c>
      <c r="K86" s="170"/>
      <c r="L86" s="170"/>
      <c r="M86" s="170"/>
      <c r="N86" s="170"/>
      <c r="O86" s="170"/>
      <c r="P86" s="168"/>
      <c r="Q86" s="4198">
        <v>500</v>
      </c>
      <c r="R86" s="4199"/>
      <c r="S86" s="283"/>
      <c r="T86" s="283"/>
      <c r="U86" s="283"/>
      <c r="AA86" s="512"/>
      <c r="AB86" s="512"/>
    </row>
    <row r="87" spans="1:28" s="271" customFormat="1" ht="11.7" customHeight="1">
      <c r="A87" s="170"/>
      <c r="B87" s="170"/>
      <c r="C87" s="170"/>
      <c r="D87" s="170"/>
      <c r="E87" s="168"/>
      <c r="F87" s="172" t="s">
        <v>3944</v>
      </c>
      <c r="G87" s="170"/>
      <c r="H87" s="168"/>
      <c r="I87" s="168"/>
      <c r="J87" s="170"/>
      <c r="K87" s="170"/>
      <c r="L87" s="170"/>
      <c r="M87" s="170"/>
      <c r="N87" s="170"/>
      <c r="O87" s="170"/>
      <c r="P87" s="168"/>
      <c r="Q87" s="4198">
        <v>1500</v>
      </c>
      <c r="R87" s="4199"/>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4191">
        <v>0.08</v>
      </c>
      <c r="R88" s="4191"/>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4191">
        <v>0.08</v>
      </c>
      <c r="R89" s="4191"/>
      <c r="S89" s="283"/>
      <c r="T89" s="283"/>
      <c r="U89" s="283"/>
      <c r="AA89" s="512"/>
      <c r="AB89" s="512"/>
    </row>
    <row r="90" spans="1:28" s="271" customFormat="1" ht="11.7" customHeight="1">
      <c r="A90" s="170"/>
      <c r="C90" s="170"/>
      <c r="D90" s="168"/>
      <c r="E90" s="168"/>
      <c r="F90" s="172" t="s">
        <v>4731</v>
      </c>
      <c r="H90" s="170"/>
      <c r="I90" s="168"/>
      <c r="J90" s="170"/>
      <c r="K90" s="170"/>
      <c r="L90" s="170"/>
      <c r="M90" s="170"/>
      <c r="N90" s="170"/>
      <c r="O90" s="170"/>
      <c r="P90" s="168"/>
      <c r="Q90" s="4198">
        <v>3000</v>
      </c>
      <c r="R90" s="4199"/>
      <c r="S90" s="283"/>
      <c r="T90" s="283"/>
      <c r="U90" s="283"/>
      <c r="AA90" s="512"/>
      <c r="AB90" s="512"/>
    </row>
    <row r="91" spans="1:28" s="271" customFormat="1" ht="11.7" customHeight="1">
      <c r="A91" s="170"/>
      <c r="C91" s="170"/>
      <c r="D91" s="168"/>
      <c r="E91" s="168"/>
      <c r="F91" s="172" t="s">
        <v>3860</v>
      </c>
      <c r="H91" s="170"/>
      <c r="I91" s="168"/>
      <c r="J91" s="170"/>
      <c r="K91" s="170"/>
      <c r="L91" s="170"/>
      <c r="M91" s="170"/>
      <c r="N91" s="170"/>
      <c r="O91" s="170"/>
      <c r="P91" s="168"/>
      <c r="Q91" s="4198">
        <v>1500</v>
      </c>
      <c r="R91" s="4199"/>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4198">
        <v>800</v>
      </c>
      <c r="R92" s="4199"/>
      <c r="S92" s="283"/>
      <c r="T92" s="283"/>
      <c r="U92" s="283"/>
      <c r="AA92" s="512"/>
      <c r="AB92" s="512"/>
    </row>
    <row r="93" spans="1:28" s="271" customFormat="1" ht="11.7" customHeight="1">
      <c r="A93" s="170"/>
      <c r="C93" s="170"/>
      <c r="D93" s="168"/>
      <c r="E93" s="168"/>
      <c r="F93" s="170"/>
      <c r="H93" s="170"/>
      <c r="I93" s="170" t="s">
        <v>4732</v>
      </c>
      <c r="J93" s="170" t="s">
        <v>1530</v>
      </c>
      <c r="K93" s="170"/>
      <c r="L93" s="170"/>
      <c r="M93" s="170"/>
      <c r="N93" s="170"/>
      <c r="O93" s="170"/>
      <c r="P93" s="168"/>
      <c r="Q93" s="4198">
        <v>1000</v>
      </c>
      <c r="R93" s="4199"/>
      <c r="S93" s="283"/>
      <c r="T93" s="283"/>
      <c r="U93" s="283"/>
      <c r="AA93" s="512"/>
      <c r="AB93" s="512"/>
    </row>
    <row r="94" spans="1:28" s="271" customFormat="1" ht="11.7" customHeight="1">
      <c r="A94" s="170"/>
      <c r="B94" s="170"/>
      <c r="C94" s="170"/>
      <c r="D94" s="168"/>
      <c r="E94" s="168"/>
      <c r="H94" s="172" t="s">
        <v>2682</v>
      </c>
      <c r="I94" s="294"/>
      <c r="J94" s="172" t="s">
        <v>1530</v>
      </c>
      <c r="K94" s="172" t="s">
        <v>3877</v>
      </c>
      <c r="L94" s="172"/>
      <c r="M94" s="172"/>
      <c r="N94" s="172"/>
      <c r="O94" s="172"/>
      <c r="P94" s="294"/>
      <c r="Q94" s="4198">
        <v>800</v>
      </c>
      <c r="R94" s="4199"/>
      <c r="S94" s="283"/>
      <c r="T94" s="283"/>
      <c r="U94" s="283"/>
      <c r="AA94" s="512"/>
      <c r="AB94" s="512"/>
    </row>
    <row r="95" spans="1:28" s="271" customFormat="1" ht="11.7" customHeight="1">
      <c r="A95" s="170"/>
      <c r="B95" s="170"/>
      <c r="C95" s="170"/>
      <c r="D95" s="168"/>
      <c r="E95" s="168"/>
      <c r="H95" s="170" t="s">
        <v>2822</v>
      </c>
      <c r="I95" s="168"/>
      <c r="J95" s="170" t="s">
        <v>2681</v>
      </c>
      <c r="K95" s="170"/>
      <c r="L95" s="170"/>
      <c r="M95" s="170"/>
      <c r="N95" s="170"/>
      <c r="O95" s="170"/>
      <c r="P95" s="168"/>
      <c r="Q95" s="4198">
        <v>1500</v>
      </c>
      <c r="R95" s="4199"/>
      <c r="S95" s="283"/>
      <c r="T95" s="283"/>
      <c r="U95" s="283"/>
      <c r="AA95" s="512"/>
      <c r="AB95" s="512"/>
    </row>
    <row r="96" spans="1:28" s="271" customFormat="1" ht="11.7" customHeight="1">
      <c r="A96" s="170"/>
      <c r="B96" s="170"/>
      <c r="C96" s="170"/>
      <c r="D96" s="168"/>
      <c r="E96" s="168"/>
      <c r="F96" s="170" t="s">
        <v>4194</v>
      </c>
      <c r="I96" s="168"/>
      <c r="J96" s="170" t="s">
        <v>4734</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4733</v>
      </c>
      <c r="I97" s="168"/>
      <c r="J97" s="170" t="s">
        <v>1763</v>
      </c>
      <c r="K97" s="170"/>
      <c r="L97" s="170"/>
      <c r="M97" s="170"/>
      <c r="N97" s="170"/>
      <c r="O97" s="170"/>
      <c r="P97" s="168"/>
      <c r="Q97" s="4198">
        <v>3000</v>
      </c>
      <c r="R97" s="4199"/>
      <c r="S97" s="283"/>
      <c r="T97" s="283"/>
      <c r="U97" s="283"/>
      <c r="AA97" s="512"/>
      <c r="AB97" s="512"/>
    </row>
    <row r="98" spans="1:28" s="271" customFormat="1" ht="11.7" customHeight="1">
      <c r="A98" s="170"/>
      <c r="B98" s="172"/>
      <c r="C98" s="170"/>
      <c r="D98" s="168"/>
      <c r="E98" s="168"/>
      <c r="F98" s="170" t="s">
        <v>3440</v>
      </c>
      <c r="I98" s="168"/>
      <c r="J98" s="170" t="s">
        <v>3441</v>
      </c>
      <c r="K98" s="170"/>
      <c r="L98" s="170" t="s">
        <v>2821</v>
      </c>
      <c r="M98" s="170"/>
      <c r="N98" s="170"/>
      <c r="O98" s="170"/>
      <c r="P98" s="168"/>
      <c r="Q98" s="4198">
        <v>75</v>
      </c>
      <c r="R98" s="4199"/>
      <c r="S98" s="283"/>
      <c r="T98" s="283"/>
      <c r="U98" s="283"/>
      <c r="AA98" s="512"/>
      <c r="AB98" s="512"/>
    </row>
    <row r="99" spans="1:28" s="271" customFormat="1" ht="13.8">
      <c r="A99" s="170"/>
      <c r="B99" s="170" t="s">
        <v>1862</v>
      </c>
      <c r="C99" s="170"/>
      <c r="D99" s="1109" t="s">
        <v>3943</v>
      </c>
      <c r="E99" s="168"/>
      <c r="F99" s="170"/>
      <c r="G99" s="170"/>
      <c r="H99" s="170"/>
      <c r="I99" s="168"/>
      <c r="J99" s="170" t="s">
        <v>1730</v>
      </c>
      <c r="K99" s="170"/>
      <c r="L99" s="170"/>
      <c r="M99" s="170"/>
      <c r="N99" s="170"/>
      <c r="O99" s="170"/>
      <c r="P99" s="168"/>
      <c r="Q99" s="4202">
        <v>1800000</v>
      </c>
      <c r="R99" s="4203"/>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4202">
        <v>3500000</v>
      </c>
      <c r="R100" s="4203"/>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200">
        <v>0.15</v>
      </c>
      <c r="R101" s="4201"/>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4200">
        <v>0.15</v>
      </c>
      <c r="R102" s="4201"/>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200">
        <v>0.15</v>
      </c>
      <c r="R103" s="4201"/>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200">
        <v>0.15</v>
      </c>
      <c r="R104" s="4201"/>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200">
        <v>0.15</v>
      </c>
      <c r="R105" s="4201"/>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200">
        <v>0.15</v>
      </c>
      <c r="R106" s="4201"/>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200" t="s">
        <v>2373</v>
      </c>
      <c r="R107" s="4201"/>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3480</v>
      </c>
      <c r="C113" s="170"/>
      <c r="D113" s="168"/>
      <c r="E113" s="170"/>
      <c r="F113" s="170"/>
      <c r="G113" s="170"/>
      <c r="H113" s="168"/>
      <c r="I113" s="168"/>
      <c r="J113" s="170" t="s">
        <v>1763</v>
      </c>
      <c r="K113" s="170"/>
      <c r="L113" s="170"/>
      <c r="M113" s="170"/>
      <c r="N113" s="170"/>
      <c r="O113" s="170"/>
      <c r="P113" s="168"/>
      <c r="Q113" s="4198">
        <v>3000</v>
      </c>
      <c r="R113" s="4199"/>
      <c r="S113" s="283"/>
      <c r="T113" s="283"/>
      <c r="U113" s="283"/>
      <c r="AA113" s="512"/>
      <c r="AB113" s="512"/>
    </row>
    <row r="114" spans="1:28" s="271" customFormat="1" ht="11.7" customHeight="1">
      <c r="A114" s="170"/>
      <c r="B114" s="170"/>
      <c r="C114" s="170"/>
      <c r="D114" s="168"/>
      <c r="E114" s="168"/>
      <c r="O114" s="170"/>
      <c r="T114" s="277"/>
      <c r="U114" s="168"/>
      <c r="V114" s="987"/>
      <c r="W114" s="987"/>
      <c r="X114" s="987"/>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191">
        <v>0.02</v>
      </c>
      <c r="R121" s="4191"/>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4191">
        <v>7.0000000000000007E-2</v>
      </c>
      <c r="R122" s="4191"/>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4191">
        <v>7.0000000000000007E-2</v>
      </c>
      <c r="R123" s="4191"/>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191">
        <v>0.03</v>
      </c>
      <c r="R124" s="4191"/>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191">
        <v>0.03</v>
      </c>
      <c r="R125" s="4191"/>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191">
        <v>0</v>
      </c>
      <c r="R126" s="4191"/>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91">
        <v>0.1</v>
      </c>
      <c r="R128" s="4191"/>
      <c r="S128" s="168"/>
      <c r="T128" s="168"/>
      <c r="U128" s="168"/>
      <c r="V128" s="936"/>
      <c r="W128" s="936"/>
      <c r="X128" s="171"/>
      <c r="AA128" s="512"/>
      <c r="AB128" s="512"/>
    </row>
    <row r="129" spans="1:28" s="271" customFormat="1" ht="11.7" customHeight="1">
      <c r="A129" s="276"/>
      <c r="B129" s="170"/>
      <c r="C129" s="170"/>
      <c r="D129" s="168"/>
      <c r="E129" s="168"/>
      <c r="F129" s="170"/>
      <c r="G129" s="170"/>
      <c r="H129" s="170" t="s">
        <v>3893</v>
      </c>
      <c r="I129" s="168"/>
      <c r="J129" s="170" t="s">
        <v>3894</v>
      </c>
      <c r="K129" s="170"/>
      <c r="L129" s="170"/>
      <c r="M129" s="170"/>
      <c r="N129" s="170"/>
      <c r="O129" s="170"/>
      <c r="P129" s="168"/>
      <c r="Q129" s="4190">
        <v>1000000</v>
      </c>
      <c r="R129" s="4190"/>
      <c r="S129" s="168"/>
      <c r="T129" s="168"/>
      <c r="U129" s="168"/>
      <c r="V129" s="936"/>
      <c r="W129" s="936"/>
      <c r="X129" s="171"/>
      <c r="AA129" s="512"/>
      <c r="AB129" s="512"/>
    </row>
    <row r="130" spans="1:28" s="271" customFormat="1" ht="11.7" customHeight="1">
      <c r="A130" s="170"/>
      <c r="B130" s="170"/>
      <c r="C130" s="170"/>
      <c r="D130" s="168"/>
      <c r="E130" s="168"/>
      <c r="F130" s="170"/>
      <c r="G130" s="170"/>
      <c r="H130" s="170" t="s">
        <v>3887</v>
      </c>
      <c r="I130" s="168"/>
      <c r="J130" s="170" t="s">
        <v>3895</v>
      </c>
      <c r="K130" s="170"/>
      <c r="L130" s="170"/>
      <c r="M130" s="170"/>
      <c r="N130" s="170"/>
      <c r="O130" s="170"/>
      <c r="P130" s="168"/>
      <c r="Q130" s="4190">
        <v>1500000</v>
      </c>
      <c r="R130" s="4190"/>
      <c r="S130" s="277"/>
      <c r="T130" s="277"/>
      <c r="U130" s="168"/>
      <c r="V130" s="987"/>
      <c r="W130" s="987"/>
      <c r="X130" s="987"/>
      <c r="AA130" s="512"/>
      <c r="AB130" s="512"/>
    </row>
    <row r="131" spans="1:28" s="271" customFormat="1" ht="11.7" customHeight="1">
      <c r="A131" s="170"/>
      <c r="B131" s="170"/>
      <c r="C131" s="170"/>
      <c r="D131" s="168"/>
      <c r="E131" s="168"/>
      <c r="F131" s="170"/>
      <c r="G131" s="170"/>
      <c r="H131" s="170"/>
      <c r="I131" s="168"/>
      <c r="J131" s="170" t="s">
        <v>3896</v>
      </c>
      <c r="K131" s="170"/>
      <c r="L131" s="170"/>
      <c r="M131" s="170"/>
      <c r="N131" s="170"/>
      <c r="O131" s="170"/>
      <c r="P131" s="168"/>
      <c r="Q131" s="4190">
        <v>375000</v>
      </c>
      <c r="R131" s="4190"/>
      <c r="S131" s="277"/>
      <c r="T131" s="277"/>
      <c r="U131" s="168"/>
      <c r="V131" s="987"/>
      <c r="W131" s="987"/>
      <c r="X131" s="987"/>
      <c r="AA131" s="512"/>
      <c r="AB131" s="512"/>
    </row>
    <row r="132" spans="1:28" s="271" customFormat="1" ht="11.7" customHeight="1">
      <c r="A132" s="170"/>
      <c r="B132" s="170"/>
      <c r="C132" s="170"/>
      <c r="D132" s="168"/>
      <c r="E132" s="168"/>
      <c r="F132" s="170"/>
      <c r="G132" s="170"/>
      <c r="H132" s="170" t="s">
        <v>4726</v>
      </c>
      <c r="I132" s="168"/>
      <c r="J132" s="170"/>
      <c r="K132" s="170"/>
      <c r="L132" s="170"/>
      <c r="M132" s="170"/>
      <c r="N132" s="170"/>
      <c r="O132" s="170"/>
      <c r="P132" s="168"/>
      <c r="Q132" s="4190"/>
      <c r="R132" s="4190"/>
      <c r="S132" s="277"/>
      <c r="T132" s="277"/>
      <c r="U132" s="168"/>
      <c r="V132" s="987"/>
      <c r="W132" s="987"/>
      <c r="X132" s="987"/>
      <c r="AA132" s="512"/>
      <c r="AB132" s="512"/>
    </row>
    <row r="133" spans="1:28" s="271" customFormat="1" ht="11.7" customHeight="1">
      <c r="A133" s="170"/>
      <c r="B133" s="170"/>
      <c r="C133" s="170"/>
      <c r="D133" s="168"/>
      <c r="E133" s="168"/>
      <c r="F133" s="170" t="s">
        <v>2409</v>
      </c>
      <c r="G133" s="170"/>
      <c r="H133" s="170" t="s">
        <v>2679</v>
      </c>
      <c r="I133" s="168"/>
      <c r="J133" s="170" t="s">
        <v>3939</v>
      </c>
      <c r="K133" s="170"/>
      <c r="L133" s="170"/>
      <c r="M133" s="170"/>
      <c r="N133" s="170"/>
      <c r="O133" s="170"/>
      <c r="P133" s="168"/>
      <c r="Q133" s="4190">
        <v>4000000</v>
      </c>
      <c r="R133" s="4190"/>
      <c r="S133" s="277"/>
      <c r="T133" s="277"/>
      <c r="U133" s="168"/>
      <c r="V133" s="987"/>
      <c r="W133" s="987"/>
      <c r="X133" s="987"/>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2818</v>
      </c>
      <c r="F136" s="170" t="s">
        <v>2599</v>
      </c>
      <c r="G136" s="170"/>
      <c r="H136" s="168"/>
      <c r="I136" s="168"/>
      <c r="J136" s="170" t="s">
        <v>4727</v>
      </c>
      <c r="K136" s="170"/>
      <c r="L136" s="170"/>
      <c r="M136" s="170"/>
      <c r="N136" s="170"/>
      <c r="O136" s="170"/>
      <c r="P136" s="168"/>
      <c r="Q136" s="4191">
        <v>0.35</v>
      </c>
      <c r="R136" s="4191"/>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91" t="s">
        <v>2820</v>
      </c>
      <c r="R137" s="4191"/>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91">
        <v>0.05</v>
      </c>
      <c r="R139" s="4191"/>
      <c r="S139" s="168"/>
      <c r="T139" s="168"/>
      <c r="U139" s="168"/>
      <c r="V139" s="936"/>
      <c r="W139" s="936"/>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91">
        <v>0.4</v>
      </c>
      <c r="R140" s="4191"/>
      <c r="S140" s="168"/>
      <c r="T140" s="168"/>
      <c r="U140" s="168"/>
      <c r="V140" s="936"/>
      <c r="W140" s="936"/>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91">
        <v>0.02</v>
      </c>
      <c r="R141" s="4191"/>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9" t="s">
        <v>4174</v>
      </c>
      <c r="E154" s="283"/>
      <c r="F154" s="283"/>
    </row>
    <row r="155" spans="2:30" ht="10.5" customHeight="1">
      <c r="C155" s="4189"/>
      <c r="E155" s="283"/>
      <c r="F155" s="283"/>
    </row>
    <row r="156" spans="2:30" ht="10.5" customHeight="1">
      <c r="C156" s="4189"/>
      <c r="D156" s="1219" t="s">
        <v>4721</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3885</v>
      </c>
      <c r="O157" s="551" t="s">
        <v>4285</v>
      </c>
      <c r="P157" s="549" t="s">
        <v>2402</v>
      </c>
      <c r="Q157" s="549"/>
      <c r="R157" s="170"/>
      <c r="S157" s="389"/>
      <c r="T157" s="2052"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4286</v>
      </c>
      <c r="P158" s="554" t="s">
        <v>1522</v>
      </c>
      <c r="Q158" s="292"/>
      <c r="R158" s="170"/>
      <c r="S158" s="389"/>
      <c r="T158" s="501" t="s">
        <v>2403</v>
      </c>
      <c r="U158" s="501" t="s">
        <v>1951</v>
      </c>
      <c r="W158" s="431" t="s">
        <v>2403</v>
      </c>
      <c r="X158" s="431" t="s">
        <v>3389</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4287</v>
      </c>
      <c r="P159" s="554" t="s">
        <v>1524</v>
      </c>
      <c r="Q159" s="292"/>
      <c r="R159" s="170"/>
      <c r="S159" s="389"/>
      <c r="T159" s="501" t="s">
        <v>1523</v>
      </c>
      <c r="U159" s="501" t="s">
        <v>2486</v>
      </c>
      <c r="W159" s="431" t="s">
        <v>1523</v>
      </c>
      <c r="X159" s="431" t="s">
        <v>3389</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4288</v>
      </c>
      <c r="P160" s="554" t="s">
        <v>462</v>
      </c>
      <c r="Q160" s="292"/>
      <c r="R160" s="170"/>
      <c r="S160" s="389"/>
      <c r="T160" s="501" t="s">
        <v>945</v>
      </c>
      <c r="U160" s="501" t="s">
        <v>1314</v>
      </c>
      <c r="W160" s="431" t="s">
        <v>945</v>
      </c>
      <c r="X160" s="431" t="s">
        <v>3389</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4289</v>
      </c>
      <c r="P161" s="554" t="s">
        <v>2080</v>
      </c>
      <c r="Q161" s="292"/>
      <c r="R161" s="170"/>
      <c r="S161" s="389"/>
      <c r="T161" s="501" t="s">
        <v>463</v>
      </c>
      <c r="U161" s="501" t="s">
        <v>2529</v>
      </c>
      <c r="W161" s="431" t="s">
        <v>2081</v>
      </c>
      <c r="X161" s="431" t="s">
        <v>3389</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4290</v>
      </c>
      <c r="P162" s="554" t="s">
        <v>2082</v>
      </c>
      <c r="Q162" s="292"/>
      <c r="R162" s="170"/>
      <c r="S162" s="389"/>
      <c r="T162" s="501" t="s">
        <v>2081</v>
      </c>
      <c r="U162" s="501" t="s">
        <v>332</v>
      </c>
      <c r="W162" s="431" t="s">
        <v>2085</v>
      </c>
      <c r="X162" s="431" t="s">
        <v>3389</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4291</v>
      </c>
      <c r="P163" s="554" t="s">
        <v>2084</v>
      </c>
      <c r="Q163" s="292"/>
      <c r="R163" s="170"/>
      <c r="S163" s="389"/>
      <c r="T163" s="501" t="s">
        <v>2083</v>
      </c>
      <c r="U163" s="501" t="s">
        <v>184</v>
      </c>
      <c r="W163" s="431" t="s">
        <v>1782</v>
      </c>
      <c r="X163" s="431" t="s">
        <v>3389</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4292</v>
      </c>
      <c r="P164" s="554" t="s">
        <v>2086</v>
      </c>
      <c r="Q164" s="292"/>
      <c r="R164" s="170"/>
      <c r="S164" s="389"/>
      <c r="T164" s="501" t="s">
        <v>2085</v>
      </c>
      <c r="U164" s="501" t="s">
        <v>112</v>
      </c>
      <c r="W164" s="431" t="s">
        <v>444</v>
      </c>
      <c r="X164" s="431" t="s">
        <v>3389</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4293</v>
      </c>
      <c r="P165" s="554" t="s">
        <v>2088</v>
      </c>
      <c r="Q165" s="292"/>
      <c r="R165" s="170"/>
      <c r="S165" s="389"/>
      <c r="T165" s="501" t="s">
        <v>2087</v>
      </c>
      <c r="U165" s="501" t="s">
        <v>1317</v>
      </c>
      <c r="W165" s="431" t="s">
        <v>446</v>
      </c>
      <c r="X165" s="431" t="s">
        <v>3389</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4294</v>
      </c>
      <c r="P166" s="554" t="s">
        <v>1962</v>
      </c>
      <c r="Q166" s="520"/>
      <c r="R166" s="170"/>
      <c r="S166" s="389"/>
      <c r="T166" s="501" t="s">
        <v>1782</v>
      </c>
      <c r="U166" s="501" t="s">
        <v>955</v>
      </c>
      <c r="W166" s="431" t="s">
        <v>1848</v>
      </c>
      <c r="X166" s="431" t="s">
        <v>3389</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4295</v>
      </c>
      <c r="P167" s="554" t="s">
        <v>180</v>
      </c>
      <c r="Q167" s="520"/>
      <c r="R167" s="283"/>
      <c r="S167" s="389"/>
      <c r="T167" s="501" t="s">
        <v>1963</v>
      </c>
      <c r="U167" s="501" t="s">
        <v>429</v>
      </c>
      <c r="W167" s="431" t="s">
        <v>2548</v>
      </c>
      <c r="X167" s="431" t="s">
        <v>3389</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4296</v>
      </c>
      <c r="P168" s="554" t="s">
        <v>182</v>
      </c>
      <c r="Q168" s="520"/>
      <c r="R168" s="170"/>
      <c r="S168" s="389"/>
      <c r="T168" s="501" t="s">
        <v>181</v>
      </c>
      <c r="U168" s="501" t="s">
        <v>1456</v>
      </c>
      <c r="W168" s="431" t="s">
        <v>2554</v>
      </c>
      <c r="X168" s="431" t="s">
        <v>3389</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4297</v>
      </c>
      <c r="P169" s="554" t="s">
        <v>443</v>
      </c>
      <c r="Q169" s="292"/>
      <c r="R169" s="170"/>
      <c r="S169" s="389"/>
      <c r="T169" s="501" t="s">
        <v>183</v>
      </c>
      <c r="U169" s="501" t="s">
        <v>2399</v>
      </c>
      <c r="W169" s="431" t="s">
        <v>2559</v>
      </c>
      <c r="X169" s="431" t="s">
        <v>3389</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4298</v>
      </c>
      <c r="P170" s="554" t="s">
        <v>445</v>
      </c>
      <c r="Q170" s="292"/>
      <c r="R170" s="170"/>
      <c r="S170" s="389"/>
      <c r="T170" s="501" t="s">
        <v>444</v>
      </c>
      <c r="U170" s="501" t="s">
        <v>1779</v>
      </c>
      <c r="W170" s="431" t="s">
        <v>166</v>
      </c>
      <c r="X170" s="431" t="s">
        <v>3389</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4299</v>
      </c>
      <c r="P171" s="554" t="s">
        <v>447</v>
      </c>
      <c r="Q171" s="292"/>
      <c r="R171" s="170"/>
      <c r="S171" s="389"/>
      <c r="T171" s="501" t="s">
        <v>446</v>
      </c>
      <c r="U171" s="501" t="s">
        <v>1206</v>
      </c>
      <c r="W171" s="431" t="s">
        <v>1205</v>
      </c>
      <c r="X171" s="431" t="s">
        <v>3389</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4300</v>
      </c>
      <c r="P172" s="554" t="s">
        <v>449</v>
      </c>
      <c r="Q172" s="292"/>
      <c r="R172" s="170"/>
      <c r="S172" s="389"/>
      <c r="T172" s="501" t="s">
        <v>448</v>
      </c>
      <c r="U172" s="501" t="s">
        <v>184</v>
      </c>
      <c r="W172" s="431" t="s">
        <v>2071</v>
      </c>
      <c r="X172" s="431" t="s">
        <v>3389</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4301</v>
      </c>
      <c r="P173" s="554" t="s">
        <v>2262</v>
      </c>
      <c r="Q173" s="292"/>
      <c r="R173" s="170"/>
      <c r="S173" s="389"/>
      <c r="T173" s="501" t="s">
        <v>450</v>
      </c>
      <c r="U173" s="501" t="s">
        <v>122</v>
      </c>
      <c r="W173" s="431" t="s">
        <v>1330</v>
      </c>
      <c r="X173" s="431" t="s">
        <v>3389</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4302</v>
      </c>
      <c r="P174" s="554" t="s">
        <v>2264</v>
      </c>
      <c r="Q174" s="292"/>
      <c r="R174" s="170"/>
      <c r="S174" s="389"/>
      <c r="T174" s="501" t="s">
        <v>2263</v>
      </c>
      <c r="U174" s="501" t="s">
        <v>2487</v>
      </c>
      <c r="W174" s="431" t="s">
        <v>2074</v>
      </c>
      <c r="X174" s="431" t="s">
        <v>3389</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4303</v>
      </c>
      <c r="P175" s="554" t="s">
        <v>368</v>
      </c>
      <c r="Q175" s="292"/>
      <c r="R175" s="170"/>
      <c r="S175" s="389"/>
      <c r="T175" s="501" t="s">
        <v>1848</v>
      </c>
      <c r="U175" s="501" t="s">
        <v>2177</v>
      </c>
      <c r="W175" s="431" t="s">
        <v>2107</v>
      </c>
      <c r="X175" s="431" t="s">
        <v>3389</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4304</v>
      </c>
      <c r="P176" s="554" t="s">
        <v>370</v>
      </c>
      <c r="Q176" s="292"/>
      <c r="R176" s="170"/>
      <c r="S176" s="389"/>
      <c r="T176" s="501" t="s">
        <v>369</v>
      </c>
      <c r="U176" s="501" t="s">
        <v>2177</v>
      </c>
      <c r="W176" s="431" t="s">
        <v>2111</v>
      </c>
      <c r="X176" s="431" t="s">
        <v>3389</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4305</v>
      </c>
      <c r="P177" s="554" t="s">
        <v>2545</v>
      </c>
      <c r="Q177" s="292"/>
      <c r="R177" s="170"/>
      <c r="S177" s="389"/>
      <c r="T177" s="501" t="s">
        <v>1210</v>
      </c>
      <c r="U177" s="501" t="s">
        <v>2528</v>
      </c>
      <c r="W177" s="431" t="s">
        <v>1783</v>
      </c>
      <c r="X177" s="431" t="s">
        <v>3389</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4306</v>
      </c>
      <c r="P178" s="554" t="s">
        <v>2547</v>
      </c>
      <c r="Q178" s="292"/>
      <c r="R178" s="170"/>
      <c r="S178" s="389"/>
      <c r="T178" s="501" t="s">
        <v>2546</v>
      </c>
      <c r="U178" s="501" t="s">
        <v>2533</v>
      </c>
      <c r="W178" s="431" t="s">
        <v>1007</v>
      </c>
      <c r="X178" s="431" t="s">
        <v>3389</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4307</v>
      </c>
      <c r="P179" s="554" t="s">
        <v>2549</v>
      </c>
      <c r="Q179" s="292"/>
      <c r="R179" s="170"/>
      <c r="S179" s="389"/>
      <c r="T179" s="501" t="s">
        <v>2548</v>
      </c>
      <c r="U179" s="501" t="s">
        <v>1097</v>
      </c>
      <c r="W179" s="431" t="s">
        <v>2445</v>
      </c>
      <c r="X179" s="431" t="s">
        <v>3389</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4308</v>
      </c>
      <c r="P180" s="554" t="s">
        <v>2551</v>
      </c>
      <c r="Q180" s="292"/>
      <c r="R180" s="170"/>
      <c r="S180" s="389"/>
      <c r="T180" s="501" t="s">
        <v>2550</v>
      </c>
      <c r="U180" s="501" t="s">
        <v>323</v>
      </c>
      <c r="W180" s="431" t="s">
        <v>2447</v>
      </c>
      <c r="X180" s="431" t="s">
        <v>3389</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4309</v>
      </c>
      <c r="P181" s="554" t="s">
        <v>2553</v>
      </c>
      <c r="Q181" s="292"/>
      <c r="R181" s="170"/>
      <c r="S181" s="389"/>
      <c r="T181" s="501" t="s">
        <v>2552</v>
      </c>
      <c r="U181" s="501" t="s">
        <v>2484</v>
      </c>
      <c r="W181" s="431" t="s">
        <v>2449</v>
      </c>
      <c r="X181" s="431" t="s">
        <v>3389</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4310</v>
      </c>
      <c r="P182" s="554" t="s">
        <v>2555</v>
      </c>
      <c r="Q182" s="292"/>
      <c r="R182" s="170"/>
      <c r="S182" s="389"/>
      <c r="T182" s="501" t="s">
        <v>2554</v>
      </c>
      <c r="U182" s="501" t="s">
        <v>1332</v>
      </c>
      <c r="W182" s="431" t="s">
        <v>2452</v>
      </c>
      <c r="X182" s="431" t="s">
        <v>3389</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4311</v>
      </c>
      <c r="P183" s="554" t="s">
        <v>2556</v>
      </c>
      <c r="Q183" s="292"/>
      <c r="R183" s="170"/>
      <c r="S183" s="389"/>
      <c r="T183" s="501" t="s">
        <v>2557</v>
      </c>
      <c r="U183" s="501" t="s">
        <v>2591</v>
      </c>
      <c r="W183" s="431" t="s">
        <v>2231</v>
      </c>
      <c r="X183" s="431" t="s">
        <v>3389</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4312</v>
      </c>
      <c r="P184" s="554" t="s">
        <v>2558</v>
      </c>
      <c r="Q184" s="292"/>
      <c r="R184" s="170"/>
      <c r="S184" s="389"/>
      <c r="T184" s="501" t="s">
        <v>2559</v>
      </c>
      <c r="U184" s="501" t="s">
        <v>1917</v>
      </c>
      <c r="W184" s="431" t="s">
        <v>2331</v>
      </c>
      <c r="X184" s="431" t="s">
        <v>3389</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4313</v>
      </c>
      <c r="P185" s="554" t="s">
        <v>417</v>
      </c>
      <c r="Q185" s="292"/>
      <c r="R185" s="170"/>
      <c r="S185" s="389"/>
      <c r="T185" s="501" t="s">
        <v>166</v>
      </c>
      <c r="U185" s="501" t="s">
        <v>165</v>
      </c>
      <c r="W185" s="431" t="s">
        <v>305</v>
      </c>
      <c r="X185" s="431" t="s">
        <v>3389</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4314</v>
      </c>
      <c r="P186" s="554" t="s">
        <v>418</v>
      </c>
      <c r="Q186" s="292"/>
      <c r="R186" s="283"/>
      <c r="S186" s="389"/>
      <c r="T186" s="501" t="s">
        <v>1205</v>
      </c>
      <c r="U186" s="501" t="s">
        <v>1206</v>
      </c>
      <c r="W186" s="431" t="s">
        <v>11</v>
      </c>
      <c r="X186" s="431" t="s">
        <v>3389</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4315</v>
      </c>
      <c r="P187" s="554" t="s">
        <v>778</v>
      </c>
      <c r="Q187" s="520"/>
      <c r="R187" s="170"/>
      <c r="S187" s="389"/>
      <c r="T187" s="501" t="s">
        <v>779</v>
      </c>
      <c r="U187" s="501" t="s">
        <v>196</v>
      </c>
      <c r="W187" s="431" t="s">
        <v>13</v>
      </c>
      <c r="X187" s="431" t="s">
        <v>3389</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4316</v>
      </c>
      <c r="P188" s="554" t="s">
        <v>780</v>
      </c>
      <c r="Q188" s="520"/>
      <c r="R188" s="170"/>
      <c r="S188" s="389"/>
      <c r="T188" s="501" t="s">
        <v>2071</v>
      </c>
      <c r="U188" s="501" t="s">
        <v>1313</v>
      </c>
      <c r="W188" s="431" t="s">
        <v>59</v>
      </c>
      <c r="X188" s="431" t="s">
        <v>3389</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4317</v>
      </c>
      <c r="P189" s="554" t="s">
        <v>2072</v>
      </c>
      <c r="Q189" s="520"/>
      <c r="R189" s="170"/>
      <c r="S189" s="389"/>
      <c r="T189" s="501" t="s">
        <v>1330</v>
      </c>
      <c r="U189" s="501" t="s">
        <v>1109</v>
      </c>
      <c r="W189" s="431" t="s">
        <v>61</v>
      </c>
      <c r="X189" s="431" t="s">
        <v>3389</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4318</v>
      </c>
      <c r="P190" s="554" t="s">
        <v>2073</v>
      </c>
      <c r="Q190" s="520"/>
      <c r="R190" s="170"/>
      <c r="S190" s="389"/>
      <c r="T190" s="501" t="s">
        <v>2074</v>
      </c>
      <c r="U190" s="501" t="s">
        <v>2486</v>
      </c>
      <c r="W190" s="431" t="s">
        <v>352</v>
      </c>
      <c r="X190" s="431" t="s">
        <v>3389</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4319</v>
      </c>
      <c r="P191" s="554" t="s">
        <v>2075</v>
      </c>
      <c r="Q191" s="520"/>
      <c r="R191" s="170"/>
      <c r="S191" s="389"/>
      <c r="T191" s="501" t="s">
        <v>1999</v>
      </c>
      <c r="U191" s="501" t="s">
        <v>2173</v>
      </c>
      <c r="W191" s="431" t="s">
        <v>356</v>
      </c>
      <c r="X191" s="431" t="s">
        <v>3389</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4320</v>
      </c>
      <c r="P192" s="554" t="s">
        <v>2106</v>
      </c>
      <c r="Q192" s="520"/>
      <c r="R192" s="170"/>
      <c r="S192" s="389"/>
      <c r="T192" s="501" t="s">
        <v>2076</v>
      </c>
      <c r="U192" s="501" t="s">
        <v>328</v>
      </c>
      <c r="W192" s="431" t="s">
        <v>2290</v>
      </c>
      <c r="X192" s="431" t="s">
        <v>3389</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4321</v>
      </c>
      <c r="P193" s="554" t="s">
        <v>2108</v>
      </c>
      <c r="Q193" s="520"/>
      <c r="R193" s="170"/>
      <c r="S193" s="389"/>
      <c r="T193" s="501" t="s">
        <v>2107</v>
      </c>
      <c r="U193" s="501" t="s">
        <v>628</v>
      </c>
      <c r="W193" s="431" t="s">
        <v>1332</v>
      </c>
      <c r="X193" s="431" t="s">
        <v>3389</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4322</v>
      </c>
      <c r="P194" s="554" t="s">
        <v>2110</v>
      </c>
      <c r="Q194" s="520"/>
      <c r="R194" s="170"/>
      <c r="S194" s="389"/>
      <c r="T194" s="501" t="s">
        <v>2109</v>
      </c>
      <c r="U194" s="501" t="s">
        <v>1633</v>
      </c>
      <c r="W194" s="431" t="s">
        <v>1560</v>
      </c>
      <c r="X194" s="431" t="s">
        <v>3389</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4323</v>
      </c>
      <c r="P195" s="554" t="s">
        <v>2112</v>
      </c>
      <c r="Q195" s="520"/>
      <c r="R195" s="170"/>
      <c r="S195" s="389"/>
      <c r="T195" s="501" t="s">
        <v>2111</v>
      </c>
      <c r="U195" s="501" t="s">
        <v>196</v>
      </c>
      <c r="W195" s="431" t="s">
        <v>1564</v>
      </c>
      <c r="X195" s="431" t="s">
        <v>3389</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4324</v>
      </c>
      <c r="P196" s="554" t="s">
        <v>2539</v>
      </c>
      <c r="Q196" s="520"/>
      <c r="R196" s="170"/>
      <c r="S196" s="389"/>
      <c r="T196" s="501" t="s">
        <v>1783</v>
      </c>
      <c r="U196" s="501" t="s">
        <v>122</v>
      </c>
      <c r="W196" s="431" t="s">
        <v>1745</v>
      </c>
      <c r="X196" s="431" t="s">
        <v>3389</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4325</v>
      </c>
      <c r="P197" s="554" t="s">
        <v>1006</v>
      </c>
      <c r="Q197" s="520"/>
      <c r="R197" s="170"/>
      <c r="S197" s="389"/>
      <c r="T197" s="501" t="s">
        <v>2540</v>
      </c>
      <c r="U197" s="501" t="s">
        <v>164</v>
      </c>
      <c r="W197" s="431" t="s">
        <v>1022</v>
      </c>
      <c r="X197" s="431" t="s">
        <v>3389</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4326</v>
      </c>
      <c r="P198" s="554" t="s">
        <v>2002</v>
      </c>
      <c r="Q198" s="520"/>
      <c r="R198" s="170"/>
      <c r="S198" s="389"/>
      <c r="T198" s="501" t="s">
        <v>1007</v>
      </c>
      <c r="U198" s="501" t="s">
        <v>429</v>
      </c>
      <c r="W198" s="431" t="s">
        <v>1025</v>
      </c>
      <c r="X198" s="431" t="s">
        <v>3389</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4327</v>
      </c>
      <c r="P199" s="554" t="s">
        <v>15</v>
      </c>
      <c r="Q199" s="520"/>
      <c r="R199" s="170"/>
      <c r="S199" s="389"/>
      <c r="T199" s="501" t="s">
        <v>1314</v>
      </c>
      <c r="U199" s="501" t="s">
        <v>328</v>
      </c>
      <c r="W199" s="431" t="s">
        <v>1758</v>
      </c>
      <c r="X199" s="431" t="s">
        <v>3389</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4328</v>
      </c>
      <c r="P200" s="554" t="s">
        <v>2235</v>
      </c>
      <c r="Q200" s="520"/>
      <c r="R200" s="170"/>
      <c r="S200" s="389"/>
      <c r="T200" s="501" t="s">
        <v>16</v>
      </c>
      <c r="U200" s="501" t="s">
        <v>1666</v>
      </c>
      <c r="W200" s="431" t="s">
        <v>2064</v>
      </c>
      <c r="X200" s="431" t="s">
        <v>3389</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4329</v>
      </c>
      <c r="P201" s="554" t="s">
        <v>2237</v>
      </c>
      <c r="Q201" s="520"/>
      <c r="R201" s="170"/>
      <c r="S201" s="389"/>
      <c r="T201" s="501" t="s">
        <v>2236</v>
      </c>
      <c r="U201" s="501" t="s">
        <v>1210</v>
      </c>
      <c r="W201" s="431" t="s">
        <v>2066</v>
      </c>
      <c r="X201" s="431" t="s">
        <v>3389</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4330</v>
      </c>
      <c r="P202" s="554" t="s">
        <v>2239</v>
      </c>
      <c r="Q202" s="520"/>
      <c r="R202" s="170"/>
      <c r="S202" s="389"/>
      <c r="T202" s="555" t="s">
        <v>2238</v>
      </c>
      <c r="U202" s="555" t="s">
        <v>2244</v>
      </c>
      <c r="W202" s="431" t="s">
        <v>676</v>
      </c>
      <c r="X202" s="431" t="s">
        <v>3389</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4331</v>
      </c>
      <c r="P203" s="554" t="s">
        <v>2269</v>
      </c>
      <c r="Q203" s="520"/>
      <c r="R203" s="170"/>
      <c r="S203" s="389"/>
      <c r="T203" s="501" t="s">
        <v>2561</v>
      </c>
      <c r="U203" s="501" t="s">
        <v>628</v>
      </c>
      <c r="W203" s="431" t="s">
        <v>1247</v>
      </c>
      <c r="X203" s="431" t="s">
        <v>3389</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4332</v>
      </c>
      <c r="P204" s="554" t="s">
        <v>1773</v>
      </c>
      <c r="Q204" s="520"/>
      <c r="R204" s="170"/>
      <c r="S204" s="389"/>
      <c r="T204" s="501" t="s">
        <v>2240</v>
      </c>
      <c r="U204" s="501" t="s">
        <v>121</v>
      </c>
      <c r="W204" s="431" t="s">
        <v>1249</v>
      </c>
      <c r="X204" s="431" t="s">
        <v>3389</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4333</v>
      </c>
      <c r="P205" s="554" t="s">
        <v>1775</v>
      </c>
      <c r="Q205" s="520"/>
      <c r="R205" s="170"/>
      <c r="S205" s="389"/>
      <c r="T205" s="501" t="s">
        <v>1749</v>
      </c>
      <c r="U205" s="501" t="s">
        <v>2489</v>
      </c>
      <c r="W205" s="431" t="s">
        <v>2483</v>
      </c>
      <c r="X205" s="431" t="s">
        <v>3389</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4334</v>
      </c>
      <c r="P206" s="554" t="s">
        <v>2158</v>
      </c>
      <c r="Q206" s="520"/>
      <c r="R206" s="170"/>
      <c r="S206" s="389"/>
      <c r="T206" s="501" t="s">
        <v>1774</v>
      </c>
      <c r="U206" s="501" t="s">
        <v>1313</v>
      </c>
      <c r="W206" s="431" t="s">
        <v>2493</v>
      </c>
      <c r="X206" s="431" t="s">
        <v>3389</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4335</v>
      </c>
      <c r="P207" s="554" t="s">
        <v>2159</v>
      </c>
      <c r="Q207" s="520"/>
      <c r="R207" s="170"/>
      <c r="S207" s="389"/>
      <c r="T207" s="501" t="s">
        <v>1776</v>
      </c>
      <c r="U207" s="501" t="s">
        <v>2008</v>
      </c>
      <c r="W207" s="431" t="s">
        <v>87</v>
      </c>
      <c r="X207" s="431" t="s">
        <v>3389</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4336</v>
      </c>
      <c r="P208" s="554" t="s">
        <v>2444</v>
      </c>
      <c r="Q208" s="292"/>
      <c r="R208" s="170"/>
      <c r="S208" s="389"/>
      <c r="T208" s="501" t="s">
        <v>825</v>
      </c>
      <c r="U208" s="501" t="s">
        <v>2588</v>
      </c>
      <c r="W208" s="431" t="s">
        <v>1234</v>
      </c>
      <c r="X208" s="431" t="s">
        <v>3389</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4337</v>
      </c>
      <c r="P209" s="554" t="s">
        <v>2446</v>
      </c>
      <c r="Q209" s="292"/>
      <c r="R209" s="170"/>
      <c r="S209" s="389"/>
      <c r="T209" s="501" t="s">
        <v>2160</v>
      </c>
      <c r="U209" s="501" t="s">
        <v>2590</v>
      </c>
      <c r="W209" s="431" t="s">
        <v>161</v>
      </c>
      <c r="X209" s="431" t="s">
        <v>3389</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4338</v>
      </c>
      <c r="P210" s="554" t="s">
        <v>2448</v>
      </c>
      <c r="Q210" s="292"/>
      <c r="R210" s="170"/>
      <c r="S210" s="389"/>
      <c r="T210" s="555" t="s">
        <v>2445</v>
      </c>
      <c r="U210" s="555" t="s">
        <v>1094</v>
      </c>
      <c r="W210" s="431" t="s">
        <v>895</v>
      </c>
      <c r="X210" s="431" t="s">
        <v>3389</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4339</v>
      </c>
      <c r="P211" s="554" t="s">
        <v>2450</v>
      </c>
      <c r="Q211" s="292"/>
      <c r="R211" s="170"/>
      <c r="S211" s="389"/>
      <c r="T211" s="501" t="s">
        <v>2562</v>
      </c>
      <c r="U211" s="501" t="s">
        <v>319</v>
      </c>
      <c r="W211" s="431" t="s">
        <v>2140</v>
      </c>
      <c r="X211" s="431" t="s">
        <v>3389</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4340</v>
      </c>
      <c r="P212" s="554" t="s">
        <v>2451</v>
      </c>
      <c r="Q212" s="292"/>
      <c r="R212" s="170"/>
      <c r="S212" s="389"/>
      <c r="T212" s="501" t="s">
        <v>2447</v>
      </c>
      <c r="U212" s="501" t="s">
        <v>1920</v>
      </c>
      <c r="W212" s="431" t="s">
        <v>2058</v>
      </c>
      <c r="X212" s="431" t="s">
        <v>3389</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4341</v>
      </c>
      <c r="P213" s="554" t="s">
        <v>2230</v>
      </c>
      <c r="Q213" s="292"/>
      <c r="R213" s="170"/>
      <c r="S213" s="389"/>
      <c r="T213" s="501" t="s">
        <v>2449</v>
      </c>
      <c r="U213" s="501" t="s">
        <v>874</v>
      </c>
      <c r="W213" s="431" t="s">
        <v>599</v>
      </c>
      <c r="X213" s="431" t="s">
        <v>3389</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4342</v>
      </c>
      <c r="P214" s="554" t="s">
        <v>708</v>
      </c>
      <c r="Q214" s="292"/>
      <c r="R214" s="170"/>
      <c r="S214" s="389"/>
      <c r="T214" s="501" t="s">
        <v>2452</v>
      </c>
      <c r="U214" s="501" t="s">
        <v>159</v>
      </c>
      <c r="W214" s="431" t="s">
        <v>601</v>
      </c>
      <c r="X214" s="431" t="s">
        <v>3389</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4343</v>
      </c>
      <c r="P215" s="554" t="s">
        <v>710</v>
      </c>
      <c r="Q215" s="292"/>
      <c r="R215" s="170"/>
      <c r="S215" s="389"/>
      <c r="T215" s="501" t="s">
        <v>2231</v>
      </c>
      <c r="U215" s="501" t="s">
        <v>655</v>
      </c>
      <c r="W215" s="431" t="s">
        <v>2532</v>
      </c>
      <c r="X215" s="431" t="s">
        <v>3389</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4344</v>
      </c>
      <c r="P216" s="554" t="s">
        <v>712</v>
      </c>
      <c r="Q216" s="292"/>
      <c r="R216" s="170"/>
      <c r="S216" s="389"/>
      <c r="T216" s="501" t="s">
        <v>709</v>
      </c>
      <c r="U216" s="501" t="s">
        <v>2481</v>
      </c>
      <c r="W216" s="431" t="s">
        <v>605</v>
      </c>
      <c r="X216" s="431" t="s">
        <v>3389</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4345</v>
      </c>
      <c r="P217" s="554" t="s">
        <v>714</v>
      </c>
      <c r="Q217" s="292"/>
      <c r="R217" s="170"/>
      <c r="S217" s="389"/>
      <c r="T217" s="501" t="s">
        <v>711</v>
      </c>
      <c r="U217" s="501" t="s">
        <v>1109</v>
      </c>
      <c r="W217" s="431" t="s">
        <v>546</v>
      </c>
      <c r="X217" s="431" t="s">
        <v>3389</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4346</v>
      </c>
      <c r="P218" s="554" t="s">
        <v>2222</v>
      </c>
      <c r="Q218" s="292"/>
      <c r="R218" s="170"/>
      <c r="S218" s="389"/>
      <c r="T218" s="555" t="s">
        <v>713</v>
      </c>
      <c r="U218" s="555" t="s">
        <v>2590</v>
      </c>
      <c r="W218" s="431" t="s">
        <v>746</v>
      </c>
      <c r="X218" s="431" t="s">
        <v>3389</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4347</v>
      </c>
      <c r="P219" s="554" t="s">
        <v>2223</v>
      </c>
      <c r="Q219" s="292"/>
      <c r="R219" s="170"/>
      <c r="S219" s="389"/>
      <c r="T219" s="501" t="s">
        <v>2563</v>
      </c>
      <c r="U219" s="501" t="s">
        <v>2483</v>
      </c>
      <c r="W219" s="431" t="s">
        <v>37</v>
      </c>
      <c r="X219" s="431" t="s">
        <v>3389</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4348</v>
      </c>
      <c r="P220" s="554" t="s">
        <v>2225</v>
      </c>
      <c r="Q220" s="292"/>
      <c r="R220" s="170"/>
      <c r="S220" s="389"/>
      <c r="T220" s="501" t="s">
        <v>2224</v>
      </c>
      <c r="U220" s="501" t="s">
        <v>1666</v>
      </c>
      <c r="W220" s="431" t="s">
        <v>1967</v>
      </c>
      <c r="X220" s="431" t="s">
        <v>3389</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4349</v>
      </c>
      <c r="P221" s="554" t="s">
        <v>684</v>
      </c>
      <c r="Q221" s="292"/>
      <c r="R221" s="170"/>
      <c r="S221" s="389"/>
      <c r="T221" s="501" t="s">
        <v>2226</v>
      </c>
      <c r="U221" s="501" t="s">
        <v>2584</v>
      </c>
      <c r="W221" s="431" t="s">
        <v>335</v>
      </c>
      <c r="X221" s="431" t="s">
        <v>3389</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4350</v>
      </c>
      <c r="P222" s="554" t="s">
        <v>789</v>
      </c>
      <c r="Q222" s="292"/>
      <c r="R222" s="170"/>
      <c r="S222" s="389"/>
      <c r="T222" s="501" t="s">
        <v>685</v>
      </c>
      <c r="U222" s="501" t="s">
        <v>733</v>
      </c>
      <c r="W222" s="431" t="s">
        <v>343</v>
      </c>
      <c r="X222" s="431" t="s">
        <v>3389</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4351</v>
      </c>
      <c r="P223" s="554" t="s">
        <v>2271</v>
      </c>
      <c r="Q223" s="292"/>
      <c r="R223" s="170"/>
      <c r="S223" s="389"/>
      <c r="T223" s="501" t="s">
        <v>2270</v>
      </c>
      <c r="U223" s="501" t="s">
        <v>316</v>
      </c>
      <c r="W223" s="431" t="s">
        <v>195</v>
      </c>
      <c r="X223" s="431" t="s">
        <v>3389</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4352</v>
      </c>
      <c r="P224" s="554" t="s">
        <v>2300</v>
      </c>
      <c r="Q224" s="292"/>
      <c r="R224" s="170"/>
      <c r="S224" s="389"/>
      <c r="T224" s="501" t="s">
        <v>2331</v>
      </c>
      <c r="U224" s="501" t="s">
        <v>878</v>
      </c>
      <c r="W224" s="431" t="s">
        <v>2155</v>
      </c>
      <c r="X224" s="431" t="s">
        <v>3389</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4353</v>
      </c>
      <c r="P225" s="554" t="s">
        <v>45</v>
      </c>
      <c r="Q225" s="292"/>
      <c r="R225" s="170"/>
      <c r="S225" s="389"/>
      <c r="T225" s="501" t="s">
        <v>46</v>
      </c>
      <c r="U225" s="501" t="s">
        <v>323</v>
      </c>
      <c r="W225" s="431" t="s">
        <v>196</v>
      </c>
      <c r="X225" s="431" t="s">
        <v>3389</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4354</v>
      </c>
      <c r="P226" s="554" t="s">
        <v>633</v>
      </c>
      <c r="Q226" s="292"/>
      <c r="R226" s="170"/>
      <c r="S226" s="389"/>
      <c r="T226" s="501" t="s">
        <v>634</v>
      </c>
      <c r="U226" s="501" t="s">
        <v>2592</v>
      </c>
      <c r="W226" s="431" t="s">
        <v>382</v>
      </c>
      <c r="X226" s="431" t="s">
        <v>3389</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4355</v>
      </c>
      <c r="P227" s="554" t="s">
        <v>304</v>
      </c>
      <c r="Q227" s="292"/>
      <c r="R227" s="170"/>
      <c r="S227" s="389"/>
      <c r="T227" s="501" t="s">
        <v>305</v>
      </c>
      <c r="U227" s="501" t="s">
        <v>314</v>
      </c>
      <c r="W227" s="431" t="s">
        <v>873</v>
      </c>
      <c r="X227" s="431" t="s">
        <v>3389</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4356</v>
      </c>
      <c r="P228" s="554" t="s">
        <v>2369</v>
      </c>
      <c r="Q228" s="292"/>
      <c r="R228" s="170"/>
      <c r="S228" s="389"/>
      <c r="T228" s="501" t="s">
        <v>2370</v>
      </c>
      <c r="U228" s="501" t="s">
        <v>196</v>
      </c>
      <c r="W228" s="431" t="s">
        <v>1924</v>
      </c>
      <c r="X228" s="431" t="s">
        <v>3389</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4357</v>
      </c>
      <c r="P229" s="554" t="s">
        <v>2392</v>
      </c>
      <c r="Q229" s="292"/>
      <c r="R229" s="170"/>
      <c r="S229" s="389"/>
      <c r="T229" s="501" t="s">
        <v>2393</v>
      </c>
      <c r="U229" s="501" t="s">
        <v>1665</v>
      </c>
      <c r="W229" s="431" t="s">
        <v>1928</v>
      </c>
      <c r="X229" s="431" t="s">
        <v>3389</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4358</v>
      </c>
      <c r="P230" s="554" t="s">
        <v>2394</v>
      </c>
      <c r="Q230" s="292"/>
      <c r="R230" s="170"/>
      <c r="S230" s="389"/>
      <c r="T230" s="501" t="s">
        <v>2848</v>
      </c>
      <c r="U230" s="501" t="s">
        <v>628</v>
      </c>
      <c r="W230" s="431" t="s">
        <v>717</v>
      </c>
      <c r="X230" s="431" t="s">
        <v>3389</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4359</v>
      </c>
      <c r="P231" s="554" t="s">
        <v>2395</v>
      </c>
      <c r="Q231" s="292"/>
      <c r="R231" s="170"/>
      <c r="S231" s="389"/>
      <c r="T231" s="501" t="s">
        <v>629</v>
      </c>
      <c r="U231" s="501" t="s">
        <v>1327</v>
      </c>
      <c r="W231" s="431" t="s">
        <v>1140</v>
      </c>
      <c r="X231" s="431" t="s">
        <v>3389</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4360</v>
      </c>
      <c r="P232" s="554" t="s">
        <v>2361</v>
      </c>
      <c r="Q232" s="292"/>
      <c r="R232" s="170"/>
      <c r="S232" s="389"/>
      <c r="T232" s="501" t="s">
        <v>1324</v>
      </c>
      <c r="U232" s="501" t="s">
        <v>657</v>
      </c>
      <c r="W232" s="431" t="s">
        <v>1142</v>
      </c>
      <c r="X232" s="431" t="s">
        <v>3389</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4361</v>
      </c>
      <c r="P233" s="554" t="s">
        <v>10</v>
      </c>
      <c r="Q233" s="292"/>
      <c r="R233" s="170"/>
      <c r="S233" s="389"/>
      <c r="T233" s="501" t="s">
        <v>2362</v>
      </c>
      <c r="U233" s="501" t="s">
        <v>2487</v>
      </c>
      <c r="W233" s="431" t="s">
        <v>1144</v>
      </c>
      <c r="X233" s="431" t="s">
        <v>3389</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4362</v>
      </c>
      <c r="P234" s="554" t="s">
        <v>12</v>
      </c>
      <c r="Q234" s="292"/>
      <c r="R234" s="170"/>
      <c r="S234" s="389"/>
      <c r="T234" s="501" t="s">
        <v>11</v>
      </c>
      <c r="U234" s="501" t="s">
        <v>666</v>
      </c>
      <c r="W234" s="431" t="s">
        <v>2514</v>
      </c>
      <c r="X234" s="431" t="s">
        <v>3389</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4363</v>
      </c>
      <c r="P235" s="554" t="s">
        <v>56</v>
      </c>
      <c r="Q235" s="292"/>
      <c r="R235" s="170"/>
      <c r="S235" s="389"/>
      <c r="T235" s="501" t="s">
        <v>13</v>
      </c>
      <c r="U235" s="501" t="s">
        <v>314</v>
      </c>
      <c r="W235" s="431" t="s">
        <v>455</v>
      </c>
      <c r="X235" s="431" t="s">
        <v>3389</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4364</v>
      </c>
      <c r="P236" s="554" t="s">
        <v>58</v>
      </c>
      <c r="Q236" s="292"/>
      <c r="R236" s="170"/>
      <c r="S236" s="389"/>
      <c r="T236" s="501" t="s">
        <v>57</v>
      </c>
      <c r="U236" s="501" t="s">
        <v>2584</v>
      </c>
      <c r="W236" s="431" t="s">
        <v>301</v>
      </c>
      <c r="X236" s="431" t="s">
        <v>3389</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4365</v>
      </c>
      <c r="P237" s="554" t="s">
        <v>60</v>
      </c>
      <c r="Q237" s="292"/>
      <c r="R237" s="170"/>
      <c r="S237" s="389"/>
      <c r="T237" s="501" t="s">
        <v>59</v>
      </c>
      <c r="U237" s="501" t="s">
        <v>357</v>
      </c>
      <c r="W237" s="431" t="s">
        <v>1825</v>
      </c>
      <c r="X237" s="431" t="s">
        <v>3389</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4366</v>
      </c>
      <c r="P238" s="554" t="s">
        <v>351</v>
      </c>
      <c r="Q238" s="292"/>
      <c r="R238" s="170"/>
      <c r="S238" s="389"/>
      <c r="T238" s="501" t="s">
        <v>61</v>
      </c>
      <c r="U238" s="501" t="s">
        <v>121</v>
      </c>
      <c r="W238" s="431" t="s">
        <v>1827</v>
      </c>
      <c r="X238" s="431" t="s">
        <v>3389</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4367</v>
      </c>
      <c r="P239" s="554" t="s">
        <v>353</v>
      </c>
      <c r="Q239" s="292"/>
      <c r="R239" s="170"/>
      <c r="S239" s="389"/>
      <c r="T239" s="501" t="s">
        <v>352</v>
      </c>
      <c r="U239" s="501" t="s">
        <v>2185</v>
      </c>
      <c r="W239" s="431" t="s">
        <v>1895</v>
      </c>
      <c r="X239" s="431" t="s">
        <v>3389</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4368</v>
      </c>
      <c r="P240" s="554" t="s">
        <v>355</v>
      </c>
      <c r="Q240" s="292"/>
      <c r="R240" s="170"/>
      <c r="S240" s="389"/>
      <c r="T240" s="501" t="s">
        <v>354</v>
      </c>
      <c r="U240" s="501" t="s">
        <v>953</v>
      </c>
      <c r="W240" s="431" t="s">
        <v>2244</v>
      </c>
      <c r="X240" s="431" t="s">
        <v>3389</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4369</v>
      </c>
      <c r="P241" s="554" t="s">
        <v>2289</v>
      </c>
      <c r="Q241" s="292"/>
      <c r="R241" s="170"/>
      <c r="S241" s="389"/>
      <c r="T241" s="501" t="s">
        <v>356</v>
      </c>
      <c r="U241" s="501" t="s">
        <v>1091</v>
      </c>
      <c r="W241" s="431" t="s">
        <v>420</v>
      </c>
      <c r="X241" s="431" t="s">
        <v>3389</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4370</v>
      </c>
      <c r="P242" s="554" t="s">
        <v>2291</v>
      </c>
      <c r="Q242" s="292"/>
      <c r="R242" s="170"/>
      <c r="S242" s="389"/>
      <c r="T242" s="501" t="s">
        <v>630</v>
      </c>
      <c r="U242" s="501" t="s">
        <v>1453</v>
      </c>
      <c r="W242" s="431" t="s">
        <v>2281</v>
      </c>
      <c r="X242" s="431" t="s">
        <v>3389</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4371</v>
      </c>
      <c r="P243" s="554" t="s">
        <v>2292</v>
      </c>
      <c r="Q243" s="292"/>
      <c r="R243" s="170"/>
      <c r="S243" s="389"/>
      <c r="T243" s="501" t="s">
        <v>2290</v>
      </c>
      <c r="U243" s="501" t="s">
        <v>669</v>
      </c>
      <c r="W243" s="431" t="s">
        <v>3379</v>
      </c>
      <c r="X243" s="431" t="s">
        <v>3389</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4372</v>
      </c>
      <c r="P244" s="554" t="s">
        <v>2293</v>
      </c>
      <c r="Q244" s="292"/>
      <c r="R244" s="170"/>
      <c r="S244" s="389"/>
      <c r="T244" s="501" t="s">
        <v>1332</v>
      </c>
      <c r="U244" s="501" t="s">
        <v>667</v>
      </c>
      <c r="W244" s="431" t="s">
        <v>674</v>
      </c>
      <c r="X244" s="431" t="s">
        <v>3389</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4373</v>
      </c>
      <c r="P245" s="554" t="s">
        <v>1559</v>
      </c>
      <c r="Q245" s="292"/>
      <c r="R245" s="170"/>
      <c r="S245" s="389"/>
      <c r="T245" s="501" t="s">
        <v>2849</v>
      </c>
      <c r="U245" s="501" t="s">
        <v>669</v>
      </c>
      <c r="W245" s="431" t="s">
        <v>2388</v>
      </c>
      <c r="X245" s="431" t="s">
        <v>3389</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4374</v>
      </c>
      <c r="P246" s="554" t="s">
        <v>1561</v>
      </c>
      <c r="Q246" s="292"/>
      <c r="R246" s="170"/>
      <c r="S246" s="389"/>
      <c r="T246" s="501" t="s">
        <v>2294</v>
      </c>
      <c r="U246" s="501" t="s">
        <v>104</v>
      </c>
      <c r="W246" s="431" t="s">
        <v>220</v>
      </c>
      <c r="X246" s="431" t="s">
        <v>3389</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3737</v>
      </c>
      <c r="L247" s="1012" t="s">
        <v>424</v>
      </c>
      <c r="M247" s="1099" t="s">
        <v>2599</v>
      </c>
      <c r="N247" s="1099" t="s">
        <v>1330</v>
      </c>
      <c r="O247" s="1288" t="s">
        <v>4375</v>
      </c>
      <c r="P247" s="554" t="s">
        <v>1563</v>
      </c>
      <c r="Q247" s="292"/>
      <c r="R247" s="170"/>
      <c r="S247" s="389"/>
      <c r="T247" s="501" t="s">
        <v>1560</v>
      </c>
      <c r="U247" s="501" t="s">
        <v>1633</v>
      </c>
      <c r="W247" s="431" t="s">
        <v>659</v>
      </c>
      <c r="X247" s="431" t="s">
        <v>3389</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4376</v>
      </c>
      <c r="P248" s="554" t="s">
        <v>1565</v>
      </c>
      <c r="Q248" s="292"/>
      <c r="R248" s="170"/>
      <c r="S248" s="389"/>
      <c r="T248" s="501" t="s">
        <v>2564</v>
      </c>
      <c r="U248" s="501" t="s">
        <v>628</v>
      </c>
      <c r="W248" s="431" t="s">
        <v>234</v>
      </c>
      <c r="X248" s="431" t="s">
        <v>3389</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4377</v>
      </c>
      <c r="P249" s="554" t="s">
        <v>1567</v>
      </c>
      <c r="Q249" s="292"/>
      <c r="R249" s="170"/>
      <c r="S249" s="389"/>
      <c r="T249" s="501" t="s">
        <v>1562</v>
      </c>
      <c r="U249" s="501" t="s">
        <v>660</v>
      </c>
      <c r="W249" s="431" t="s">
        <v>660</v>
      </c>
      <c r="X249" s="431" t="s">
        <v>3389</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4378</v>
      </c>
      <c r="P250" s="554" t="s">
        <v>1742</v>
      </c>
      <c r="Q250" s="292"/>
      <c r="R250" s="170"/>
      <c r="S250" s="389"/>
      <c r="T250" s="501" t="s">
        <v>2850</v>
      </c>
      <c r="U250" s="501" t="s">
        <v>2242</v>
      </c>
      <c r="W250" s="431" t="s">
        <v>787</v>
      </c>
      <c r="X250" s="431" t="s">
        <v>3389</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4379</v>
      </c>
      <c r="P251" s="554" t="s">
        <v>1744</v>
      </c>
      <c r="Q251" s="292"/>
      <c r="R251" s="170"/>
      <c r="S251" s="389"/>
      <c r="T251" s="501" t="s">
        <v>1564</v>
      </c>
      <c r="U251" s="501" t="s">
        <v>164</v>
      </c>
      <c r="W251" s="431" t="s">
        <v>3380</v>
      </c>
      <c r="X251" s="431" t="s">
        <v>3389</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4380</v>
      </c>
      <c r="P252" s="554" t="s">
        <v>1746</v>
      </c>
      <c r="Q252" s="292"/>
      <c r="R252" s="170"/>
      <c r="S252" s="389"/>
      <c r="T252" s="501" t="s">
        <v>1566</v>
      </c>
      <c r="U252" s="501" t="s">
        <v>1313</v>
      </c>
      <c r="W252" s="431" t="s">
        <v>3381</v>
      </c>
      <c r="X252" s="431" t="s">
        <v>3389</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4381</v>
      </c>
      <c r="P253" s="554" t="s">
        <v>1023</v>
      </c>
      <c r="Q253" s="292"/>
      <c r="R253" s="170"/>
      <c r="S253" s="389"/>
      <c r="T253" s="501" t="s">
        <v>1568</v>
      </c>
      <c r="U253" s="501" t="s">
        <v>179</v>
      </c>
      <c r="W253" s="431" t="s">
        <v>1221</v>
      </c>
      <c r="X253" s="431" t="s">
        <v>3389</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4382</v>
      </c>
      <c r="P254" s="554" t="s">
        <v>1024</v>
      </c>
      <c r="Q254" s="292"/>
      <c r="R254" s="170"/>
      <c r="S254" s="389"/>
      <c r="T254" s="501" t="s">
        <v>1743</v>
      </c>
      <c r="U254" s="501" t="s">
        <v>660</v>
      </c>
      <c r="W254" s="431" t="s">
        <v>680</v>
      </c>
      <c r="X254" s="431" t="s">
        <v>3389</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4383</v>
      </c>
      <c r="P255" s="554" t="s">
        <v>236</v>
      </c>
      <c r="Q255" s="292"/>
      <c r="R255" s="170"/>
      <c r="S255" s="389"/>
      <c r="T255" s="501" t="s">
        <v>1745</v>
      </c>
      <c r="U255" s="501" t="s">
        <v>733</v>
      </c>
      <c r="W255" s="431" t="s">
        <v>667</v>
      </c>
      <c r="X255" s="431" t="s">
        <v>3389</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4384</v>
      </c>
      <c r="P256" s="554" t="s">
        <v>238</v>
      </c>
      <c r="Q256" s="292"/>
      <c r="R256" s="170"/>
      <c r="S256" s="389"/>
      <c r="T256" s="501" t="s">
        <v>1022</v>
      </c>
      <c r="U256" s="501" t="s">
        <v>1314</v>
      </c>
      <c r="W256" s="431" t="s">
        <v>981</v>
      </c>
      <c r="X256" s="431" t="s">
        <v>3389</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4385</v>
      </c>
      <c r="P257" s="554" t="s">
        <v>1263</v>
      </c>
      <c r="Q257" s="292"/>
      <c r="R257" s="170"/>
      <c r="S257" s="389"/>
      <c r="T257" s="501" t="s">
        <v>1025</v>
      </c>
      <c r="U257" s="501" t="s">
        <v>658</v>
      </c>
      <c r="W257" s="431" t="s">
        <v>985</v>
      </c>
      <c r="X257" s="431" t="s">
        <v>3389</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4386</v>
      </c>
      <c r="P258" s="554" t="s">
        <v>2059</v>
      </c>
      <c r="Q258" s="292"/>
      <c r="R258" s="170"/>
      <c r="S258" s="389"/>
      <c r="T258" s="501" t="s">
        <v>237</v>
      </c>
      <c r="U258" s="501" t="s">
        <v>2529</v>
      </c>
      <c r="W258" s="431" t="s">
        <v>987</v>
      </c>
      <c r="X258" s="431" t="s">
        <v>3389</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4387</v>
      </c>
      <c r="P259" s="554" t="s">
        <v>2061</v>
      </c>
      <c r="Q259" s="292"/>
      <c r="R259" s="170"/>
      <c r="S259" s="389"/>
      <c r="T259" s="501" t="s">
        <v>2851</v>
      </c>
      <c r="U259" s="501" t="s">
        <v>874</v>
      </c>
      <c r="W259" s="431" t="s">
        <v>574</v>
      </c>
      <c r="X259" s="431" t="s">
        <v>3389</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4388</v>
      </c>
      <c r="P260" s="554" t="s">
        <v>2063</v>
      </c>
      <c r="Q260" s="292"/>
      <c r="R260" s="170"/>
      <c r="S260" s="389"/>
      <c r="T260" s="555" t="s">
        <v>1758</v>
      </c>
      <c r="U260" s="555" t="s">
        <v>1097</v>
      </c>
      <c r="W260" s="431" t="s">
        <v>372</v>
      </c>
      <c r="X260" s="431" t="s">
        <v>3389</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3736</v>
      </c>
      <c r="L261" s="1012" t="s">
        <v>424</v>
      </c>
      <c r="M261" s="1099" t="s">
        <v>2599</v>
      </c>
      <c r="N261" s="1099" t="s">
        <v>1205</v>
      </c>
      <c r="O261" s="1288" t="s">
        <v>4389</v>
      </c>
      <c r="P261" s="554" t="s">
        <v>2065</v>
      </c>
      <c r="Q261" s="292"/>
      <c r="R261" s="170"/>
      <c r="S261" s="389"/>
      <c r="T261" s="501" t="s">
        <v>2060</v>
      </c>
      <c r="U261" s="501" t="s">
        <v>320</v>
      </c>
      <c r="W261" s="431" t="s">
        <v>1595</v>
      </c>
      <c r="X261" s="431" t="s">
        <v>3389</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4390</v>
      </c>
      <c r="P262" s="554" t="s">
        <v>2067</v>
      </c>
      <c r="Q262" s="292"/>
      <c r="R262" s="170"/>
      <c r="S262" s="389"/>
      <c r="T262" s="501" t="s">
        <v>2062</v>
      </c>
      <c r="U262" s="501" t="s">
        <v>318</v>
      </c>
      <c r="W262" s="431" t="s">
        <v>1009</v>
      </c>
      <c r="X262" s="431" t="s">
        <v>3389</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4391</v>
      </c>
      <c r="P263" s="554" t="s">
        <v>2069</v>
      </c>
      <c r="Q263" s="292"/>
      <c r="R263" s="170"/>
      <c r="S263" s="389"/>
      <c r="T263" s="501" t="s">
        <v>2064</v>
      </c>
      <c r="U263" s="501" t="s">
        <v>628</v>
      </c>
      <c r="W263" s="431" t="s">
        <v>1011</v>
      </c>
      <c r="X263" s="431" t="s">
        <v>3389</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4392</v>
      </c>
      <c r="P264" s="554" t="s">
        <v>675</v>
      </c>
      <c r="Q264" s="292"/>
      <c r="R264" s="170"/>
      <c r="S264" s="389"/>
      <c r="T264" s="501" t="s">
        <v>2066</v>
      </c>
      <c r="U264" s="501" t="s">
        <v>2586</v>
      </c>
      <c r="W264" s="431" t="s">
        <v>1679</v>
      </c>
      <c r="X264" s="431" t="s">
        <v>3389</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4393</v>
      </c>
      <c r="P265" s="554" t="s">
        <v>2328</v>
      </c>
      <c r="Q265" s="292"/>
      <c r="R265" s="170"/>
      <c r="S265" s="389"/>
      <c r="T265" s="501" t="s">
        <v>4735</v>
      </c>
      <c r="U265" s="501" t="s">
        <v>1206</v>
      </c>
      <c r="W265" s="431" t="s">
        <v>866</v>
      </c>
      <c r="X265" s="431" t="s">
        <v>3389</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4394</v>
      </c>
      <c r="P266" s="554" t="s">
        <v>2329</v>
      </c>
      <c r="Q266" s="292"/>
      <c r="R266" s="170"/>
      <c r="S266" s="389"/>
      <c r="T266" s="501" t="s">
        <v>2565</v>
      </c>
      <c r="U266" s="501" t="s">
        <v>2007</v>
      </c>
      <c r="W266" s="431" t="s">
        <v>1740</v>
      </c>
      <c r="X266" s="431" t="s">
        <v>3389</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4395</v>
      </c>
      <c r="P267" s="554" t="s">
        <v>1246</v>
      </c>
      <c r="Q267" s="292"/>
      <c r="R267" s="170"/>
      <c r="S267" s="389"/>
      <c r="T267" s="501" t="s">
        <v>2068</v>
      </c>
      <c r="U267" s="501" t="s">
        <v>199</v>
      </c>
      <c r="W267" s="431" t="s">
        <v>631</v>
      </c>
      <c r="X267" s="431" t="s">
        <v>3389</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4396</v>
      </c>
      <c r="P268" s="554" t="s">
        <v>1248</v>
      </c>
      <c r="Q268" s="292"/>
      <c r="R268" s="170"/>
      <c r="S268" s="389"/>
      <c r="T268" s="501" t="s">
        <v>2852</v>
      </c>
      <c r="U268" s="501" t="s">
        <v>662</v>
      </c>
      <c r="W268" s="431" t="s">
        <v>2288</v>
      </c>
      <c r="X268" s="431" t="s">
        <v>3389</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4397</v>
      </c>
      <c r="P269" s="554" t="s">
        <v>1250</v>
      </c>
      <c r="Q269" s="292"/>
      <c r="R269" s="170"/>
      <c r="S269" s="389"/>
      <c r="T269" s="501" t="s">
        <v>2070</v>
      </c>
      <c r="U269" s="501" t="s">
        <v>199</v>
      </c>
      <c r="W269" s="431" t="s">
        <v>1033</v>
      </c>
      <c r="X269" s="431" t="s">
        <v>3389</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4398</v>
      </c>
      <c r="P270" s="554" t="s">
        <v>1251</v>
      </c>
      <c r="Q270" s="292"/>
      <c r="R270" s="170"/>
      <c r="S270" s="389"/>
      <c r="T270" s="501" t="s">
        <v>676</v>
      </c>
      <c r="U270" s="501" t="s">
        <v>2007</v>
      </c>
      <c r="W270" s="431" t="s">
        <v>1944</v>
      </c>
      <c r="X270" s="431" t="s">
        <v>3389</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4399</v>
      </c>
      <c r="P271" s="554" t="s">
        <v>1253</v>
      </c>
      <c r="Q271" s="292"/>
      <c r="R271" s="170"/>
      <c r="S271" s="389"/>
      <c r="T271" s="501" t="s">
        <v>2330</v>
      </c>
      <c r="U271" s="501" t="s">
        <v>122</v>
      </c>
      <c r="W271" s="431" t="s">
        <v>492</v>
      </c>
      <c r="X271" s="431" t="s">
        <v>3389</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4400</v>
      </c>
      <c r="P272" s="554" t="s">
        <v>2494</v>
      </c>
      <c r="Q272" s="292"/>
      <c r="R272" s="170"/>
      <c r="S272" s="389"/>
      <c r="T272" s="501" t="s">
        <v>1247</v>
      </c>
      <c r="U272" s="501" t="s">
        <v>628</v>
      </c>
      <c r="W272" s="431" t="s">
        <v>1646</v>
      </c>
      <c r="X272" s="431" t="s">
        <v>3389</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4401</v>
      </c>
      <c r="P273" s="554" t="s">
        <v>82</v>
      </c>
      <c r="Q273" s="292"/>
      <c r="R273" s="170"/>
      <c r="S273" s="389"/>
      <c r="T273" s="501" t="s">
        <v>1249</v>
      </c>
      <c r="U273" s="501" t="s">
        <v>2244</v>
      </c>
      <c r="W273" s="431" t="s">
        <v>943</v>
      </c>
      <c r="X273" s="431" t="s">
        <v>3389</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4402</v>
      </c>
      <c r="P274" s="554" t="s">
        <v>83</v>
      </c>
      <c r="Q274" s="292"/>
      <c r="R274" s="170"/>
      <c r="S274" s="389"/>
      <c r="T274" s="501" t="s">
        <v>2483</v>
      </c>
      <c r="U274" s="501" t="s">
        <v>1105</v>
      </c>
      <c r="W274" s="431" t="s">
        <v>2307</v>
      </c>
      <c r="X274" s="431" t="s">
        <v>3389</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4403</v>
      </c>
      <c r="P275" s="554" t="s">
        <v>84</v>
      </c>
      <c r="Q275" s="292"/>
      <c r="R275" s="170"/>
      <c r="S275" s="389"/>
      <c r="T275" s="501" t="s">
        <v>1252</v>
      </c>
      <c r="U275" s="501" t="s">
        <v>311</v>
      </c>
      <c r="W275" s="431" t="s">
        <v>323</v>
      </c>
      <c r="X275" s="431" t="s">
        <v>3389</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4404</v>
      </c>
      <c r="P276" s="554" t="s">
        <v>86</v>
      </c>
      <c r="Q276" s="292"/>
      <c r="R276" s="170"/>
      <c r="S276" s="389"/>
      <c r="T276" s="501" t="s">
        <v>2493</v>
      </c>
      <c r="U276" s="501" t="s">
        <v>114</v>
      </c>
      <c r="W276" s="431" t="s">
        <v>325</v>
      </c>
      <c r="X276" s="431" t="s">
        <v>3389</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4405</v>
      </c>
      <c r="P277" s="554" t="s">
        <v>1227</v>
      </c>
      <c r="Q277" s="292"/>
      <c r="R277" s="170"/>
      <c r="S277" s="389"/>
      <c r="T277" s="501" t="s">
        <v>81</v>
      </c>
      <c r="U277" s="501" t="s">
        <v>196</v>
      </c>
      <c r="W277" s="431" t="s">
        <v>328</v>
      </c>
      <c r="X277" s="431" t="s">
        <v>3389</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4406</v>
      </c>
      <c r="P278" s="554" t="s">
        <v>1229</v>
      </c>
      <c r="Q278" s="292"/>
      <c r="R278" s="170"/>
      <c r="S278" s="389"/>
      <c r="T278" s="501" t="s">
        <v>85</v>
      </c>
      <c r="U278" s="501" t="s">
        <v>2183</v>
      </c>
      <c r="W278" s="431" t="s">
        <v>1756</v>
      </c>
      <c r="X278" s="431" t="s">
        <v>3389</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4407</v>
      </c>
      <c r="P279" s="554" t="s">
        <v>1231</v>
      </c>
      <c r="Q279" s="292"/>
      <c r="R279" s="170"/>
      <c r="S279" s="389"/>
      <c r="T279" s="501" t="s">
        <v>87</v>
      </c>
      <c r="U279" s="501" t="s">
        <v>1321</v>
      </c>
      <c r="W279" s="431" t="s">
        <v>691</v>
      </c>
      <c r="X279" s="431" t="s">
        <v>3389</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4408</v>
      </c>
      <c r="P280" s="554" t="s">
        <v>1233</v>
      </c>
      <c r="Q280" s="292"/>
      <c r="R280" s="170"/>
      <c r="S280" s="389"/>
      <c r="T280" s="501" t="s">
        <v>1228</v>
      </c>
      <c r="U280" s="501" t="s">
        <v>1950</v>
      </c>
      <c r="W280" s="431" t="s">
        <v>2353</v>
      </c>
      <c r="X280" s="431" t="s">
        <v>3389</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4409</v>
      </c>
      <c r="P281" s="554" t="s">
        <v>1235</v>
      </c>
      <c r="Q281" s="292"/>
      <c r="R281" s="170"/>
      <c r="S281" s="389"/>
      <c r="T281" s="501" t="s">
        <v>1230</v>
      </c>
      <c r="U281" s="501" t="s">
        <v>179</v>
      </c>
      <c r="W281" s="431" t="s">
        <v>475</v>
      </c>
      <c r="X281" s="431" t="s">
        <v>3389</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4410</v>
      </c>
      <c r="P282" s="554" t="s">
        <v>1237</v>
      </c>
      <c r="Q282" s="292"/>
      <c r="R282" s="170"/>
      <c r="S282" s="389"/>
      <c r="T282" s="501" t="s">
        <v>1232</v>
      </c>
      <c r="U282" s="501" t="s">
        <v>1107</v>
      </c>
      <c r="W282" s="431" t="s">
        <v>3382</v>
      </c>
      <c r="X282" s="431" t="s">
        <v>3389</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4411</v>
      </c>
      <c r="P283" s="554" t="s">
        <v>891</v>
      </c>
      <c r="Q283" s="292"/>
      <c r="R283" s="170"/>
      <c r="S283" s="389"/>
      <c r="T283" s="555" t="s">
        <v>1234</v>
      </c>
      <c r="U283" s="555" t="s">
        <v>1206</v>
      </c>
      <c r="W283" s="431" t="s">
        <v>3383</v>
      </c>
      <c r="X283" s="431" t="s">
        <v>3389</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4412</v>
      </c>
      <c r="P284" s="554" t="s">
        <v>892</v>
      </c>
      <c r="Q284" s="292"/>
      <c r="R284" s="170"/>
      <c r="S284" s="389"/>
      <c r="T284" s="501" t="s">
        <v>1236</v>
      </c>
      <c r="U284" s="501" t="s">
        <v>2183</v>
      </c>
      <c r="W284" s="431" t="s">
        <v>78</v>
      </c>
      <c r="X284" s="431" t="s">
        <v>3389</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4413</v>
      </c>
      <c r="P285" s="554" t="s">
        <v>894</v>
      </c>
      <c r="Q285" s="292"/>
      <c r="R285" s="170"/>
      <c r="S285" s="389"/>
      <c r="T285" s="501" t="s">
        <v>2489</v>
      </c>
      <c r="U285" s="501" t="s">
        <v>1631</v>
      </c>
      <c r="W285" s="431" t="s">
        <v>2413</v>
      </c>
      <c r="X285" s="431" t="s">
        <v>3389</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4414</v>
      </c>
      <c r="P286" s="554" t="s">
        <v>896</v>
      </c>
      <c r="Q286" s="292"/>
      <c r="R286" s="170"/>
      <c r="S286" s="389"/>
      <c r="T286" s="501" t="s">
        <v>161</v>
      </c>
      <c r="U286" s="501" t="s">
        <v>2588</v>
      </c>
      <c r="W286" s="431" t="s">
        <v>613</v>
      </c>
      <c r="X286" s="431" t="s">
        <v>3389</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4415</v>
      </c>
      <c r="P287" s="554" t="s">
        <v>2138</v>
      </c>
      <c r="Q287" s="292"/>
      <c r="R287" s="170"/>
      <c r="S287" s="389"/>
      <c r="T287" s="501" t="s">
        <v>893</v>
      </c>
      <c r="U287" s="501" t="s">
        <v>179</v>
      </c>
      <c r="W287" s="431" t="s">
        <v>967</v>
      </c>
      <c r="X287" s="431" t="s">
        <v>3389</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4416</v>
      </c>
      <c r="P288" s="554" t="s">
        <v>2139</v>
      </c>
      <c r="Q288" s="292"/>
      <c r="R288" s="170"/>
      <c r="S288" s="389"/>
      <c r="T288" s="501" t="s">
        <v>895</v>
      </c>
      <c r="U288" s="501" t="s">
        <v>323</v>
      </c>
      <c r="W288" s="431" t="s">
        <v>1492</v>
      </c>
      <c r="X288" s="431" t="s">
        <v>3389</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4417</v>
      </c>
      <c r="P289" s="554" t="s">
        <v>2055</v>
      </c>
      <c r="Q289" s="292"/>
      <c r="R289" s="170"/>
      <c r="S289" s="389"/>
      <c r="T289" s="555" t="s">
        <v>897</v>
      </c>
      <c r="U289" s="555" t="s">
        <v>1096</v>
      </c>
      <c r="W289" s="431" t="s">
        <v>2337</v>
      </c>
      <c r="X289" s="431" t="s">
        <v>3389</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4418</v>
      </c>
      <c r="P290" s="554" t="s">
        <v>2057</v>
      </c>
      <c r="Q290" s="292"/>
      <c r="R290" s="170"/>
      <c r="S290" s="389"/>
      <c r="T290" s="501" t="s">
        <v>2566</v>
      </c>
      <c r="U290" s="501" t="s">
        <v>2483</v>
      </c>
      <c r="W290" s="431" t="s">
        <v>821</v>
      </c>
      <c r="X290" s="431" t="s">
        <v>3389</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4419</v>
      </c>
      <c r="P291" s="554" t="s">
        <v>597</v>
      </c>
      <c r="Q291" s="292"/>
      <c r="R291" s="170"/>
      <c r="S291" s="389"/>
      <c r="T291" s="501" t="s">
        <v>2140</v>
      </c>
      <c r="U291" s="501" t="s">
        <v>1110</v>
      </c>
      <c r="W291" s="431" t="s">
        <v>824</v>
      </c>
      <c r="X291" s="431" t="s">
        <v>3389</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4420</v>
      </c>
      <c r="P292" s="554" t="s">
        <v>598</v>
      </c>
      <c r="Q292" s="292"/>
      <c r="R292" s="170"/>
      <c r="S292" s="389"/>
      <c r="T292" s="501" t="s">
        <v>2056</v>
      </c>
      <c r="U292" s="501" t="s">
        <v>1666</v>
      </c>
      <c r="W292" s="431" t="s">
        <v>1509</v>
      </c>
      <c r="X292" s="431" t="s">
        <v>3389</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4421</v>
      </c>
      <c r="P293" s="554" t="s">
        <v>600</v>
      </c>
      <c r="Q293" s="292"/>
      <c r="R293" s="170"/>
      <c r="S293" s="389"/>
      <c r="T293" s="501" t="s">
        <v>2058</v>
      </c>
      <c r="U293" s="501" t="s">
        <v>2533</v>
      </c>
      <c r="W293" s="431" t="s">
        <v>483</v>
      </c>
      <c r="X293" s="431" t="s">
        <v>3389</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4422</v>
      </c>
      <c r="P294" s="554" t="s">
        <v>602</v>
      </c>
      <c r="Q294" s="292"/>
      <c r="R294" s="170"/>
      <c r="S294" s="389"/>
      <c r="T294" s="501" t="s">
        <v>826</v>
      </c>
      <c r="U294" s="501" t="s">
        <v>318</v>
      </c>
      <c r="W294" s="431" t="s">
        <v>1393</v>
      </c>
      <c r="X294" s="431" t="s">
        <v>3389</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4423</v>
      </c>
      <c r="P295" s="554" t="s">
        <v>603</v>
      </c>
      <c r="Q295" s="292"/>
      <c r="R295" s="170"/>
      <c r="S295" s="389"/>
      <c r="T295" s="501" t="s">
        <v>599</v>
      </c>
      <c r="U295" s="501" t="s">
        <v>122</v>
      </c>
      <c r="W295" s="431" t="s">
        <v>1395</v>
      </c>
      <c r="X295" s="431" t="s">
        <v>3389</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4424</v>
      </c>
      <c r="P296" s="554" t="s">
        <v>604</v>
      </c>
      <c r="Q296" s="292"/>
      <c r="R296" s="170"/>
      <c r="S296" s="389"/>
      <c r="T296" s="501" t="s">
        <v>2567</v>
      </c>
      <c r="U296" s="501" t="s">
        <v>1327</v>
      </c>
      <c r="W296" s="431" t="s">
        <v>2492</v>
      </c>
      <c r="X296" s="431" t="s">
        <v>3389</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4425</v>
      </c>
      <c r="P297" s="554" t="s">
        <v>606</v>
      </c>
      <c r="Q297" s="292"/>
      <c r="R297" s="170"/>
      <c r="S297" s="389"/>
      <c r="T297" s="501" t="s">
        <v>601</v>
      </c>
      <c r="U297" s="501" t="s">
        <v>2589</v>
      </c>
      <c r="W297" s="431" t="s">
        <v>1057</v>
      </c>
      <c r="X297" s="431" t="s">
        <v>3389</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4426</v>
      </c>
      <c r="P298" s="554" t="s">
        <v>608</v>
      </c>
      <c r="Q298" s="292"/>
      <c r="R298" s="170"/>
      <c r="S298" s="389"/>
      <c r="T298" s="501" t="s">
        <v>2532</v>
      </c>
      <c r="U298" s="501" t="s">
        <v>2591</v>
      </c>
      <c r="W298" s="431" t="s">
        <v>1320</v>
      </c>
      <c r="X298" s="431" t="s">
        <v>3389</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4427</v>
      </c>
      <c r="P299" s="554" t="s">
        <v>547</v>
      </c>
      <c r="Q299" s="292"/>
      <c r="R299" s="170"/>
      <c r="S299" s="389"/>
      <c r="T299" s="501" t="s">
        <v>605</v>
      </c>
      <c r="U299" s="501" t="s">
        <v>2181</v>
      </c>
      <c r="W299" s="431" t="s">
        <v>179</v>
      </c>
      <c r="X299" s="431" t="s">
        <v>3389</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4428</v>
      </c>
      <c r="P300" s="554" t="s">
        <v>1156</v>
      </c>
      <c r="Q300" s="292"/>
      <c r="R300" s="170"/>
      <c r="S300" s="389"/>
      <c r="T300" s="501" t="s">
        <v>2853</v>
      </c>
      <c r="U300" s="501" t="s">
        <v>1101</v>
      </c>
      <c r="W300" s="431" t="s">
        <v>1575</v>
      </c>
      <c r="X300" s="431" t="s">
        <v>3389</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4429</v>
      </c>
      <c r="P301" s="554" t="s">
        <v>747</v>
      </c>
      <c r="Q301" s="292"/>
      <c r="R301" s="170"/>
      <c r="S301" s="389"/>
      <c r="T301" s="501" t="s">
        <v>607</v>
      </c>
      <c r="U301" s="501" t="s">
        <v>1635</v>
      </c>
      <c r="W301" s="431" t="s">
        <v>377</v>
      </c>
      <c r="X301" s="431" t="s">
        <v>3389</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4430</v>
      </c>
      <c r="P302" s="554" t="s">
        <v>36</v>
      </c>
      <c r="Q302" s="292"/>
      <c r="R302" s="170"/>
      <c r="S302" s="389"/>
      <c r="T302" s="501" t="s">
        <v>546</v>
      </c>
      <c r="U302" s="501" t="s">
        <v>659</v>
      </c>
      <c r="W302" s="431" t="s">
        <v>379</v>
      </c>
      <c r="X302" s="431" t="s">
        <v>3389</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4431</v>
      </c>
      <c r="P303" s="554" t="s">
        <v>1964</v>
      </c>
      <c r="Q303" s="292"/>
      <c r="R303" s="170"/>
      <c r="S303" s="389"/>
      <c r="T303" s="501" t="s">
        <v>548</v>
      </c>
      <c r="U303" s="501" t="s">
        <v>160</v>
      </c>
      <c r="W303" s="431" t="s">
        <v>1607</v>
      </c>
      <c r="X303" s="431" t="s">
        <v>3389</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4432</v>
      </c>
      <c r="P304" s="554" t="s">
        <v>1966</v>
      </c>
      <c r="Q304" s="292"/>
      <c r="R304" s="170"/>
      <c r="S304" s="389"/>
      <c r="T304" s="501" t="s">
        <v>746</v>
      </c>
      <c r="U304" s="501" t="s">
        <v>1107</v>
      </c>
      <c r="W304" s="431" t="s">
        <v>1088</v>
      </c>
      <c r="X304" s="431" t="s">
        <v>3389</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4433</v>
      </c>
      <c r="P305" s="554" t="s">
        <v>334</v>
      </c>
      <c r="Q305" s="292"/>
      <c r="R305" s="170"/>
      <c r="S305" s="389"/>
      <c r="T305" s="501" t="s">
        <v>748</v>
      </c>
      <c r="U305" s="501" t="s">
        <v>121</v>
      </c>
      <c r="W305" s="431" t="s">
        <v>3384</v>
      </c>
      <c r="X305" s="431" t="s">
        <v>3389</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4434</v>
      </c>
      <c r="P306" s="554" t="s">
        <v>336</v>
      </c>
      <c r="Q306" s="292"/>
      <c r="R306" s="170"/>
      <c r="S306" s="389"/>
      <c r="T306" s="501" t="s">
        <v>37</v>
      </c>
      <c r="U306" s="501" t="s">
        <v>176</v>
      </c>
      <c r="W306" s="431" t="s">
        <v>3385</v>
      </c>
      <c r="X306" s="431" t="s">
        <v>3389</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4435</v>
      </c>
      <c r="P307" s="554" t="s">
        <v>338</v>
      </c>
      <c r="Q307" s="292"/>
      <c r="R307" s="170"/>
      <c r="S307" s="389"/>
      <c r="T307" s="501" t="s">
        <v>1965</v>
      </c>
      <c r="U307" s="501" t="s">
        <v>2244</v>
      </c>
      <c r="W307" s="431" t="s">
        <v>521</v>
      </c>
      <c r="X307" s="431" t="s">
        <v>3389</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4436</v>
      </c>
      <c r="P308" s="554" t="s">
        <v>340</v>
      </c>
      <c r="Q308" s="292"/>
      <c r="R308" s="170"/>
      <c r="S308" s="389"/>
      <c r="T308" s="501" t="s">
        <v>1967</v>
      </c>
      <c r="U308" s="501" t="s">
        <v>2592</v>
      </c>
      <c r="W308" s="431" t="s">
        <v>523</v>
      </c>
      <c r="X308" s="431" t="s">
        <v>3389</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4437</v>
      </c>
      <c r="P309" s="554" t="s">
        <v>342</v>
      </c>
      <c r="Q309" s="292"/>
      <c r="R309" s="170"/>
      <c r="S309" s="389"/>
      <c r="T309" s="501" t="s">
        <v>335</v>
      </c>
      <c r="U309" s="501" t="s">
        <v>1950</v>
      </c>
      <c r="W309" s="431" t="s">
        <v>529</v>
      </c>
      <c r="X309" s="431" t="s">
        <v>3389</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4438</v>
      </c>
      <c r="P310" s="554" t="s">
        <v>344</v>
      </c>
      <c r="Q310" s="292"/>
      <c r="R310" s="170"/>
      <c r="S310" s="389"/>
      <c r="T310" s="501" t="s">
        <v>337</v>
      </c>
      <c r="U310" s="501" t="s">
        <v>874</v>
      </c>
      <c r="W310" s="431" t="s">
        <v>542</v>
      </c>
      <c r="X310" s="431" t="s">
        <v>3389</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4439</v>
      </c>
      <c r="P311" s="554" t="s">
        <v>1940</v>
      </c>
      <c r="Q311" s="292"/>
      <c r="R311" s="170"/>
      <c r="S311" s="389"/>
      <c r="T311" s="501" t="s">
        <v>339</v>
      </c>
      <c r="U311" s="501" t="s">
        <v>179</v>
      </c>
      <c r="W311" s="431" t="s">
        <v>1635</v>
      </c>
      <c r="X311" s="431" t="s">
        <v>3389</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4440</v>
      </c>
      <c r="P312" s="554" t="s">
        <v>1942</v>
      </c>
      <c r="Q312" s="292"/>
      <c r="R312" s="170"/>
      <c r="S312" s="389"/>
      <c r="T312" s="501" t="s">
        <v>341</v>
      </c>
      <c r="U312" s="501" t="s">
        <v>2399</v>
      </c>
      <c r="W312" s="431" t="s">
        <v>2095</v>
      </c>
      <c r="X312" s="431" t="s">
        <v>3389</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4441</v>
      </c>
      <c r="P313" s="554" t="s">
        <v>2154</v>
      </c>
      <c r="Q313" s="292"/>
      <c r="R313" s="170"/>
      <c r="S313" s="389"/>
      <c r="T313" s="555" t="s">
        <v>343</v>
      </c>
      <c r="U313" s="555" t="s">
        <v>1877</v>
      </c>
      <c r="W313" s="431" t="s">
        <v>3386</v>
      </c>
      <c r="X313" s="431" t="s">
        <v>3389</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4442</v>
      </c>
      <c r="P314" s="554" t="s">
        <v>153</v>
      </c>
      <c r="Q314" s="292"/>
      <c r="R314" s="170"/>
      <c r="S314" s="389"/>
      <c r="T314" s="501" t="s">
        <v>345</v>
      </c>
      <c r="U314" s="501" t="s">
        <v>175</v>
      </c>
      <c r="W314" s="431" t="s">
        <v>2248</v>
      </c>
      <c r="X314" s="431" t="s">
        <v>3389</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4443</v>
      </c>
      <c r="P315" s="554" t="s">
        <v>154</v>
      </c>
      <c r="Q315" s="292"/>
      <c r="R315" s="170"/>
      <c r="S315" s="389"/>
      <c r="T315" s="501" t="s">
        <v>1941</v>
      </c>
      <c r="U315" s="501" t="s">
        <v>106</v>
      </c>
      <c r="W315" s="431" t="s">
        <v>398</v>
      </c>
      <c r="X315" s="431" t="s">
        <v>3389</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4444</v>
      </c>
      <c r="P316" s="554" t="s">
        <v>1580</v>
      </c>
      <c r="Q316" s="292"/>
      <c r="R316" s="170"/>
      <c r="S316" s="389"/>
      <c r="T316" s="501" t="s">
        <v>195</v>
      </c>
      <c r="U316" s="501" t="s">
        <v>1665</v>
      </c>
      <c r="W316" s="431" t="s">
        <v>1840</v>
      </c>
      <c r="X316" s="431" t="s">
        <v>3389</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4445</v>
      </c>
      <c r="P317" s="554" t="s">
        <v>790</v>
      </c>
      <c r="Q317" s="292"/>
      <c r="R317" s="170"/>
      <c r="S317" s="389"/>
      <c r="T317" s="501" t="s">
        <v>2155</v>
      </c>
      <c r="U317" s="501" t="s">
        <v>195</v>
      </c>
      <c r="W317" s="431" t="s">
        <v>2272</v>
      </c>
      <c r="X317" s="431" t="s">
        <v>3389</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4736</v>
      </c>
      <c r="U350" s="555" t="s">
        <v>664</v>
      </c>
      <c r="W350" s="431" t="s">
        <v>1155</v>
      </c>
      <c r="X350" s="431" t="s">
        <v>3389</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1"/>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3389</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4056</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4737</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4738</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PEbRV2pEUgTOmUkpGtA/4uKq2lxMeJHR7hVEu+D55+8IQ7GPmwMGIWctXj+HHVy5hvStUkus07XrzWA1RR/7bA==" saltValue="Wz7MGmQtabDDEtK1z9T0yQ=="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S2102"/>
  <sheetViews>
    <sheetView showGridLines="0" zoomScaleNormal="100" workbookViewId="0">
      <selection sqref="A1:XFD1048576"/>
    </sheetView>
  </sheetViews>
  <sheetFormatPr defaultColWidth="9.33203125" defaultRowHeight="13.2"/>
  <cols>
    <col min="1" max="1" width="9.44140625" style="638" bestFit="1" customWidth="1"/>
    <col min="2" max="2" width="10.6640625" style="638" bestFit="1" customWidth="1"/>
    <col min="3" max="7" width="9.5546875" style="638" bestFit="1" customWidth="1"/>
    <col min="8" max="8" width="12.44140625" style="638" bestFit="1" customWidth="1"/>
    <col min="9" max="9" width="14.44140625" style="638" bestFit="1" customWidth="1"/>
    <col min="10" max="10" width="12.44140625" style="638" bestFit="1" customWidth="1"/>
    <col min="11" max="15" width="12.6640625" style="638" bestFit="1" customWidth="1"/>
    <col min="16" max="16" width="18.6640625" style="638" customWidth="1"/>
    <col min="17" max="17" width="11.6640625" style="638" bestFit="1" customWidth="1"/>
    <col min="18" max="357" width="9.44140625" style="638" bestFit="1" customWidth="1"/>
    <col min="358" max="16384" width="9.33203125" style="638"/>
  </cols>
  <sheetData>
    <row r="1" spans="1:1" ht="15.6">
      <c r="A1" s="2321" t="s">
        <v>979</v>
      </c>
    </row>
    <row r="2" spans="1:1" ht="13.8">
      <c r="A2" s="1327" t="str">
        <f>'Part I-Project Information'!F34</f>
        <v>Dulles Park II</v>
      </c>
    </row>
    <row r="3" spans="1:1" ht="13.8">
      <c r="A3" s="1327" t="str">
        <f>CONCATENATE('Part I-Project Information'!F38,", ", 'Part I-Project Information'!J39," County")</f>
        <v>Gray, Jones County</v>
      </c>
    </row>
    <row r="5" spans="1:1" ht="12.75" customHeight="1">
      <c r="A5" s="1365" t="str">
        <f>'Project Narrative'!$A$5</f>
        <v>Magita Inc is proposing to develop a 48 unit senior complex in Gray, Ga to be named Dulles Park II.  The site is located adjacent to the original Dulles Park, which was developed by related parties some 15 years ago, and will make use of existing city utilities.  In spite of the fact that the original Dulles Park has some age on it, it remains a very desirable property, and well liked in the local community.
Like the original, Dulles Park II is designed to meet the needs of people fifty-five years or older in this area.
The development consists of 8 one bedroom and 40 two bedroom units restricted to a resident base for households making at or below 50% and 60% of AMI.  An access easement was obtained from Dulles Park.  Additionally, there is an alternate entrance to the property as well, which is located at 226 Old Clinton Road and all desirable activities were measured from this entry point.
Dulles Park II is partnering with the Jones County Health Department to offer preventative health screenings and education through a Memorandum of Understanding in order to remove barriers for our senior tenants and improve health outcomes and help them remain independent for as long as possible.
In addition, Dulles Park II ‘s management company will promote a healthy eating and lifestyle initiative through monthly newsletters, a well-maintained Community Garden and special programs to include education.</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4454</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2364</v>
      </c>
      <c r="C28" s="1330"/>
      <c r="D28" s="1330"/>
      <c r="E28" s="1330"/>
      <c r="F28" s="1334"/>
      <c r="G28" s="1332" t="s">
        <v>5284</v>
      </c>
      <c r="H28" s="1330"/>
      <c r="I28" s="1330"/>
      <c r="J28" s="1330"/>
      <c r="K28" s="1330"/>
      <c r="L28" s="1334"/>
      <c r="M28" s="1330"/>
      <c r="N28" s="1330"/>
      <c r="O28" s="1330"/>
      <c r="P28" s="1340" t="s">
        <v>3865</v>
      </c>
    </row>
    <row r="29" spans="1:16" ht="14.25" customHeight="1">
      <c r="A29" s="1330"/>
      <c r="B29" s="2322" t="str">
        <f>'Part I-Project Information'!B6</f>
        <v>May 2019</v>
      </c>
      <c r="C29" s="2322">
        <f>'Part I-Project Information'!C6</f>
        <v>0</v>
      </c>
      <c r="D29" s="2322">
        <f>'Part I-Project Information'!D6</f>
        <v>0</v>
      </c>
      <c r="E29" s="1319"/>
      <c r="F29" s="1334"/>
      <c r="G29" s="1332" t="s">
        <v>5285</v>
      </c>
      <c r="H29" s="1334"/>
      <c r="I29" s="1334"/>
      <c r="J29" s="1334"/>
      <c r="K29" s="1330"/>
      <c r="L29" s="1330"/>
      <c r="M29" s="1330"/>
      <c r="N29" s="1330"/>
      <c r="O29" s="1330" t="str">
        <f>'Part I-Project Information'!$O$6</f>
        <v>2019-060</v>
      </c>
      <c r="P29" s="1330"/>
    </row>
    <row r="30" spans="1:16" ht="12.75" customHeight="1">
      <c r="A30" s="1330"/>
      <c r="B30" s="2322">
        <f>'Part I-Project Information'!B7</f>
        <v>0</v>
      </c>
      <c r="C30" s="2322">
        <f>'Part I-Project Information'!C7</f>
        <v>0</v>
      </c>
      <c r="D30" s="2322">
        <f>'Part I-Project Information'!D7</f>
        <v>0</v>
      </c>
      <c r="E30" s="1319"/>
      <c r="F30" s="1330"/>
      <c r="G30" s="1335" t="s">
        <v>3318</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616</v>
      </c>
      <c r="B32" s="1330" t="s">
        <v>2375</v>
      </c>
      <c r="C32" s="1330"/>
      <c r="D32" s="1336"/>
      <c r="E32" s="1334"/>
      <c r="F32" s="1337" t="s">
        <v>3793</v>
      </c>
      <c r="G32" s="1330"/>
      <c r="H32" s="1330"/>
      <c r="I32" s="1338">
        <f>'Part I-Project Information'!I9</f>
        <v>741000</v>
      </c>
      <c r="J32" s="1338">
        <f>'Part I-Project Information'!J9</f>
        <v>0</v>
      </c>
      <c r="K32" s="1330"/>
      <c r="L32" s="1330" t="s">
        <v>3794</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2040</v>
      </c>
      <c r="C34" s="1330"/>
      <c r="D34" s="1330"/>
      <c r="E34" s="1330"/>
      <c r="F34" s="1393" t="str">
        <f>'Part I-Project Information'!$F$11</f>
        <v>9% Credit Competitive Round only</v>
      </c>
      <c r="G34" s="1393"/>
      <c r="H34" s="1393"/>
      <c r="I34" s="2323" t="s">
        <v>3712</v>
      </c>
      <c r="J34" s="1330" t="s">
        <v>5286</v>
      </c>
      <c r="K34" s="1330"/>
      <c r="L34" s="1334"/>
      <c r="M34" s="1330"/>
      <c r="N34" s="1330"/>
      <c r="O34" s="1330" t="str">
        <f>'Part I-Project Information'!$O$11</f>
        <v>PA19-001</v>
      </c>
      <c r="P34" s="1330"/>
    </row>
    <row r="35" spans="1:16" ht="13.8">
      <c r="A35" s="1334"/>
      <c r="B35" s="1348"/>
      <c r="C35" s="1348"/>
      <c r="D35" s="1348"/>
      <c r="E35" s="1348"/>
      <c r="F35" s="1330"/>
      <c r="G35" s="1330"/>
      <c r="H35" s="1334"/>
      <c r="I35" s="1330"/>
      <c r="J35" s="1332" t="s">
        <v>5084</v>
      </c>
      <c r="K35" s="1337"/>
      <c r="L35" s="1330"/>
      <c r="M35" s="1334"/>
      <c r="N35" s="1330"/>
      <c r="O35" s="1330" t="str">
        <f>'Part I-Project Information'!$O$12</f>
        <v>Yes - see Comment</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5044</v>
      </c>
      <c r="C37" s="1348"/>
      <c r="D37" s="1348"/>
      <c r="E37" s="1348"/>
      <c r="F37" s="1412" t="str">
        <f>'Part I-Project Information'!F14</f>
        <v>No</v>
      </c>
      <c r="G37" s="1337" t="s">
        <v>5045</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3866</v>
      </c>
      <c r="C38" s="1330"/>
      <c r="D38" s="1330"/>
      <c r="E38" s="1330"/>
      <c r="F38" s="1706" t="str">
        <f>'Part I-Project Information'!F15</f>
        <v>No</v>
      </c>
      <c r="G38" s="1706">
        <f>'Part I-Project Information'!G15</f>
        <v>0</v>
      </c>
      <c r="H38" s="1706">
        <f>'Part I-Project Information'!H15</f>
        <v>0</v>
      </c>
      <c r="I38" s="1706">
        <f>'Part I-Project Information'!I15</f>
        <v>0</v>
      </c>
      <c r="J38" s="1706">
        <f>'Part I-Project Information'!J15</f>
        <v>0</v>
      </c>
      <c r="K38" s="1706">
        <f>'Part I-Project Information'!K15</f>
        <v>0</v>
      </c>
      <c r="L38" s="1330" t="s">
        <v>5031</v>
      </c>
      <c r="M38" s="1330"/>
      <c r="N38" s="1330"/>
      <c r="O38" s="1330">
        <f>'Part I-Project Information'!O15</f>
        <v>0</v>
      </c>
      <c r="P38" s="1330">
        <f>'Part I-Project Information'!P15</f>
        <v>0</v>
      </c>
    </row>
    <row r="39" spans="1:16" ht="13.8">
      <c r="A39" s="1334"/>
      <c r="B39" s="1330" t="s">
        <v>3792</v>
      </c>
      <c r="C39" s="1330"/>
      <c r="D39" s="1330"/>
      <c r="E39" s="1330"/>
      <c r="F39" s="1412">
        <f>'Part I-Project Information'!F16</f>
        <v>0</v>
      </c>
      <c r="G39" s="1330" t="s">
        <v>5032</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4474</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3875</v>
      </c>
      <c r="C43" s="1330"/>
      <c r="D43" s="1330"/>
      <c r="E43" s="1330"/>
      <c r="F43" s="1330" t="str">
        <f>'Part I-Project Information'!F20</f>
        <v>Magita, Inc</v>
      </c>
      <c r="G43" s="1330">
        <f>'Part I-Project Information'!G20</f>
        <v>0</v>
      </c>
      <c r="H43" s="1330">
        <f>'Part I-Project Information'!H20</f>
        <v>0</v>
      </c>
      <c r="I43" s="1330" t="s">
        <v>1797</v>
      </c>
      <c r="J43" s="1330" t="str">
        <f>'Part I-Project Information'!J20</f>
        <v>Roya Collins</v>
      </c>
      <c r="K43" s="1330">
        <f>'Part I-Project Information'!K20</f>
        <v>0</v>
      </c>
      <c r="L43" s="1330">
        <f>'Part I-Project Information'!L20</f>
        <v>0</v>
      </c>
      <c r="M43" s="1337" t="s">
        <v>1980</v>
      </c>
      <c r="N43" s="1330" t="str">
        <f>'Part I-Project Information'!N20</f>
        <v>President</v>
      </c>
      <c r="O43" s="1330">
        <f>'Part I-Project Information'!O20</f>
        <v>0</v>
      </c>
      <c r="P43" s="1330">
        <f>'Part I-Project Information'!P20</f>
        <v>0</v>
      </c>
    </row>
    <row r="44" spans="1:16" ht="12.75" customHeight="1">
      <c r="A44" s="1330"/>
      <c r="B44" s="1337" t="s">
        <v>1981</v>
      </c>
      <c r="C44" s="1330"/>
      <c r="D44" s="1330"/>
      <c r="E44" s="1330"/>
      <c r="F44" s="1330" t="str">
        <f>'Part I-Project Information'!F21</f>
        <v>1820 The Exchange SE #350</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3874</v>
      </c>
      <c r="N44" s="1342"/>
      <c r="O44" s="1342"/>
      <c r="P44" s="1342"/>
    </row>
    <row r="45" spans="1:16" ht="12.75" customHeight="1">
      <c r="A45" s="1330"/>
      <c r="B45" s="1337" t="s">
        <v>618</v>
      </c>
      <c r="C45" s="1330"/>
      <c r="D45" s="1330"/>
      <c r="E45" s="1330"/>
      <c r="F45" s="1330" t="str">
        <f>'Part I-Project Information'!F22</f>
        <v>Atlanta</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ht="13.8">
      <c r="A46" s="1330"/>
      <c r="B46" s="1337" t="s">
        <v>2229</v>
      </c>
      <c r="C46" s="1330"/>
      <c r="D46" s="1330"/>
      <c r="E46" s="1330"/>
      <c r="F46" s="1798">
        <f>'Part I-Project Information'!F23</f>
        <v>303392063</v>
      </c>
      <c r="G46" s="1798">
        <f>'Part I-Project Information'!G23</f>
        <v>0</v>
      </c>
      <c r="H46" s="1798">
        <f>'Part I-Project Information'!H23</f>
        <v>0</v>
      </c>
      <c r="I46" s="1337" t="s">
        <v>1720</v>
      </c>
      <c r="J46" s="1799">
        <f>'Part I-Project Information'!J23</f>
        <v>4043344590</v>
      </c>
      <c r="K46" s="1799">
        <f>'Part I-Project Information'!K23</f>
        <v>0</v>
      </c>
      <c r="L46" s="1334" t="s">
        <v>1719</v>
      </c>
      <c r="M46" s="1334">
        <f>'Part I-Project Information'!M23</f>
        <v>0</v>
      </c>
      <c r="N46" s="1337" t="s">
        <v>1721</v>
      </c>
      <c r="O46" s="1799">
        <f>'Part I-Project Information'!O23</f>
        <v>4043344590</v>
      </c>
      <c r="P46" s="1799">
        <f>'Part I-Project Information'!P23</f>
        <v>0</v>
      </c>
    </row>
    <row r="47" spans="1:16" ht="13.8">
      <c r="A47" s="1330"/>
      <c r="B47" s="1337" t="s">
        <v>1984</v>
      </c>
      <c r="C47" s="1330"/>
      <c r="D47" s="1330"/>
      <c r="E47" s="1330"/>
      <c r="F47" s="1330" t="str">
        <f>'Part I-Project Information'!F24</f>
        <v>magitaenterprise@bellsouth.net</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7703630414</v>
      </c>
      <c r="P47" s="1799">
        <f>'Part I-Project Information'!P24</f>
        <v>0</v>
      </c>
    </row>
    <row r="48" spans="1:16" ht="13.8">
      <c r="A48" s="1334"/>
      <c r="B48" s="1330" t="s">
        <v>4473</v>
      </c>
      <c r="C48" s="1336"/>
      <c r="D48" s="1330"/>
      <c r="E48" s="1330"/>
      <c r="F48" s="1330"/>
      <c r="G48" s="1330"/>
      <c r="H48" s="1334"/>
      <c r="I48" s="1330"/>
      <c r="J48" s="1336"/>
      <c r="K48" s="1330"/>
      <c r="L48" s="1330"/>
      <c r="M48" s="1330"/>
      <c r="N48" s="1330"/>
      <c r="O48" s="1330"/>
      <c r="P48" s="1343"/>
    </row>
    <row r="49" spans="1:16" ht="13.8">
      <c r="A49" s="1330"/>
      <c r="B49" s="1330" t="s">
        <v>3875</v>
      </c>
      <c r="C49" s="1330"/>
      <c r="D49" s="1330"/>
      <c r="E49" s="1330"/>
      <c r="F49" s="1330">
        <f>'Part I-Project Information'!F26</f>
        <v>0</v>
      </c>
      <c r="G49" s="1330">
        <f>'Part I-Project Information'!G26</f>
        <v>0</v>
      </c>
      <c r="H49" s="1330">
        <f>'Part I-Project Information'!H26</f>
        <v>0</v>
      </c>
      <c r="I49" s="1330" t="s">
        <v>1797</v>
      </c>
      <c r="J49" s="1330">
        <f>'Part I-Project Information'!J26</f>
        <v>0</v>
      </c>
      <c r="K49" s="1330">
        <f>'Part I-Project Information'!K26</f>
        <v>0</v>
      </c>
      <c r="L49" s="1330">
        <f>'Part I-Project Information'!L26</f>
        <v>0</v>
      </c>
      <c r="M49" s="1337" t="s">
        <v>1980</v>
      </c>
      <c r="N49" s="1330">
        <f>'Part I-Project Information'!N26</f>
        <v>0</v>
      </c>
      <c r="O49" s="1330">
        <f>'Part I-Project Information'!O26</f>
        <v>0</v>
      </c>
      <c r="P49" s="1330">
        <f>'Part I-Project Information'!P26</f>
        <v>0</v>
      </c>
    </row>
    <row r="50" spans="1:16" ht="12.75" customHeight="1">
      <c r="A50" s="1330"/>
      <c r="B50" s="1337" t="s">
        <v>1981</v>
      </c>
      <c r="C50" s="1330"/>
      <c r="D50" s="1330"/>
      <c r="E50" s="1330"/>
      <c r="F50" s="1330">
        <f>'Part I-Project Information'!F27</f>
        <v>0</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3874</v>
      </c>
      <c r="N50" s="1342"/>
      <c r="O50" s="1342"/>
      <c r="P50" s="1342"/>
    </row>
    <row r="51" spans="1:16" ht="12.75" customHeight="1">
      <c r="A51" s="1330"/>
      <c r="B51" s="1337" t="s">
        <v>618</v>
      </c>
      <c r="C51" s="1330"/>
      <c r="D51" s="1330"/>
      <c r="E51" s="1330"/>
      <c r="F51" s="1330">
        <f>'Part I-Project Information'!F28</f>
        <v>0</v>
      </c>
      <c r="G51" s="1330">
        <f>'Part I-Project Information'!G28</f>
        <v>0</v>
      </c>
      <c r="H51" s="1330">
        <f>'Part I-Project Information'!H28</f>
        <v>0</v>
      </c>
      <c r="I51" s="1337" t="s">
        <v>1799</v>
      </c>
      <c r="J51" s="1363">
        <f>'Part I-Project Information'!J28</f>
        <v>0</v>
      </c>
      <c r="K51" s="1330"/>
      <c r="L51" s="1330"/>
      <c r="M51" s="1342"/>
      <c r="N51" s="1342"/>
      <c r="O51" s="1342"/>
      <c r="P51" s="1342"/>
    </row>
    <row r="52" spans="1:16" ht="13.8">
      <c r="A52" s="1330"/>
      <c r="B52" s="1337" t="s">
        <v>2229</v>
      </c>
      <c r="C52" s="1330"/>
      <c r="D52" s="1330"/>
      <c r="E52" s="1330"/>
      <c r="F52" s="1798">
        <f>'Part I-Project Information'!F29</f>
        <v>0</v>
      </c>
      <c r="G52" s="1798">
        <f>'Part I-Project Information'!G29</f>
        <v>0</v>
      </c>
      <c r="H52" s="1798">
        <f>'Part I-Project Information'!H29</f>
        <v>0</v>
      </c>
      <c r="I52" s="1337" t="s">
        <v>1720</v>
      </c>
      <c r="J52" s="1799">
        <f>'Part I-Project Information'!J29</f>
        <v>0</v>
      </c>
      <c r="K52" s="1799">
        <f>'Part I-Project Information'!K29</f>
        <v>0</v>
      </c>
      <c r="L52" s="1334" t="s">
        <v>1719</v>
      </c>
      <c r="M52" s="1334">
        <f>'Part I-Project Information'!M29</f>
        <v>0</v>
      </c>
      <c r="N52" s="1337" t="s">
        <v>1721</v>
      </c>
      <c r="O52" s="1799">
        <f>'Part I-Project Information'!O29</f>
        <v>0</v>
      </c>
      <c r="P52" s="1799">
        <f>'Part I-Project Information'!P29</f>
        <v>0</v>
      </c>
    </row>
    <row r="53" spans="1:16" ht="13.8">
      <c r="A53" s="1330"/>
      <c r="B53" s="1337" t="s">
        <v>1984</v>
      </c>
      <c r="C53" s="1330"/>
      <c r="D53" s="1330"/>
      <c r="E53" s="1330"/>
      <c r="F53" s="1330">
        <f>'Part I-Project Information'!F30</f>
        <v>0</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0</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Dulles Park II</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ht="13.8">
      <c r="A58" s="1340"/>
      <c r="B58" s="1330" t="s">
        <v>2699</v>
      </c>
      <c r="C58" s="1330"/>
      <c r="D58" s="1340"/>
      <c r="E58" s="1330"/>
      <c r="F58" s="1706" t="str">
        <f>'Part I-Project Information'!F35</f>
        <v>226 Old Clinton Road</v>
      </c>
      <c r="G58" s="1706">
        <f>'Part I-Project Information'!G35</f>
        <v>0</v>
      </c>
      <c r="H58" s="1706">
        <f>'Part I-Project Information'!H35</f>
        <v>0</v>
      </c>
      <c r="I58" s="1706">
        <f>'Part I-Project Information'!I35</f>
        <v>0</v>
      </c>
      <c r="J58" s="1706">
        <f>'Part I-Project Information'!J35</f>
        <v>0</v>
      </c>
      <c r="K58" s="1706">
        <f>'Part I-Project Information'!K35</f>
        <v>0</v>
      </c>
      <c r="L58" s="1330" t="s">
        <v>3680</v>
      </c>
      <c r="M58" s="1330"/>
      <c r="N58" s="1330"/>
      <c r="O58" s="1330">
        <f>'Part I-Project Information'!O35</f>
        <v>0</v>
      </c>
      <c r="P58" s="1330">
        <f>'Part I-Project Information'!P35</f>
        <v>0</v>
      </c>
    </row>
    <row r="59" spans="1:16" ht="13.8">
      <c r="A59" s="1340"/>
      <c r="B59" s="1330" t="s">
        <v>5085</v>
      </c>
      <c r="C59" s="1330"/>
      <c r="D59" s="1340"/>
      <c r="E59" s="1330"/>
      <c r="F59" s="1706" t="str">
        <f>'Part I-Project Information'!F36</f>
        <v>226 Old Clinton Road</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3679</v>
      </c>
      <c r="P59" s="1334">
        <f>'Part I-Project Information'!P36</f>
        <v>0</v>
      </c>
    </row>
    <row r="60" spans="1:16" ht="13.8">
      <c r="A60" s="1340"/>
      <c r="B60" s="1330" t="s">
        <v>3733</v>
      </c>
      <c r="C60" s="1330"/>
      <c r="D60" s="1340"/>
      <c r="E60" s="1330"/>
      <c r="F60" s="1330" t="s">
        <v>3714</v>
      </c>
      <c r="G60" s="1800">
        <f>'Part I-Project Information'!G37</f>
        <v>33.00714</v>
      </c>
      <c r="H60" s="1800">
        <f>'Part I-Project Information'!H37</f>
        <v>0</v>
      </c>
      <c r="I60" s="1334" t="s">
        <v>3715</v>
      </c>
      <c r="J60" s="1800">
        <f>'Part I-Project Information'!J37</f>
        <v>-83.544801000000007</v>
      </c>
      <c r="K60" s="1800">
        <f>'Part I-Project Information'!K37</f>
        <v>0</v>
      </c>
      <c r="L60" s="1337" t="s">
        <v>2283</v>
      </c>
      <c r="M60" s="1330"/>
      <c r="N60" s="1330"/>
      <c r="O60" s="1801">
        <f>'Part I-Project Information'!O37</f>
        <v>24.58</v>
      </c>
      <c r="P60" s="1801">
        <f>'Part I-Project Information'!P37</f>
        <v>0</v>
      </c>
    </row>
    <row r="61" spans="1:16" ht="14.4">
      <c r="A61" s="1334"/>
      <c r="B61" s="1330" t="s">
        <v>618</v>
      </c>
      <c r="C61" s="1330"/>
      <c r="D61" s="1330"/>
      <c r="E61" s="1330"/>
      <c r="F61" s="1330" t="str">
        <f>'Part I-Project Information'!F38</f>
        <v>Gray</v>
      </c>
      <c r="G61" s="1330">
        <f>'Part I-Project Information'!G38</f>
        <v>0</v>
      </c>
      <c r="H61" s="1330">
        <f>'Part I-Project Information'!H38</f>
        <v>0</v>
      </c>
      <c r="I61" s="1344" t="s">
        <v>5287</v>
      </c>
      <c r="J61" s="1798">
        <f>'Part I-Project Information'!J38</f>
        <v>310325400</v>
      </c>
      <c r="K61" s="1798">
        <f>'Part I-Project Information'!K38</f>
        <v>0</v>
      </c>
      <c r="L61" s="1330" t="str">
        <f>IF(AND(NOT(F57=""),NOT(F61="Select from list"),J61=""),"Enter Zip!","")</f>
        <v/>
      </c>
      <c r="M61" s="1345" t="s">
        <v>2906</v>
      </c>
      <c r="N61" s="1330"/>
      <c r="O61" s="1802" t="str">
        <f>'Part I-Project Information'!O38</f>
        <v>13169030301</v>
      </c>
      <c r="P61" s="1803">
        <f>'Part I-Project Information'!P38</f>
        <v>0</v>
      </c>
    </row>
    <row r="62" spans="1:16" ht="13.8">
      <c r="A62" s="1334"/>
      <c r="B62" s="1330" t="s">
        <v>3568</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Jones</v>
      </c>
      <c r="K62" s="1706"/>
      <c r="L62" s="1330"/>
      <c r="M62" s="1337" t="s">
        <v>451</v>
      </c>
      <c r="N62" s="1347" t="str">
        <f>'Part I-Project Information'!N39</f>
        <v>No</v>
      </c>
      <c r="O62" s="1334" t="s">
        <v>452</v>
      </c>
      <c r="P62" s="1347" t="str">
        <f>'Part I-Project Information'!P39</f>
        <v>No</v>
      </c>
    </row>
    <row r="63" spans="1:16" ht="13.8">
      <c r="A63" s="1334"/>
      <c r="B63" s="1330"/>
      <c r="C63" s="1330" t="s">
        <v>1558</v>
      </c>
      <c r="D63" s="1330"/>
      <c r="E63" s="1330"/>
      <c r="F63" s="1337" t="str">
        <f>'Part I-Project Information'!F40</f>
        <v>Yes</v>
      </c>
      <c r="G63" s="1330" t="s">
        <v>2781</v>
      </c>
      <c r="H63" s="1330"/>
      <c r="I63" s="1334" t="str">
        <f>'Part I-Project Information'!I40</f>
        <v>Yes</v>
      </c>
      <c r="J63" s="1334" t="s">
        <v>2801</v>
      </c>
      <c r="K63" s="1334" t="str">
        <f>'Part I-Project Information'!K40</f>
        <v>Rural</v>
      </c>
      <c r="L63" s="1330"/>
      <c r="M63" s="1337" t="s">
        <v>2611</v>
      </c>
      <c r="N63" s="1334" t="str">
        <f>'Part I-Project Information'!N40</f>
        <v>MSA</v>
      </c>
      <c r="O63" s="1330" t="str">
        <f>'Part I-Project Information'!O40</f>
        <v>Macon</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5288</v>
      </c>
      <c r="D65" s="1330"/>
      <c r="E65" s="1330"/>
      <c r="F65" s="1348" t="s">
        <v>2762</v>
      </c>
      <c r="G65" s="1348"/>
      <c r="H65" s="1330" t="s">
        <v>736</v>
      </c>
      <c r="I65" s="1330"/>
      <c r="J65" s="1330" t="s">
        <v>737</v>
      </c>
      <c r="K65" s="1330"/>
      <c r="L65" s="1470" t="s">
        <v>5289</v>
      </c>
      <c r="M65" s="1330"/>
      <c r="N65" s="1330"/>
      <c r="O65" s="1330"/>
      <c r="P65" s="1330"/>
    </row>
    <row r="66" spans="1:16" ht="13.8">
      <c r="A66" s="1334"/>
      <c r="B66" s="1330" t="s">
        <v>5086</v>
      </c>
      <c r="C66" s="1330"/>
      <c r="D66" s="1330"/>
      <c r="E66" s="1330"/>
      <c r="F66" s="1804">
        <f>'Part I-Project Information'!F43</f>
        <v>8</v>
      </c>
      <c r="G66" s="1804">
        <f>'Part I-Project Information'!G43</f>
        <v>0</v>
      </c>
      <c r="H66" s="1804">
        <f>'Part I-Project Information'!H43</f>
        <v>26</v>
      </c>
      <c r="I66" s="1804">
        <f>'Part I-Project Information'!I43</f>
        <v>0</v>
      </c>
      <c r="J66" s="1804">
        <f>'Part I-Project Information'!J43</f>
        <v>129</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Gray</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grayga.us</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Ed Barbee</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ht="13.8">
      <c r="A71" s="1334"/>
      <c r="B71" s="1330" t="s">
        <v>1981</v>
      </c>
      <c r="C71" s="1330"/>
      <c r="D71" s="1330"/>
      <c r="E71" s="1330"/>
      <c r="F71" s="1462" t="str">
        <f>'Part I-Project Information'!F48</f>
        <v>109 James Street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Gray</v>
      </c>
      <c r="N71" s="1462">
        <f>'Part I-Project Information'!N48</f>
        <v>0</v>
      </c>
      <c r="O71" s="1462">
        <f>'Part I-Project Information'!O48</f>
        <v>0</v>
      </c>
      <c r="P71" s="1462">
        <f>'Part I-Project Information'!P48</f>
        <v>0</v>
      </c>
    </row>
    <row r="72" spans="1:16" ht="13.8">
      <c r="A72" s="1334"/>
      <c r="B72" s="1337" t="s">
        <v>2229</v>
      </c>
      <c r="C72" s="1330"/>
      <c r="D72" s="1330"/>
      <c r="E72" s="1330"/>
      <c r="F72" s="1798">
        <f>'Part I-Project Information'!F49</f>
        <v>310320000</v>
      </c>
      <c r="G72" s="1798">
        <f>'Part I-Project Information'!G49</f>
        <v>0</v>
      </c>
      <c r="H72" s="1334" t="s">
        <v>1982</v>
      </c>
      <c r="I72" s="1799">
        <f>'Part I-Project Information'!I49</f>
        <v>4789865433</v>
      </c>
      <c r="J72" s="1799">
        <f>'Part I-Project Information'!J49</f>
        <v>0</v>
      </c>
      <c r="K72" s="1799">
        <f>'Part I-Project Information'!K49</f>
        <v>0</v>
      </c>
      <c r="L72" s="1337" t="s">
        <v>1800</v>
      </c>
      <c r="M72" s="1462" t="str">
        <f>'Part I-Project Information'!M49</f>
        <v>ed.barbee@grayga.us</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1983</v>
      </c>
      <c r="C76" s="1330" t="s">
        <v>5087</v>
      </c>
      <c r="D76" s="1330"/>
      <c r="E76" s="1330"/>
      <c r="F76" s="1330"/>
      <c r="G76" s="1330"/>
      <c r="H76" s="1330"/>
      <c r="I76" s="1330"/>
      <c r="J76" s="1330"/>
      <c r="K76" s="1335"/>
      <c r="L76" s="1330"/>
      <c r="M76" s="1350"/>
      <c r="N76" s="1350"/>
      <c r="O76" s="1350"/>
      <c r="P76" s="1350"/>
    </row>
    <row r="77" spans="1:16" ht="13.8">
      <c r="A77" s="1336"/>
      <c r="B77" s="1334"/>
      <c r="C77" s="1330" t="s">
        <v>2295</v>
      </c>
      <c r="D77" s="1330"/>
      <c r="E77" s="1330"/>
      <c r="F77" s="1336"/>
      <c r="G77" s="1336"/>
      <c r="H77" s="1355">
        <f>'Part VI-Revenues &amp; Expenses'!$O$103</f>
        <v>48</v>
      </c>
      <c r="I77" s="1336"/>
      <c r="J77" s="1336"/>
      <c r="K77" s="1337" t="s">
        <v>3671</v>
      </c>
      <c r="L77" s="1330"/>
      <c r="M77" s="1356" t="s">
        <v>3670</v>
      </c>
      <c r="N77" s="1355">
        <f>'Part VI-Revenues &amp; Expenses'!$O$110</f>
        <v>0</v>
      </c>
      <c r="O77" s="1357" t="s">
        <v>3357</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2910</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2276</v>
      </c>
      <c r="D83" s="1330"/>
      <c r="E83" s="1330"/>
      <c r="F83" s="1330"/>
      <c r="G83" s="1330"/>
      <c r="H83" s="1330"/>
      <c r="I83" s="1361" t="s">
        <v>3564</v>
      </c>
      <c r="J83" s="1340" t="s">
        <v>2115</v>
      </c>
      <c r="K83" s="1336" t="s">
        <v>2302</v>
      </c>
      <c r="L83" s="1330"/>
      <c r="M83" s="1330"/>
      <c r="N83" s="1330"/>
      <c r="O83" s="1330"/>
      <c r="P83" s="1334"/>
    </row>
    <row r="84" spans="1:16" ht="13.8">
      <c r="A84" s="1334"/>
      <c r="B84" s="1363"/>
      <c r="C84" s="1336" t="s">
        <v>2277</v>
      </c>
      <c r="D84" s="1330"/>
      <c r="E84" s="1330"/>
      <c r="F84" s="1330"/>
      <c r="G84" s="1330"/>
      <c r="H84" s="1364">
        <f>SUM(H85:H91)</f>
        <v>48</v>
      </c>
      <c r="I84" s="1364">
        <f>SUM(I85:I91)</f>
        <v>0</v>
      </c>
      <c r="J84" s="1334"/>
      <c r="K84" s="1336" t="s">
        <v>2773</v>
      </c>
      <c r="L84" s="1330"/>
      <c r="M84" s="1330"/>
      <c r="N84" s="1330"/>
      <c r="O84" s="1330"/>
      <c r="P84" s="1364">
        <f>SUM(P85:P91)</f>
        <v>43920</v>
      </c>
    </row>
    <row r="85" spans="1:16" ht="13.8">
      <c r="A85" s="1334"/>
      <c r="B85" s="1363"/>
      <c r="C85" s="1336"/>
      <c r="D85" s="1348" t="s">
        <v>4708</v>
      </c>
      <c r="E85" s="1330"/>
      <c r="F85" s="1330"/>
      <c r="G85" s="1330"/>
      <c r="H85" s="1364">
        <f>'Part VI-Revenues &amp; Expenses'!$O56</f>
        <v>0</v>
      </c>
      <c r="I85" s="1364">
        <f>'Part VI-Revenues &amp; Expenses'!$O81</f>
        <v>0</v>
      </c>
      <c r="J85" s="1334"/>
      <c r="K85" s="1336"/>
      <c r="L85" s="1348" t="s">
        <v>4708</v>
      </c>
      <c r="M85" s="1330"/>
      <c r="N85" s="1330"/>
      <c r="O85" s="1330"/>
      <c r="P85" s="1364">
        <f>'Part VI-Revenues &amp; Expenses'!$O145</f>
        <v>0</v>
      </c>
    </row>
    <row r="86" spans="1:16" ht="13.8">
      <c r="A86" s="1334"/>
      <c r="B86" s="1363"/>
      <c r="C86" s="1336"/>
      <c r="D86" s="1348" t="s">
        <v>4709</v>
      </c>
      <c r="E86" s="1330"/>
      <c r="F86" s="1330"/>
      <c r="G86" s="1330"/>
      <c r="H86" s="1364">
        <f>'Part VI-Revenues &amp; Expenses'!$O57</f>
        <v>0</v>
      </c>
      <c r="I86" s="1364">
        <f>'Part VI-Revenues &amp; Expenses'!$O82</f>
        <v>0</v>
      </c>
      <c r="J86" s="1334"/>
      <c r="K86" s="1336"/>
      <c r="L86" s="1348" t="s">
        <v>4709</v>
      </c>
      <c r="M86" s="1330"/>
      <c r="N86" s="1330"/>
      <c r="O86" s="1330"/>
      <c r="P86" s="1364">
        <f>'Part VI-Revenues &amp; Expenses'!$O146</f>
        <v>0</v>
      </c>
    </row>
    <row r="87" spans="1:16" ht="13.8">
      <c r="A87" s="1334"/>
      <c r="B87" s="1336"/>
      <c r="C87" s="1330"/>
      <c r="D87" s="1348" t="s">
        <v>4706</v>
      </c>
      <c r="E87" s="1348"/>
      <c r="F87" s="1330"/>
      <c r="G87" s="1330"/>
      <c r="H87" s="1364">
        <f>'Part VI-Revenues &amp; Expenses'!$O58</f>
        <v>32</v>
      </c>
      <c r="I87" s="1364">
        <f>'Part VI-Revenues &amp; Expenses'!$O83</f>
        <v>0</v>
      </c>
      <c r="J87" s="1330"/>
      <c r="K87" s="1330"/>
      <c r="L87" s="1348" t="s">
        <v>4706</v>
      </c>
      <c r="M87" s="1330"/>
      <c r="N87" s="1330"/>
      <c r="O87" s="1330"/>
      <c r="P87" s="1364">
        <f>'Part VI-Revenues &amp; Expenses'!$O147</f>
        <v>29140</v>
      </c>
    </row>
    <row r="88" spans="1:16" ht="13.8">
      <c r="A88" s="1334"/>
      <c r="B88" s="1330"/>
      <c r="C88" s="1330"/>
      <c r="D88" s="1348" t="s">
        <v>4707</v>
      </c>
      <c r="E88" s="1330"/>
      <c r="F88" s="1330"/>
      <c r="G88" s="1330"/>
      <c r="H88" s="1364">
        <f>'Part VI-Revenues &amp; Expenses'!$O59</f>
        <v>16</v>
      </c>
      <c r="I88" s="1364">
        <f>'Part VI-Revenues &amp; Expenses'!$O84</f>
        <v>0</v>
      </c>
      <c r="J88" s="1330"/>
      <c r="K88" s="1330"/>
      <c r="L88" s="1348" t="s">
        <v>4707</v>
      </c>
      <c r="M88" s="1330"/>
      <c r="N88" s="1330"/>
      <c r="O88" s="1330"/>
      <c r="P88" s="1364">
        <f>'Part VI-Revenues &amp; Expenses'!$O148</f>
        <v>14780</v>
      </c>
    </row>
    <row r="89" spans="1:16" ht="13.8">
      <c r="A89" s="1334"/>
      <c r="B89" s="1330"/>
      <c r="C89" s="1330"/>
      <c r="D89" s="1348" t="s">
        <v>4710</v>
      </c>
      <c r="E89" s="1348"/>
      <c r="F89" s="1330"/>
      <c r="G89" s="1330"/>
      <c r="H89" s="1364">
        <f>'Part VI-Revenues &amp; Expenses'!$O60</f>
        <v>0</v>
      </c>
      <c r="I89" s="1364">
        <f>'Part VI-Revenues &amp; Expenses'!$O85</f>
        <v>0</v>
      </c>
      <c r="J89" s="1330"/>
      <c r="K89" s="1330"/>
      <c r="L89" s="1348" t="s">
        <v>4710</v>
      </c>
      <c r="M89" s="1330"/>
      <c r="N89" s="1330"/>
      <c r="O89" s="1330"/>
      <c r="P89" s="1364">
        <f>'Part VI-Revenues &amp; Expenses'!$O149</f>
        <v>0</v>
      </c>
    </row>
    <row r="90" spans="1:16" ht="13.8">
      <c r="A90" s="1334"/>
      <c r="B90" s="1330"/>
      <c r="C90" s="1330"/>
      <c r="D90" s="1348" t="s">
        <v>4711</v>
      </c>
      <c r="E90" s="1348"/>
      <c r="F90" s="1330"/>
      <c r="G90" s="1330"/>
      <c r="H90" s="1364">
        <f>'Part VI-Revenues &amp; Expenses'!$O61</f>
        <v>0</v>
      </c>
      <c r="I90" s="1364">
        <f>'Part VI-Revenues &amp; Expenses'!$O86</f>
        <v>0</v>
      </c>
      <c r="J90" s="1330"/>
      <c r="K90" s="1330"/>
      <c r="L90" s="1348" t="s">
        <v>4711</v>
      </c>
      <c r="M90" s="1330"/>
      <c r="N90" s="1330"/>
      <c r="O90" s="1330"/>
      <c r="P90" s="1364">
        <f>'Part VI-Revenues &amp; Expenses'!$O150</f>
        <v>0</v>
      </c>
    </row>
    <row r="91" spans="1:16" ht="13.8">
      <c r="A91" s="1334"/>
      <c r="B91" s="1330"/>
      <c r="C91" s="1330"/>
      <c r="D91" s="1348" t="s">
        <v>4712</v>
      </c>
      <c r="E91" s="1348"/>
      <c r="F91" s="1330"/>
      <c r="G91" s="1330"/>
      <c r="H91" s="1364">
        <f>'Part VI-Revenues &amp; Expenses'!$O62</f>
        <v>0</v>
      </c>
      <c r="I91" s="1364">
        <f>'Part VI-Revenues &amp; Expenses'!$O87</f>
        <v>0</v>
      </c>
      <c r="J91" s="1330"/>
      <c r="K91" s="1330"/>
      <c r="L91" s="1348" t="s">
        <v>4712</v>
      </c>
      <c r="M91" s="1330"/>
      <c r="N91" s="1330"/>
      <c r="O91" s="1330"/>
      <c r="P91" s="1364">
        <f>'Part VI-Revenues &amp; Expenses'!$O151</f>
        <v>0</v>
      </c>
    </row>
    <row r="92" spans="1:16" ht="13.8">
      <c r="A92" s="1334"/>
      <c r="B92" s="1330"/>
      <c r="C92" s="1336" t="s">
        <v>253</v>
      </c>
      <c r="D92" s="1330"/>
      <c r="E92" s="1330"/>
      <c r="F92" s="1330"/>
      <c r="G92" s="1330"/>
      <c r="H92" s="1364">
        <f>'Part VI-Revenues &amp; Expenses'!$O$64</f>
        <v>0</v>
      </c>
      <c r="I92" s="1330"/>
      <c r="J92" s="1334"/>
      <c r="K92" s="1336" t="s">
        <v>2774</v>
      </c>
      <c r="L92" s="1330"/>
      <c r="M92" s="1330"/>
      <c r="N92" s="1330"/>
      <c r="O92" s="1330"/>
      <c r="P92" s="1364">
        <f>'Part VI-Revenues &amp; Expenses'!$O$153</f>
        <v>0</v>
      </c>
    </row>
    <row r="93" spans="1:16" ht="13.8">
      <c r="A93" s="1334"/>
      <c r="B93" s="1330"/>
      <c r="C93" s="1336" t="s">
        <v>2407</v>
      </c>
      <c r="D93" s="1330"/>
      <c r="E93" s="1330"/>
      <c r="F93" s="1330"/>
      <c r="G93" s="1330"/>
      <c r="H93" s="1364">
        <f>H84+H92</f>
        <v>48</v>
      </c>
      <c r="I93" s="1330"/>
      <c r="J93" s="1334"/>
      <c r="K93" s="1336" t="s">
        <v>2775</v>
      </c>
      <c r="L93" s="1330"/>
      <c r="M93" s="1330"/>
      <c r="N93" s="1330"/>
      <c r="O93" s="1330"/>
      <c r="P93" s="1364">
        <f>P84+P92</f>
        <v>43920</v>
      </c>
    </row>
    <row r="94" spans="1:16" ht="13.8">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ht="13.8">
      <c r="A95" s="1334"/>
      <c r="B95" s="1330"/>
      <c r="C95" s="1336" t="s">
        <v>1793</v>
      </c>
      <c r="D95" s="1330"/>
      <c r="E95" s="1330"/>
      <c r="F95" s="1330"/>
      <c r="G95" s="1330"/>
      <c r="H95" s="1364">
        <f>+H93+H94</f>
        <v>48</v>
      </c>
      <c r="I95" s="1330"/>
      <c r="J95" s="1330"/>
      <c r="K95" s="1336" t="s">
        <v>1420</v>
      </c>
      <c r="L95" s="1330"/>
      <c r="M95" s="1330"/>
      <c r="N95" s="1330"/>
      <c r="O95" s="1330"/>
      <c r="P95" s="1364">
        <f>+P93+P94</f>
        <v>43920</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2297</v>
      </c>
      <c r="D97" s="1348" t="s">
        <v>1996</v>
      </c>
      <c r="E97" s="1330"/>
      <c r="F97" s="1330"/>
      <c r="G97" s="1330"/>
      <c r="H97" s="1364">
        <f>'Part I-Project Information'!H74</f>
        <v>7</v>
      </c>
      <c r="I97" s="1330"/>
      <c r="J97" s="1330"/>
      <c r="K97" s="1336" t="s">
        <v>5290</v>
      </c>
      <c r="L97" s="1330"/>
      <c r="M97" s="1330"/>
      <c r="N97" s="1330"/>
      <c r="O97" s="1330"/>
      <c r="P97" s="1364">
        <f>'Part I-Project Information'!P74</f>
        <v>2000</v>
      </c>
    </row>
    <row r="98" spans="1:16" ht="13.8">
      <c r="A98" s="1334"/>
      <c r="B98" s="1334"/>
      <c r="C98" s="1330"/>
      <c r="D98" s="1363" t="s">
        <v>1997</v>
      </c>
      <c r="E98" s="1330"/>
      <c r="F98" s="1330"/>
      <c r="G98" s="1330"/>
      <c r="H98" s="1364">
        <f>'Part I-Project Information'!H75</f>
        <v>1</v>
      </c>
      <c r="I98" s="1330"/>
      <c r="J98" s="1330"/>
      <c r="K98" s="1336" t="s">
        <v>252</v>
      </c>
      <c r="L98" s="1330"/>
      <c r="M98" s="1330"/>
      <c r="N98" s="1330"/>
      <c r="O98" s="1330"/>
      <c r="P98" s="1364">
        <f>+P95+P97</f>
        <v>45920</v>
      </c>
    </row>
    <row r="99" spans="1:16" ht="13.8">
      <c r="A99" s="1334"/>
      <c r="B99" s="1334"/>
      <c r="C99" s="1330"/>
      <c r="D99" s="1363" t="s">
        <v>1998</v>
      </c>
      <c r="E99" s="1330"/>
      <c r="F99" s="1330"/>
      <c r="G99" s="1330"/>
      <c r="H99" s="1364">
        <f>+H97+H98</f>
        <v>8</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2843</v>
      </c>
      <c r="D101" s="1330"/>
      <c r="E101" s="1330"/>
      <c r="F101" s="1330"/>
      <c r="G101" s="1330"/>
      <c r="H101" s="1364">
        <f>'Part I-Project Information'!H78</f>
        <v>130</v>
      </c>
      <c r="I101" s="1330"/>
      <c r="J101" s="1330"/>
      <c r="K101" s="1365" t="s">
        <v>3849</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1983</v>
      </c>
      <c r="C105" s="1337" t="s">
        <v>4485</v>
      </c>
      <c r="D105" s="1363"/>
      <c r="E105" s="1363"/>
      <c r="F105" s="1330"/>
      <c r="G105" s="1334"/>
      <c r="H105" s="1330" t="str">
        <f>'Part I-Project Information'!H82</f>
        <v>HFOP</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4956</v>
      </c>
      <c r="L107" s="1368" t="s">
        <v>2911</v>
      </c>
      <c r="M107" s="1364">
        <f>'Part I-Project Information'!M84</f>
        <v>0</v>
      </c>
      <c r="N107" s="1368" t="s">
        <v>2912</v>
      </c>
      <c r="O107" s="1364">
        <f>'Part I-Project Information'!O84</f>
        <v>0</v>
      </c>
      <c r="P107" s="1337" t="s">
        <v>4955</v>
      </c>
    </row>
    <row r="108" spans="1:16" ht="13.8">
      <c r="A108" s="1334"/>
      <c r="B108" s="1334"/>
      <c r="C108" s="1330"/>
      <c r="D108" s="1337"/>
      <c r="E108" s="1363"/>
      <c r="F108" s="1330"/>
      <c r="G108" s="1330"/>
      <c r="H108" s="1330"/>
      <c r="I108" s="1330"/>
      <c r="J108" s="1365"/>
      <c r="K108" s="1365"/>
      <c r="L108" s="1340" t="s">
        <v>2913</v>
      </c>
      <c r="M108" s="1364">
        <f>'Part I-Project Information'!M85</f>
        <v>48</v>
      </c>
      <c r="N108" s="1340" t="s">
        <v>3870</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3693</v>
      </c>
      <c r="P110" s="1370">
        <f>'DCA Underwriting Assumptions'!$Q$139</f>
        <v>0.05</v>
      </c>
    </row>
    <row r="111" spans="1:16" ht="13.8">
      <c r="A111" s="1334"/>
      <c r="B111" s="1334"/>
      <c r="C111" s="1330"/>
      <c r="D111" s="1363" t="s">
        <v>2841</v>
      </c>
      <c r="E111" s="1363"/>
      <c r="F111" s="1363" t="s">
        <v>796</v>
      </c>
      <c r="G111" s="1330"/>
      <c r="H111" s="1364">
        <f>'Part VIII-Threshold Criteria'!K330</f>
        <v>0</v>
      </c>
      <c r="I111" s="1330"/>
      <c r="J111" s="1330"/>
      <c r="K111" s="1330" t="s">
        <v>2842</v>
      </c>
      <c r="L111" s="1330"/>
      <c r="M111" s="1330"/>
      <c r="N111" s="1369">
        <f>IF(H110=0,0,H111/H110)</f>
        <v>0</v>
      </c>
      <c r="O111" s="1340" t="s">
        <v>3693</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3693</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4863</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1985</v>
      </c>
      <c r="C119" s="1330" t="s">
        <v>1534</v>
      </c>
      <c r="D119" s="1330"/>
      <c r="E119" s="1330"/>
      <c r="F119" s="1330"/>
      <c r="G119" s="1330"/>
      <c r="H119" s="1330"/>
      <c r="I119" s="1330"/>
      <c r="J119" s="1330"/>
      <c r="K119" s="1337" t="s">
        <v>4931</v>
      </c>
      <c r="L119" s="1330"/>
      <c r="M119" s="1330"/>
      <c r="N119" s="2324"/>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2041</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1983</v>
      </c>
      <c r="C123" s="1330" t="s">
        <v>2708</v>
      </c>
      <c r="D123" s="1330"/>
      <c r="E123" s="1330"/>
      <c r="F123" s="1348" t="s">
        <v>2600</v>
      </c>
      <c r="G123" s="1330"/>
      <c r="H123" s="1334" t="str">
        <f>'Part I-Project Information'!H100</f>
        <v>No</v>
      </c>
      <c r="I123" s="1330"/>
      <c r="J123" s="1330"/>
      <c r="K123" s="1337" t="s">
        <v>3887</v>
      </c>
      <c r="L123" s="1330"/>
      <c r="M123" s="1330"/>
      <c r="N123" s="1330"/>
      <c r="O123" s="1330"/>
      <c r="P123" s="1334" t="str">
        <f>'Part I-Project Information'!P100</f>
        <v>No</v>
      </c>
    </row>
    <row r="124" spans="1:16" ht="13.8">
      <c r="A124" s="1336"/>
      <c r="B124" s="1334"/>
      <c r="C124" s="1330"/>
      <c r="D124" s="1330"/>
      <c r="E124" s="1330"/>
      <c r="F124" s="1363" t="s">
        <v>3893</v>
      </c>
      <c r="G124" s="1330"/>
      <c r="H124" s="1334" t="str">
        <f>'Part I-Project Information'!H101</f>
        <v>Yes</v>
      </c>
      <c r="I124" s="1330"/>
      <c r="J124" s="1330"/>
      <c r="K124" s="1337" t="s">
        <v>4724</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2783</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3661</v>
      </c>
      <c r="N134" s="1336"/>
      <c r="O134" s="1449">
        <f>'Part I-Project Information'!O111</f>
        <v>0</v>
      </c>
      <c r="P134" s="1449">
        <f>'Part I-Project Information'!P111</f>
        <v>0</v>
      </c>
    </row>
    <row r="135" spans="1:16" ht="13.8">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2153</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1983</v>
      </c>
      <c r="C142" s="1363" t="s">
        <v>1412</v>
      </c>
      <c r="D142" s="1363"/>
      <c r="E142" s="1363"/>
      <c r="F142" s="1334"/>
      <c r="G142" s="1334"/>
      <c r="H142" s="1344">
        <f>'Part I-Project Information'!H119</f>
        <v>1</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1985</v>
      </c>
      <c r="C144" s="1363" t="s">
        <v>416</v>
      </c>
      <c r="D144" s="1363"/>
      <c r="E144" s="1363"/>
      <c r="F144" s="1334"/>
      <c r="G144" s="1334"/>
      <c r="H144" s="1807">
        <f>'Part I-Project Information'!H121</f>
        <v>741000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8">
      <c r="A148" s="1334"/>
      <c r="B148" s="1334"/>
      <c r="C148" s="1393" t="str">
        <f>'Part I-Project Information'!C125</f>
        <v>Roya Collins</v>
      </c>
      <c r="D148" s="1393">
        <f>'Part I-Project Information'!D125</f>
        <v>0</v>
      </c>
      <c r="E148" s="1393">
        <f>'Part I-Project Information'!E125</f>
        <v>0</v>
      </c>
      <c r="F148" s="1393" t="str">
        <f>'Part I-Project Information'!F125</f>
        <v>Dulles Park II</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8">
      <c r="A149" s="1334"/>
      <c r="B149" s="1334"/>
      <c r="C149" s="1393">
        <f>'Part I-Project Information'!C126</f>
        <v>2</v>
      </c>
      <c r="D149" s="1393">
        <f>'Part I-Project Information'!D126</f>
        <v>0</v>
      </c>
      <c r="E149" s="1393">
        <f>'Part I-Project Information'!E126</f>
        <v>0</v>
      </c>
      <c r="F149" s="1393">
        <f>'Part I-Project Information'!F126</f>
        <v>0</v>
      </c>
      <c r="G149" s="1393">
        <f>'Part I-Project Information'!G126</f>
        <v>0</v>
      </c>
      <c r="H149" s="1393">
        <f>'Part I-Project Information'!H126</f>
        <v>0</v>
      </c>
      <c r="I149" s="1816">
        <f>'Part I-Project Information'!I126</f>
        <v>0</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5088</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1983</v>
      </c>
      <c r="C168" s="1337" t="s">
        <v>1713</v>
      </c>
      <c r="D168" s="1330"/>
      <c r="E168" s="1330"/>
      <c r="F168" s="1330"/>
      <c r="G168" s="1330"/>
      <c r="H168" s="1330"/>
      <c r="I168" s="1334" t="str">
        <f>'Part I-Project Information'!I145</f>
        <v>No</v>
      </c>
      <c r="J168" s="1330"/>
      <c r="K168" s="1330"/>
      <c r="L168" s="1330"/>
      <c r="M168" s="1334"/>
      <c r="N168" s="1330"/>
      <c r="O168" s="1330"/>
      <c r="P168" s="1343"/>
    </row>
    <row r="169" spans="1:16" ht="13.8">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ht="13.8">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ht="13.8">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1985</v>
      </c>
      <c r="C175" s="1439" t="s">
        <v>2701</v>
      </c>
      <c r="D175" s="1363"/>
      <c r="E175" s="1348" t="s">
        <v>5291</v>
      </c>
      <c r="F175" s="1348"/>
      <c r="G175" s="1348"/>
      <c r="H175" s="1330"/>
      <c r="I175" s="1344" t="str">
        <f>'Part I-Project Information'!I152</f>
        <v>No</v>
      </c>
      <c r="J175" s="1330"/>
      <c r="K175" s="1348" t="s">
        <v>5050</v>
      </c>
      <c r="L175" s="1348"/>
      <c r="M175" s="1348"/>
      <c r="N175" s="1330"/>
      <c r="O175" s="1344" t="str">
        <f>'Part I-Project Information'!O152</f>
        <v>No</v>
      </c>
      <c r="P175" s="1343"/>
    </row>
    <row r="176" spans="1:16" ht="13.8">
      <c r="A176" s="1334"/>
      <c r="B176" s="1330"/>
      <c r="C176" s="1363"/>
      <c r="D176" s="1363"/>
      <c r="E176" s="1348" t="s">
        <v>5292</v>
      </c>
      <c r="F176" s="1348"/>
      <c r="G176" s="1348"/>
      <c r="H176" s="1330"/>
      <c r="I176" s="1344" t="str">
        <f>'Part I-Project Information'!I153</f>
        <v>No</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5047</v>
      </c>
      <c r="D178" s="1363"/>
      <c r="E178" s="1363"/>
      <c r="F178" s="1334"/>
      <c r="G178" s="1330"/>
      <c r="H178" s="1330"/>
      <c r="I178" s="1344" t="str">
        <f>'Part I-Project Information'!I155</f>
        <v>No</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1983</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5079</v>
      </c>
      <c r="D184" s="1365"/>
      <c r="E184" s="1365"/>
      <c r="F184" s="1365"/>
      <c r="G184" s="1330" t="s">
        <v>4777</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4776</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4778</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4722</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4723</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ht="13.8">
      <c r="A191" s="1334"/>
      <c r="B191" s="1334"/>
      <c r="C191" s="1330" t="s">
        <v>2704</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4779</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1985</v>
      </c>
      <c r="C194" s="1337" t="s">
        <v>2702</v>
      </c>
      <c r="D194" s="1337"/>
      <c r="E194" s="1337"/>
      <c r="F194" s="1337"/>
      <c r="G194" s="1337"/>
      <c r="H194" s="1330"/>
      <c r="I194" s="1334">
        <f>'Part I-Project Information'!I171</f>
        <v>0</v>
      </c>
      <c r="J194" s="1330" t="s">
        <v>761</v>
      </c>
      <c r="K194" s="1330"/>
      <c r="L194" s="1334">
        <f>'Part I-Project Information'!L171</f>
        <v>0</v>
      </c>
      <c r="M194" s="1330" t="s">
        <v>2326</v>
      </c>
      <c r="N194" s="1330"/>
      <c r="O194" s="1330"/>
      <c r="P194" s="1419">
        <f>'Part I-Project Information'!P171</f>
        <v>0</v>
      </c>
    </row>
    <row r="195" spans="1:16" ht="13.8">
      <c r="A195" s="1334"/>
      <c r="B195" s="1334"/>
      <c r="C195" s="1337" t="s">
        <v>2703</v>
      </c>
      <c r="D195" s="1337"/>
      <c r="E195" s="1337"/>
      <c r="F195" s="1337"/>
      <c r="G195" s="1337"/>
      <c r="H195" s="1330"/>
      <c r="I195" s="1334" t="str">
        <f>'Part I-Project Information'!I172</f>
        <v>Yes</v>
      </c>
      <c r="J195" s="1330" t="s">
        <v>761</v>
      </c>
      <c r="K195" s="1330"/>
      <c r="L195" s="1334">
        <f>'Part I-Project Information'!L172</f>
        <v>0</v>
      </c>
      <c r="M195" s="1330" t="s">
        <v>2326</v>
      </c>
      <c r="N195" s="1330"/>
      <c r="O195" s="1330"/>
      <c r="P195" s="1419">
        <f>'Part I-Project Information'!P172</f>
        <v>0</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2115</v>
      </c>
      <c r="C199" s="1330" t="s">
        <v>1978</v>
      </c>
      <c r="D199" s="1330"/>
      <c r="E199" s="1330"/>
      <c r="F199" s="1330"/>
      <c r="G199" s="1337"/>
      <c r="H199" s="1330"/>
      <c r="I199" s="1334" t="str">
        <f>'Part I-Project Information'!I176</f>
        <v>No</v>
      </c>
      <c r="J199" s="1379" t="s">
        <v>2753</v>
      </c>
      <c r="K199" s="1330"/>
      <c r="L199" s="1330" t="s">
        <v>4488</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2213</v>
      </c>
      <c r="D204" s="1330"/>
      <c r="E204" s="1330"/>
      <c r="F204" s="1330"/>
      <c r="G204" s="1330"/>
      <c r="H204" s="1330"/>
      <c r="I204" s="1344" t="str">
        <f>'Part I-Project Information'!I181</f>
        <v>No</v>
      </c>
      <c r="J204" s="1330"/>
      <c r="K204" s="1330"/>
      <c r="L204" s="1330" t="s">
        <v>2846</v>
      </c>
      <c r="M204" s="1330"/>
      <c r="N204" s="1330"/>
      <c r="O204" s="1330"/>
      <c r="P204" s="1344" t="str">
        <f>'Part I-Project Information'!P181</f>
        <v>No</v>
      </c>
    </row>
    <row r="205" spans="1:16" ht="13.8">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f>'Part I-Project Information'!P182</f>
        <v>0</v>
      </c>
    </row>
    <row r="206" spans="1:16" ht="13.8">
      <c r="A206" s="1334"/>
      <c r="B206" s="1334"/>
      <c r="C206" s="1330" t="s">
        <v>1285</v>
      </c>
      <c r="D206" s="1393"/>
      <c r="E206" s="1330"/>
      <c r="F206" s="1330"/>
      <c r="G206" s="1330"/>
      <c r="H206" s="1330"/>
      <c r="I206" s="1344" t="str">
        <f>'Part I-Project Information'!I183</f>
        <v>No</v>
      </c>
      <c r="J206" s="1330"/>
      <c r="K206" s="1330"/>
      <c r="L206" s="1330" t="s">
        <v>3482</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ht="13.8">
      <c r="A208" s="1334"/>
      <c r="B208" s="1334"/>
      <c r="C208" s="1330" t="s">
        <v>2903</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2295</v>
      </c>
      <c r="D213" s="1363"/>
      <c r="E213" s="1363"/>
      <c r="F213" s="1334"/>
      <c r="G213" s="1334"/>
      <c r="H213" s="1806">
        <f>'Part I-Project Information'!H190</f>
        <v>44470</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The Applicant submitted a pre-application without a specific site location. The Project Team remained unchanged from pre-application.
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2019-060 Dulles Park II,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4453</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1858</v>
      </c>
      <c r="C221" s="1337"/>
      <c r="D221" s="1330"/>
      <c r="E221" s="1337"/>
      <c r="F221" s="1337"/>
      <c r="G221" s="1337"/>
      <c r="H221" s="1332" t="s">
        <v>4250</v>
      </c>
      <c r="I221" s="1330"/>
      <c r="J221" s="1330"/>
      <c r="K221" s="1330"/>
      <c r="L221" s="1330"/>
      <c r="M221" s="1330"/>
      <c r="N221" s="1330"/>
      <c r="O221" s="1802" t="str">
        <f>'Part I-Project Information'!$B$6</f>
        <v>May 2019</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1983</v>
      </c>
      <c r="C223" s="1337" t="s">
        <v>1854</v>
      </c>
      <c r="D223" s="1330"/>
      <c r="E223" s="1330"/>
      <c r="F223" s="1330"/>
      <c r="G223" s="1330"/>
      <c r="H223" s="1330" t="str">
        <f>'Part II-Development Team'!H5</f>
        <v>Dulles Park II, LP</v>
      </c>
      <c r="I223" s="1348"/>
      <c r="J223" s="1348"/>
      <c r="K223" s="1348"/>
      <c r="L223" s="1348"/>
      <c r="M223" s="1348"/>
      <c r="N223" s="1348"/>
      <c r="O223" s="1337" t="s">
        <v>1989</v>
      </c>
      <c r="P223" s="1337"/>
      <c r="Q223" s="1330" t="str">
        <f>'Part II-Development Team'!Q5</f>
        <v>Roya Collins</v>
      </c>
      <c r="R223" s="1348"/>
      <c r="S223" s="1348"/>
    </row>
    <row r="224" spans="1:19" ht="13.8">
      <c r="A224" s="1330"/>
      <c r="B224" s="1330"/>
      <c r="C224" s="1330"/>
      <c r="D224" s="1346"/>
      <c r="E224" s="1337" t="s">
        <v>1021</v>
      </c>
      <c r="F224" s="1340"/>
      <c r="G224" s="1330"/>
      <c r="H224" s="1330" t="str">
        <f>'Part II-Development Team'!H6</f>
        <v>1820 The Exchange SE #350</v>
      </c>
      <c r="I224" s="1348"/>
      <c r="J224" s="1348"/>
      <c r="K224" s="1348"/>
      <c r="L224" s="1348"/>
      <c r="M224" s="1348"/>
      <c r="N224" s="1348"/>
      <c r="O224" s="1337" t="s">
        <v>1747</v>
      </c>
      <c r="P224" s="1330"/>
      <c r="Q224" s="1330" t="str">
        <f>'Part II-Development Team'!Q6</f>
        <v>Member</v>
      </c>
      <c r="R224" s="1348"/>
      <c r="S224" s="1348"/>
    </row>
    <row r="225" spans="1:19" ht="13.8">
      <c r="A225" s="1330"/>
      <c r="B225" s="1330"/>
      <c r="C225" s="1330"/>
      <c r="D225" s="1346"/>
      <c r="E225" s="1337" t="s">
        <v>618</v>
      </c>
      <c r="F225" s="1330"/>
      <c r="G225" s="1330"/>
      <c r="H225" s="1330" t="str">
        <f>'Part II-Development Team'!H7</f>
        <v>Atlanta</v>
      </c>
      <c r="I225" s="1348"/>
      <c r="J225" s="1348"/>
      <c r="K225" s="1334" t="s">
        <v>762</v>
      </c>
      <c r="L225" s="1330">
        <f>'Part II-Development Team'!L7</f>
        <v>0</v>
      </c>
      <c r="M225" s="1348"/>
      <c r="N225" s="1348"/>
      <c r="O225" s="1337" t="s">
        <v>1721</v>
      </c>
      <c r="P225" s="1330"/>
      <c r="Q225" s="1330">
        <f>'Part II-Development Team'!Q7</f>
        <v>4043344590</v>
      </c>
      <c r="R225" s="1348"/>
      <c r="S225" s="1348"/>
    </row>
    <row r="226" spans="1:19" ht="13.8">
      <c r="A226" s="1330"/>
      <c r="B226" s="1330"/>
      <c r="C226" s="1330"/>
      <c r="D226" s="1346"/>
      <c r="E226" s="1337" t="s">
        <v>1799</v>
      </c>
      <c r="F226" s="1330"/>
      <c r="G226" s="1330"/>
      <c r="H226" s="1337" t="str">
        <f>'Part II-Development Team'!H8</f>
        <v>GA</v>
      </c>
      <c r="I226" s="1334" t="s">
        <v>2229</v>
      </c>
      <c r="J226" s="1798">
        <f>'Part II-Development Team'!J8</f>
        <v>303392063</v>
      </c>
      <c r="K226" s="1348"/>
      <c r="L226" s="1330" t="s">
        <v>3685</v>
      </c>
      <c r="M226" s="1330" t="str">
        <f>'Part II-Development Team'!M8</f>
        <v>For Profit</v>
      </c>
      <c r="N226" s="1330"/>
      <c r="O226" s="1337" t="s">
        <v>1979</v>
      </c>
      <c r="P226" s="1330"/>
      <c r="Q226" s="1330">
        <f>'Part II-Development Team'!Q8</f>
        <v>7703630414</v>
      </c>
      <c r="R226" s="1348"/>
      <c r="S226" s="1348"/>
    </row>
    <row r="227" spans="1:19" ht="13.8">
      <c r="A227" s="1330"/>
      <c r="B227" s="1330"/>
      <c r="C227" s="1330"/>
      <c r="D227" s="1346"/>
      <c r="E227" s="1337" t="s">
        <v>4251</v>
      </c>
      <c r="F227" s="1330"/>
      <c r="G227" s="1330"/>
      <c r="H227" s="1799">
        <f>'Part II-Development Team'!H9</f>
        <v>4043344590</v>
      </c>
      <c r="I227" s="1799"/>
      <c r="J227" s="1344">
        <f>'Part II-Development Team'!J9</f>
        <v>0</v>
      </c>
      <c r="K227" s="1334" t="s">
        <v>1984</v>
      </c>
      <c r="L227" s="1706" t="str">
        <f>'Part II-Development Team'!L9</f>
        <v>magitaenterprise@bellsouth.net</v>
      </c>
      <c r="M227" s="1706"/>
      <c r="N227" s="1706"/>
      <c r="O227" s="1706"/>
      <c r="P227" s="1706"/>
      <c r="Q227" s="1706"/>
      <c r="R227" s="1706"/>
      <c r="S227" s="1706"/>
    </row>
    <row r="228" spans="1:19" ht="13.8">
      <c r="A228" s="1330"/>
      <c r="B228" s="1330"/>
      <c r="C228" s="1330"/>
      <c r="D228" s="1346"/>
      <c r="E228" s="1332" t="s">
        <v>4250</v>
      </c>
      <c r="F228" s="1330"/>
      <c r="G228" s="1330"/>
      <c r="H228" s="1378"/>
      <c r="I228" s="1330"/>
      <c r="J228" s="1330"/>
      <c r="K228" s="1393"/>
      <c r="L228" s="1330"/>
      <c r="M228" s="1330"/>
      <c r="N228" s="1330" t="s">
        <v>4489</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6" t="s">
        <v>1986</v>
      </c>
      <c r="D231" s="1348" t="s">
        <v>1987</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2116</v>
      </c>
      <c r="E232" s="1330" t="s">
        <v>1856</v>
      </c>
      <c r="F232" s="1330"/>
      <c r="G232" s="1330"/>
      <c r="H232" s="1330" t="str">
        <f>'Part II-Development Team'!H14</f>
        <v>Potemkin-Dulles II, LLC</v>
      </c>
      <c r="I232" s="1348"/>
      <c r="J232" s="1348"/>
      <c r="K232" s="1348"/>
      <c r="L232" s="1348"/>
      <c r="M232" s="1348"/>
      <c r="N232" s="1348"/>
      <c r="O232" s="1337" t="s">
        <v>1989</v>
      </c>
      <c r="P232" s="1337"/>
      <c r="Q232" s="1330" t="str">
        <f>'Part II-Development Team'!Q14</f>
        <v>Roya Collins</v>
      </c>
      <c r="R232" s="1348"/>
      <c r="S232" s="1348"/>
    </row>
    <row r="233" spans="1:19" ht="13.8">
      <c r="A233" s="1330"/>
      <c r="B233" s="1330"/>
      <c r="C233" s="1330"/>
      <c r="D233" s="1346"/>
      <c r="E233" s="1337" t="s">
        <v>1021</v>
      </c>
      <c r="F233" s="1340"/>
      <c r="G233" s="1330"/>
      <c r="H233" s="1330" t="str">
        <f>'Part II-Development Team'!H15</f>
        <v>1820 The Exchange SE #350</v>
      </c>
      <c r="I233" s="1348"/>
      <c r="J233" s="1348"/>
      <c r="K233" s="1348"/>
      <c r="L233" s="1348"/>
      <c r="M233" s="1348"/>
      <c r="N233" s="1348"/>
      <c r="O233" s="1337" t="s">
        <v>1747</v>
      </c>
      <c r="P233" s="1330"/>
      <c r="Q233" s="1330" t="str">
        <f>'Part II-Development Team'!Q15</f>
        <v>Member</v>
      </c>
      <c r="R233" s="1348"/>
      <c r="S233" s="1348"/>
    </row>
    <row r="234" spans="1:19" ht="13.8">
      <c r="A234" s="1330"/>
      <c r="B234" s="1330"/>
      <c r="C234" s="1330"/>
      <c r="D234" s="1346"/>
      <c r="E234" s="1337" t="s">
        <v>618</v>
      </c>
      <c r="F234" s="1330"/>
      <c r="G234" s="1330"/>
      <c r="H234" s="1330" t="str">
        <f>'Part II-Development Team'!H16</f>
        <v>Atlanta</v>
      </c>
      <c r="I234" s="1348"/>
      <c r="J234" s="1348"/>
      <c r="K234" s="1334" t="s">
        <v>2704</v>
      </c>
      <c r="L234" s="1330">
        <f>'Part II-Development Team'!L16</f>
        <v>0</v>
      </c>
      <c r="M234" s="1348"/>
      <c r="N234" s="1348"/>
      <c r="O234" s="1337" t="s">
        <v>1721</v>
      </c>
      <c r="P234" s="1330"/>
      <c r="Q234" s="1799">
        <f>'Part II-Development Team'!Q16</f>
        <v>4043344590</v>
      </c>
      <c r="R234" s="1799"/>
      <c r="S234" s="1799"/>
    </row>
    <row r="235" spans="1:19" ht="13.8">
      <c r="A235" s="1330"/>
      <c r="B235" s="1330"/>
      <c r="C235" s="1330"/>
      <c r="D235" s="1330"/>
      <c r="E235" s="1337" t="s">
        <v>1799</v>
      </c>
      <c r="F235" s="1330"/>
      <c r="G235" s="1330"/>
      <c r="H235" s="1337" t="str">
        <f>'Part II-Development Team'!H17</f>
        <v>GA</v>
      </c>
      <c r="I235" s="1330"/>
      <c r="J235" s="1330"/>
      <c r="K235" s="1334" t="s">
        <v>2229</v>
      </c>
      <c r="L235" s="1798">
        <f>'Part II-Development Team'!L17</f>
        <v>303392063</v>
      </c>
      <c r="M235" s="1348"/>
      <c r="N235" s="1330"/>
      <c r="O235" s="1337" t="s">
        <v>1979</v>
      </c>
      <c r="P235" s="1330"/>
      <c r="Q235" s="1799">
        <f>'Part II-Development Team'!Q17</f>
        <v>7703630414</v>
      </c>
      <c r="R235" s="1799"/>
      <c r="S235" s="1799"/>
    </row>
    <row r="236" spans="1:19" ht="13.8">
      <c r="A236" s="1330"/>
      <c r="B236" s="1330"/>
      <c r="C236" s="1330"/>
      <c r="D236" s="1346"/>
      <c r="E236" s="1337" t="s">
        <v>4251</v>
      </c>
      <c r="F236" s="1330"/>
      <c r="G236" s="1330"/>
      <c r="H236" s="1799">
        <f>'Part II-Development Team'!H18</f>
        <v>4043344590</v>
      </c>
      <c r="I236" s="1799"/>
      <c r="J236" s="1344">
        <f>'Part II-Development Team'!J18</f>
        <v>0</v>
      </c>
      <c r="K236" s="1334" t="s">
        <v>1984</v>
      </c>
      <c r="L236" s="1706" t="str">
        <f>'Part II-Development Team'!L18</f>
        <v>magitaenterprise@bellsouth.net</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2117</v>
      </c>
      <c r="E238" s="1330" t="s">
        <v>1857</v>
      </c>
      <c r="F238" s="1330"/>
      <c r="G238" s="1330"/>
      <c r="H238" s="1330" t="str">
        <f>'Part II-Development Team'!H20</f>
        <v>N/A</v>
      </c>
      <c r="I238" s="1348"/>
      <c r="J238" s="1348"/>
      <c r="K238" s="1348"/>
      <c r="L238" s="1348"/>
      <c r="M238" s="1348"/>
      <c r="N238" s="1348"/>
      <c r="O238" s="1337" t="s">
        <v>1989</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2704</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ht="13.8">
      <c r="A242" s="1330"/>
      <c r="B242" s="1330"/>
      <c r="C242" s="1330"/>
      <c r="D242" s="1346"/>
      <c r="E242" s="1337" t="s">
        <v>4251</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1857</v>
      </c>
      <c r="F244" s="1330"/>
      <c r="G244" s="1330"/>
      <c r="H244" s="1330" t="str">
        <f>'Part II-Development Team'!H26</f>
        <v>N/A</v>
      </c>
      <c r="I244" s="1348"/>
      <c r="J244" s="1348"/>
      <c r="K244" s="1348"/>
      <c r="L244" s="1348"/>
      <c r="M244" s="1348"/>
      <c r="N244" s="1348"/>
      <c r="O244" s="1337" t="s">
        <v>1989</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ht="13.8">
      <c r="A248" s="1330"/>
      <c r="B248" s="1330"/>
      <c r="C248" s="1330"/>
      <c r="D248" s="1346"/>
      <c r="E248" s="1337" t="s">
        <v>4251</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1988</v>
      </c>
      <c r="D250" s="1348" t="s">
        <v>1859</v>
      </c>
      <c r="E250" s="1330"/>
      <c r="F250" s="1330"/>
      <c r="G250" s="1330"/>
      <c r="H250" s="1330"/>
      <c r="I250" s="1330"/>
      <c r="J250" s="1330"/>
      <c r="K250" s="1332" t="s">
        <v>4250</v>
      </c>
      <c r="L250" s="1330"/>
      <c r="M250" s="1330"/>
      <c r="N250" s="1330"/>
      <c r="O250" s="1330"/>
      <c r="P250" s="1330"/>
      <c r="Q250" s="1330"/>
      <c r="R250" s="1330"/>
      <c r="S250" s="1330"/>
    </row>
    <row r="251" spans="1:19" ht="13.8">
      <c r="A251" s="1330"/>
      <c r="B251" s="1330"/>
      <c r="C251" s="1330"/>
      <c r="D251" s="1330" t="s">
        <v>2116</v>
      </c>
      <c r="E251" s="1330" t="s">
        <v>750</v>
      </c>
      <c r="F251" s="1330"/>
      <c r="G251" s="1330"/>
      <c r="H251" s="1330" t="str">
        <f>'Part II-Development Team'!H33</f>
        <v>Affordable Equity Partners, Inc</v>
      </c>
      <c r="I251" s="1348"/>
      <c r="J251" s="1348"/>
      <c r="K251" s="1348"/>
      <c r="L251" s="1348"/>
      <c r="M251" s="1348"/>
      <c r="N251" s="1348"/>
      <c r="O251" s="1337" t="s">
        <v>1989</v>
      </c>
      <c r="P251" s="1337"/>
      <c r="Q251" s="1330" t="str">
        <f>'Part II-Development Team'!Q33</f>
        <v>Brian Kimes</v>
      </c>
      <c r="R251" s="1348"/>
      <c r="S251" s="1348"/>
    </row>
    <row r="252" spans="1:19" ht="13.8">
      <c r="A252" s="1330"/>
      <c r="B252" s="1330"/>
      <c r="C252" s="1330"/>
      <c r="D252" s="1346"/>
      <c r="E252" s="1337" t="s">
        <v>1021</v>
      </c>
      <c r="F252" s="1340"/>
      <c r="G252" s="1330"/>
      <c r="H252" s="1330" t="str">
        <f>'Part II-Development Team'!H34</f>
        <v>206 Peach Way</v>
      </c>
      <c r="I252" s="1348"/>
      <c r="J252" s="1348"/>
      <c r="K252" s="1348"/>
      <c r="L252" s="1348"/>
      <c r="M252" s="1348"/>
      <c r="N252" s="1348"/>
      <c r="O252" s="1337" t="s">
        <v>1747</v>
      </c>
      <c r="P252" s="1330"/>
      <c r="Q252" s="1330" t="str">
        <f>'Part II-Development Team'!Q34</f>
        <v>Vice President</v>
      </c>
      <c r="R252" s="1348"/>
      <c r="S252" s="1348"/>
    </row>
    <row r="253" spans="1:19" ht="13.8">
      <c r="A253" s="1330"/>
      <c r="B253" s="1330"/>
      <c r="C253" s="1330"/>
      <c r="D253" s="1346"/>
      <c r="E253" s="1337" t="s">
        <v>618</v>
      </c>
      <c r="F253" s="1330"/>
      <c r="G253" s="1330"/>
      <c r="H253" s="1330" t="str">
        <f>'Part II-Development Team'!H35</f>
        <v>Columbia</v>
      </c>
      <c r="I253" s="1348"/>
      <c r="J253" s="1348"/>
      <c r="K253" s="1334" t="s">
        <v>2704</v>
      </c>
      <c r="L253" s="1330" t="str">
        <f>'Part II-Development Team'!L35</f>
        <v>www.aepartners.com</v>
      </c>
      <c r="M253" s="1348"/>
      <c r="N253" s="1348"/>
      <c r="O253" s="1337" t="s">
        <v>1721</v>
      </c>
      <c r="P253" s="1330"/>
      <c r="Q253" s="1799">
        <f>'Part II-Development Team'!Q35</f>
        <v>5734432021</v>
      </c>
      <c r="R253" s="1799"/>
      <c r="S253" s="1799"/>
    </row>
    <row r="254" spans="1:19" ht="13.8">
      <c r="A254" s="1330"/>
      <c r="B254" s="1330"/>
      <c r="C254" s="1330"/>
      <c r="D254" s="1330"/>
      <c r="E254" s="1337" t="s">
        <v>1799</v>
      </c>
      <c r="F254" s="1330"/>
      <c r="G254" s="1330"/>
      <c r="H254" s="1337" t="str">
        <f>'Part II-Development Team'!H36</f>
        <v>MO</v>
      </c>
      <c r="I254" s="1330"/>
      <c r="J254" s="1330"/>
      <c r="K254" s="1334" t="s">
        <v>2229</v>
      </c>
      <c r="L254" s="1798">
        <f>'Part II-Development Team'!L36</f>
        <v>652034905</v>
      </c>
      <c r="M254" s="1348"/>
      <c r="N254" s="1330"/>
      <c r="O254" s="1337" t="s">
        <v>1979</v>
      </c>
      <c r="P254" s="1330"/>
      <c r="Q254" s="1799">
        <f>'Part II-Development Team'!Q36</f>
        <v>5734248811</v>
      </c>
      <c r="R254" s="1799"/>
      <c r="S254" s="1799"/>
    </row>
    <row r="255" spans="1:19" ht="13.8">
      <c r="A255" s="1330"/>
      <c r="B255" s="1330"/>
      <c r="C255" s="1330"/>
      <c r="D255" s="1346"/>
      <c r="E255" s="1337" t="s">
        <v>4251</v>
      </c>
      <c r="F255" s="1330"/>
      <c r="G255" s="1330"/>
      <c r="H255" s="1799">
        <f>'Part II-Development Team'!H37</f>
        <v>5734432021</v>
      </c>
      <c r="I255" s="1799"/>
      <c r="J255" s="1344">
        <f>'Part II-Development Team'!J37</f>
        <v>0</v>
      </c>
      <c r="K255" s="1334" t="s">
        <v>1984</v>
      </c>
      <c r="L255" s="1706" t="str">
        <f>'Part II-Development Team'!L37</f>
        <v>bkimes@aepartners.com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2117</v>
      </c>
      <c r="E257" s="1330" t="s">
        <v>751</v>
      </c>
      <c r="F257" s="1330"/>
      <c r="G257" s="1330"/>
      <c r="H257" s="1330" t="str">
        <f>'Part II-Development Team'!H39</f>
        <v>Affordable Equity Partners, Inc</v>
      </c>
      <c r="I257" s="1348"/>
      <c r="J257" s="1348"/>
      <c r="K257" s="1348"/>
      <c r="L257" s="1348"/>
      <c r="M257" s="1348"/>
      <c r="N257" s="1348"/>
      <c r="O257" s="1337" t="s">
        <v>1989</v>
      </c>
      <c r="P257" s="1337"/>
      <c r="Q257" s="1330" t="str">
        <f>'Part II-Development Team'!Q39</f>
        <v>Brian Kimes</v>
      </c>
      <c r="R257" s="1348"/>
      <c r="S257" s="1348"/>
    </row>
    <row r="258" spans="1:19" ht="13.8">
      <c r="A258" s="1330"/>
      <c r="B258" s="1330"/>
      <c r="C258" s="1330"/>
      <c r="D258" s="1346"/>
      <c r="E258" s="1337" t="s">
        <v>1021</v>
      </c>
      <c r="F258" s="1340"/>
      <c r="G258" s="1330"/>
      <c r="H258" s="1330" t="str">
        <f>'Part II-Development Team'!H40</f>
        <v>206 Peach Way</v>
      </c>
      <c r="I258" s="1348"/>
      <c r="J258" s="1348"/>
      <c r="K258" s="1348"/>
      <c r="L258" s="1348"/>
      <c r="M258" s="1348"/>
      <c r="N258" s="1348"/>
      <c r="O258" s="1337" t="s">
        <v>1747</v>
      </c>
      <c r="P258" s="1330"/>
      <c r="Q258" s="1330" t="str">
        <f>'Part II-Development Team'!Q40</f>
        <v>Vice President</v>
      </c>
      <c r="R258" s="1348"/>
      <c r="S258" s="1348"/>
    </row>
    <row r="259" spans="1:19" ht="13.8">
      <c r="A259" s="1330"/>
      <c r="B259" s="1330"/>
      <c r="C259" s="1330"/>
      <c r="D259" s="1346"/>
      <c r="E259" s="1337" t="s">
        <v>618</v>
      </c>
      <c r="F259" s="1330"/>
      <c r="G259" s="1330"/>
      <c r="H259" s="1330" t="str">
        <f>'Part II-Development Team'!H41</f>
        <v>Columbia</v>
      </c>
      <c r="I259" s="1348"/>
      <c r="J259" s="1348"/>
      <c r="K259" s="1334" t="s">
        <v>2704</v>
      </c>
      <c r="L259" s="1330" t="str">
        <f>'Part II-Development Team'!L41</f>
        <v>www.aepartners.com</v>
      </c>
      <c r="M259" s="1348"/>
      <c r="N259" s="1348"/>
      <c r="O259" s="1337" t="s">
        <v>1721</v>
      </c>
      <c r="P259" s="1330"/>
      <c r="Q259" s="1799">
        <f>'Part II-Development Team'!Q41</f>
        <v>5734432021</v>
      </c>
      <c r="R259" s="1799"/>
      <c r="S259" s="1799"/>
    </row>
    <row r="260" spans="1:19" ht="13.8">
      <c r="A260" s="1330"/>
      <c r="B260" s="1330"/>
      <c r="C260" s="1330"/>
      <c r="D260" s="1330"/>
      <c r="E260" s="1337" t="s">
        <v>1799</v>
      </c>
      <c r="F260" s="1330"/>
      <c r="G260" s="1330"/>
      <c r="H260" s="1337" t="str">
        <f>'Part II-Development Team'!H42</f>
        <v>MO</v>
      </c>
      <c r="I260" s="1330"/>
      <c r="J260" s="1330"/>
      <c r="K260" s="1334" t="s">
        <v>2229</v>
      </c>
      <c r="L260" s="1798">
        <f>'Part II-Development Team'!L42</f>
        <v>652034905</v>
      </c>
      <c r="M260" s="1348"/>
      <c r="N260" s="1330"/>
      <c r="O260" s="1337" t="s">
        <v>1979</v>
      </c>
      <c r="P260" s="1330"/>
      <c r="Q260" s="1799">
        <f>'Part II-Development Team'!Q42</f>
        <v>5734248811</v>
      </c>
      <c r="R260" s="1799"/>
      <c r="S260" s="1799"/>
    </row>
    <row r="261" spans="1:19" ht="13.8">
      <c r="A261" s="1330"/>
      <c r="B261" s="1330"/>
      <c r="C261" s="1330"/>
      <c r="D261" s="1346"/>
      <c r="E261" s="1337" t="s">
        <v>4251</v>
      </c>
      <c r="F261" s="1330"/>
      <c r="G261" s="1330"/>
      <c r="H261" s="1799">
        <f>'Part II-Development Team'!H43</f>
        <v>5734432021</v>
      </c>
      <c r="I261" s="1799"/>
      <c r="J261" s="1344">
        <f>'Part II-Development Team'!J43</f>
        <v>0</v>
      </c>
      <c r="K261" s="1334" t="s">
        <v>1984</v>
      </c>
      <c r="L261" s="1706" t="str">
        <f>'Part II-Development Team'!L43</f>
        <v>bkimes@aepartners.com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2534</v>
      </c>
      <c r="D263" s="1348" t="s">
        <v>651</v>
      </c>
      <c r="E263" s="1330"/>
      <c r="F263" s="1330"/>
      <c r="G263" s="1330"/>
      <c r="H263" s="1330"/>
      <c r="I263" s="1330"/>
      <c r="J263" s="1330"/>
      <c r="K263" s="1332" t="s">
        <v>4250</v>
      </c>
      <c r="L263" s="1330"/>
      <c r="M263" s="1330"/>
      <c r="N263" s="1330"/>
      <c r="O263" s="1330"/>
      <c r="P263" s="1330"/>
      <c r="Q263" s="1330"/>
      <c r="R263" s="1330"/>
      <c r="S263" s="1330"/>
    </row>
    <row r="264" spans="1:19" ht="13.8">
      <c r="A264" s="1330"/>
      <c r="B264" s="1330"/>
      <c r="C264" s="1330"/>
      <c r="D264" s="1330"/>
      <c r="E264" s="1330" t="s">
        <v>92</v>
      </c>
      <c r="F264" s="1330"/>
      <c r="G264" s="1330"/>
      <c r="H264" s="1330" t="str">
        <f>'Part II-Development Team'!H46</f>
        <v>N/A</v>
      </c>
      <c r="I264" s="1348"/>
      <c r="J264" s="1348"/>
      <c r="K264" s="1348"/>
      <c r="L264" s="1348"/>
      <c r="M264" s="1348"/>
      <c r="N264" s="1348"/>
      <c r="O264" s="1337" t="s">
        <v>1989</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2704</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2229</v>
      </c>
      <c r="L267" s="1798">
        <f>'Part II-Development Team'!L49</f>
        <v>0</v>
      </c>
      <c r="M267" s="1348"/>
      <c r="N267" s="1330"/>
      <c r="O267" s="1337" t="s">
        <v>1979</v>
      </c>
      <c r="P267" s="1330"/>
      <c r="Q267" s="1799">
        <f>'Part II-Development Team'!Q49</f>
        <v>0</v>
      </c>
      <c r="R267" s="1799"/>
      <c r="S267" s="1799"/>
    </row>
    <row r="268" spans="1:19" ht="13.8">
      <c r="A268" s="1330"/>
      <c r="B268" s="1330"/>
      <c r="C268" s="1330"/>
      <c r="D268" s="1346"/>
      <c r="E268" s="1337" t="s">
        <v>4251</v>
      </c>
      <c r="F268" s="1330"/>
      <c r="G268" s="1330"/>
      <c r="H268" s="1799">
        <f>'Part II-Development Team'!H50</f>
        <v>0</v>
      </c>
      <c r="I268" s="1799"/>
      <c r="J268" s="1344">
        <f>'Part II-Development Team'!J50</f>
        <v>0</v>
      </c>
      <c r="K268" s="1334" t="s">
        <v>1984</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4250</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1983</v>
      </c>
      <c r="C272" s="1330" t="s">
        <v>282</v>
      </c>
      <c r="D272" s="1330"/>
      <c r="E272" s="1330"/>
      <c r="F272" s="1330"/>
      <c r="G272" s="1330"/>
      <c r="H272" s="1330" t="str">
        <f>'Part II-Development Team'!H54</f>
        <v>Magita, Inc</v>
      </c>
      <c r="I272" s="1348"/>
      <c r="J272" s="1348"/>
      <c r="K272" s="1348"/>
      <c r="L272" s="1348"/>
      <c r="M272" s="1348"/>
      <c r="N272" s="1348"/>
      <c r="O272" s="1337" t="s">
        <v>1989</v>
      </c>
      <c r="P272" s="1337"/>
      <c r="Q272" s="1330" t="str">
        <f>'Part II-Development Team'!Q54</f>
        <v>Roya Collins</v>
      </c>
      <c r="R272" s="1348"/>
      <c r="S272" s="1348"/>
    </row>
    <row r="273" spans="1:19" ht="13.8">
      <c r="A273" s="1330"/>
      <c r="B273" s="1330"/>
      <c r="C273" s="1330"/>
      <c r="D273" s="1346"/>
      <c r="E273" s="1337" t="s">
        <v>1021</v>
      </c>
      <c r="F273" s="1340"/>
      <c r="G273" s="1330"/>
      <c r="H273" s="1330" t="str">
        <f>'Part II-Development Team'!H55</f>
        <v>1820 The Exchange SE #350</v>
      </c>
      <c r="I273" s="1348"/>
      <c r="J273" s="1348"/>
      <c r="K273" s="1348"/>
      <c r="L273" s="1348"/>
      <c r="M273" s="1348"/>
      <c r="N273" s="1348"/>
      <c r="O273" s="1337" t="s">
        <v>1747</v>
      </c>
      <c r="P273" s="1330"/>
      <c r="Q273" s="1330" t="str">
        <f>'Part II-Development Team'!Q55</f>
        <v>President</v>
      </c>
      <c r="R273" s="1348"/>
      <c r="S273" s="1348"/>
    </row>
    <row r="274" spans="1:19" ht="13.8">
      <c r="A274" s="1330"/>
      <c r="B274" s="1330"/>
      <c r="C274" s="1330"/>
      <c r="D274" s="1346"/>
      <c r="E274" s="1337" t="s">
        <v>618</v>
      </c>
      <c r="F274" s="1330"/>
      <c r="G274" s="1330"/>
      <c r="H274" s="1330" t="str">
        <f>'Part II-Development Team'!H56</f>
        <v>Atlanta</v>
      </c>
      <c r="I274" s="1348"/>
      <c r="J274" s="1348"/>
      <c r="K274" s="1334" t="s">
        <v>2704</v>
      </c>
      <c r="L274" s="1330">
        <f>'Part II-Development Team'!L56</f>
        <v>0</v>
      </c>
      <c r="M274" s="1348"/>
      <c r="N274" s="1348"/>
      <c r="O274" s="1337" t="s">
        <v>1721</v>
      </c>
      <c r="P274" s="1330"/>
      <c r="Q274" s="1799">
        <f>'Part II-Development Team'!Q56</f>
        <v>4043344590</v>
      </c>
      <c r="R274" s="1799"/>
      <c r="S274" s="1799"/>
    </row>
    <row r="275" spans="1:19" ht="13.8">
      <c r="A275" s="1330"/>
      <c r="B275" s="1330"/>
      <c r="C275" s="1330"/>
      <c r="D275" s="1330"/>
      <c r="E275" s="1337" t="s">
        <v>1799</v>
      </c>
      <c r="F275" s="1330"/>
      <c r="G275" s="1330"/>
      <c r="H275" s="1337" t="str">
        <f>'Part II-Development Team'!H57</f>
        <v>GA</v>
      </c>
      <c r="I275" s="1330"/>
      <c r="J275" s="1330"/>
      <c r="K275" s="1334" t="s">
        <v>2229</v>
      </c>
      <c r="L275" s="1798">
        <f>'Part II-Development Team'!L57</f>
        <v>303392063</v>
      </c>
      <c r="M275" s="1348"/>
      <c r="N275" s="1330"/>
      <c r="O275" s="1337" t="s">
        <v>1979</v>
      </c>
      <c r="P275" s="1330"/>
      <c r="Q275" s="1799">
        <f>'Part II-Development Team'!Q57</f>
        <v>7703630414</v>
      </c>
      <c r="R275" s="1799"/>
      <c r="S275" s="1799"/>
    </row>
    <row r="276" spans="1:19" ht="13.8">
      <c r="A276" s="1330"/>
      <c r="B276" s="1330"/>
      <c r="C276" s="1330"/>
      <c r="D276" s="1346"/>
      <c r="E276" s="1337" t="s">
        <v>4251</v>
      </c>
      <c r="F276" s="1330"/>
      <c r="G276" s="1330"/>
      <c r="H276" s="1799">
        <f>'Part II-Development Team'!H58</f>
        <v>4043344590</v>
      </c>
      <c r="I276" s="1799"/>
      <c r="J276" s="1344">
        <f>'Part II-Development Team'!J58</f>
        <v>0</v>
      </c>
      <c r="K276" s="1334" t="s">
        <v>1984</v>
      </c>
      <c r="L276" s="1706" t="str">
        <f>'Part II-Development Team'!L58</f>
        <v>magitaenterprise@bellsouth.net</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1985</v>
      </c>
      <c r="C278" s="1330" t="s">
        <v>283</v>
      </c>
      <c r="D278" s="1330"/>
      <c r="E278" s="1330"/>
      <c r="F278" s="1330"/>
      <c r="G278" s="1330"/>
      <c r="H278" s="1330" t="str">
        <f>'Part II-Development Team'!H60</f>
        <v>N/A</v>
      </c>
      <c r="I278" s="1348"/>
      <c r="J278" s="1348"/>
      <c r="K278" s="1348"/>
      <c r="L278" s="1348"/>
      <c r="M278" s="1348"/>
      <c r="N278" s="1348"/>
      <c r="O278" s="1337" t="s">
        <v>1989</v>
      </c>
      <c r="P278" s="1337"/>
      <c r="Q278" s="1330">
        <f>'Part II-Development Team'!Q60</f>
        <v>0</v>
      </c>
      <c r="R278" s="1348"/>
      <c r="S278" s="1348"/>
    </row>
    <row r="279" spans="1:19" ht="13.8">
      <c r="A279" s="1330"/>
      <c r="B279" s="1330"/>
      <c r="C279" s="1330"/>
      <c r="D279" s="1346"/>
      <c r="E279" s="1337" t="s">
        <v>1021</v>
      </c>
      <c r="F279" s="1340"/>
      <c r="G279" s="1330"/>
      <c r="H279" s="1330">
        <f>'Part II-Development Team'!H61</f>
        <v>0</v>
      </c>
      <c r="I279" s="1348"/>
      <c r="J279" s="1348"/>
      <c r="K279" s="1348"/>
      <c r="L279" s="1348"/>
      <c r="M279" s="1348"/>
      <c r="N279" s="1348"/>
      <c r="O279" s="1337" t="s">
        <v>1747</v>
      </c>
      <c r="P279" s="1330"/>
      <c r="Q279" s="1330">
        <f>'Part II-Development Team'!Q61</f>
        <v>0</v>
      </c>
      <c r="R279" s="1348"/>
      <c r="S279" s="1348"/>
    </row>
    <row r="280" spans="1:19" ht="13.8">
      <c r="A280" s="1330"/>
      <c r="B280" s="1330"/>
      <c r="C280" s="1330"/>
      <c r="D280" s="1346"/>
      <c r="E280" s="1337" t="s">
        <v>618</v>
      </c>
      <c r="F280" s="1330"/>
      <c r="G280" s="1330"/>
      <c r="H280" s="1330">
        <f>'Part II-Development Team'!H62</f>
        <v>0</v>
      </c>
      <c r="I280" s="1348"/>
      <c r="J280" s="1348"/>
      <c r="K280" s="1334" t="s">
        <v>2704</v>
      </c>
      <c r="L280" s="1330">
        <f>'Part II-Development Team'!L62</f>
        <v>0</v>
      </c>
      <c r="M280" s="1348"/>
      <c r="N280" s="1348"/>
      <c r="O280" s="1337" t="s">
        <v>1721</v>
      </c>
      <c r="P280" s="1330"/>
      <c r="Q280" s="1799">
        <f>'Part II-Development Team'!Q62</f>
        <v>0</v>
      </c>
      <c r="R280" s="1799"/>
      <c r="S280" s="1799"/>
    </row>
    <row r="281" spans="1:19" ht="13.8">
      <c r="A281" s="1330"/>
      <c r="B281" s="1330"/>
      <c r="C281" s="1330"/>
      <c r="D281" s="1330"/>
      <c r="E281" s="1337" t="s">
        <v>1799</v>
      </c>
      <c r="F281" s="1330"/>
      <c r="G281" s="1330"/>
      <c r="H281" s="1337">
        <f>'Part II-Development Team'!H63</f>
        <v>0</v>
      </c>
      <c r="I281" s="1330"/>
      <c r="J281" s="1330"/>
      <c r="K281" s="1334" t="s">
        <v>2229</v>
      </c>
      <c r="L281" s="1798">
        <f>'Part II-Development Team'!L63</f>
        <v>0</v>
      </c>
      <c r="M281" s="1348"/>
      <c r="N281" s="1330"/>
      <c r="O281" s="1337" t="s">
        <v>1979</v>
      </c>
      <c r="P281" s="1330"/>
      <c r="Q281" s="1799">
        <f>'Part II-Development Team'!Q63</f>
        <v>0</v>
      </c>
      <c r="R281" s="1799"/>
      <c r="S281" s="1799"/>
    </row>
    <row r="282" spans="1:19" ht="13.8">
      <c r="A282" s="1330"/>
      <c r="B282" s="1330"/>
      <c r="C282" s="1330"/>
      <c r="D282" s="1346"/>
      <c r="E282" s="1337" t="s">
        <v>4251</v>
      </c>
      <c r="F282" s="1330"/>
      <c r="G282" s="1330"/>
      <c r="H282" s="1799">
        <f>'Part II-Development Team'!H64</f>
        <v>0</v>
      </c>
      <c r="I282" s="1799"/>
      <c r="J282" s="1344">
        <f>'Part II-Development Team'!J64</f>
        <v>0</v>
      </c>
      <c r="K282" s="1334" t="s">
        <v>1984</v>
      </c>
      <c r="L282" s="1706">
        <f>'Part II-Development Team'!L64</f>
        <v>0</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t="str">
        <f>'Part II-Development Team'!H66</f>
        <v>N/A</v>
      </c>
      <c r="I284" s="1348"/>
      <c r="J284" s="1348"/>
      <c r="K284" s="1348"/>
      <c r="L284" s="1348"/>
      <c r="M284" s="1348"/>
      <c r="N284" s="1348"/>
      <c r="O284" s="1337" t="s">
        <v>1989</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ht="13.8">
      <c r="A288" s="1330"/>
      <c r="B288" s="1330"/>
      <c r="C288" s="1330"/>
      <c r="D288" s="1346"/>
      <c r="E288" s="1337" t="s">
        <v>4251</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2115</v>
      </c>
      <c r="C290" s="1330" t="s">
        <v>284</v>
      </c>
      <c r="D290" s="1330"/>
      <c r="E290" s="1330"/>
      <c r="F290" s="1330"/>
      <c r="G290" s="1330"/>
      <c r="H290" s="1330" t="str">
        <f>'Part II-Development Team'!H72</f>
        <v>N/A</v>
      </c>
      <c r="I290" s="1348"/>
      <c r="J290" s="1348"/>
      <c r="K290" s="1348"/>
      <c r="L290" s="1348"/>
      <c r="M290" s="1348"/>
      <c r="N290" s="1348"/>
      <c r="O290" s="1337" t="s">
        <v>1989</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ht="13.8">
      <c r="A294" s="1330"/>
      <c r="B294" s="1330"/>
      <c r="C294" s="1330"/>
      <c r="D294" s="1346"/>
      <c r="E294" s="1337" t="s">
        <v>4251</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4250</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1983</v>
      </c>
      <c r="C298" s="1330" t="s">
        <v>286</v>
      </c>
      <c r="D298" s="1330"/>
      <c r="E298" s="1330"/>
      <c r="F298" s="1330"/>
      <c r="G298" s="1330"/>
      <c r="H298" s="1330" t="str">
        <f>'Part II-Development Team'!H80</f>
        <v>N/A</v>
      </c>
      <c r="I298" s="1348"/>
      <c r="J298" s="1348"/>
      <c r="K298" s="1348"/>
      <c r="L298" s="1348"/>
      <c r="M298" s="1348"/>
      <c r="N298" s="1348"/>
      <c r="O298" s="1337" t="s">
        <v>1989</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ht="13.8">
      <c r="A302" s="1330"/>
      <c r="B302" s="1330"/>
      <c r="C302" s="1330"/>
      <c r="D302" s="1346"/>
      <c r="E302" s="1337" t="s">
        <v>4251</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1985</v>
      </c>
      <c r="C304" s="1330" t="s">
        <v>287</v>
      </c>
      <c r="D304" s="1330"/>
      <c r="E304" s="1330"/>
      <c r="F304" s="1330"/>
      <c r="G304" s="1330"/>
      <c r="H304" s="1330" t="str">
        <f>'Part II-Development Team'!H86</f>
        <v>Fairway Construction Company, Inc</v>
      </c>
      <c r="I304" s="1348"/>
      <c r="J304" s="1348"/>
      <c r="K304" s="1348"/>
      <c r="L304" s="1348"/>
      <c r="M304" s="1348"/>
      <c r="N304" s="1348"/>
      <c r="O304" s="1337" t="s">
        <v>1989</v>
      </c>
      <c r="P304" s="1337"/>
      <c r="Q304" s="1330" t="str">
        <f>'Part II-Development Team'!Q86</f>
        <v>Will Markel</v>
      </c>
      <c r="R304" s="1348"/>
      <c r="S304" s="1348"/>
    </row>
    <row r="305" spans="1:19" ht="13.8">
      <c r="A305" s="1330"/>
      <c r="B305" s="1330"/>
      <c r="C305" s="1330"/>
      <c r="D305" s="1346"/>
      <c r="E305" s="1337" t="s">
        <v>1021</v>
      </c>
      <c r="F305" s="1340"/>
      <c r="G305" s="1330"/>
      <c r="H305" s="1330" t="str">
        <f>'Part II-Development Team'!H87</f>
        <v>206 Peach Way</v>
      </c>
      <c r="I305" s="1348"/>
      <c r="J305" s="1348"/>
      <c r="K305" s="1348"/>
      <c r="L305" s="1348"/>
      <c r="M305" s="1348"/>
      <c r="N305" s="1348"/>
      <c r="O305" s="1337" t="s">
        <v>1747</v>
      </c>
      <c r="P305" s="1330"/>
      <c r="Q305" s="1330" t="str">
        <f>'Part II-Development Team'!Q87</f>
        <v>Executive Vice President</v>
      </c>
      <c r="R305" s="1348"/>
      <c r="S305" s="1348"/>
    </row>
    <row r="306" spans="1:19" ht="13.8">
      <c r="A306" s="1330"/>
      <c r="B306" s="1330"/>
      <c r="C306" s="1330"/>
      <c r="D306" s="1346"/>
      <c r="E306" s="1337" t="s">
        <v>618</v>
      </c>
      <c r="F306" s="1330"/>
      <c r="G306" s="1330"/>
      <c r="H306" s="1330" t="str">
        <f>'Part II-Development Team'!H88</f>
        <v>Columbia</v>
      </c>
      <c r="I306" s="1348"/>
      <c r="J306" s="1348"/>
      <c r="K306" s="1334" t="s">
        <v>2704</v>
      </c>
      <c r="L306" s="1330" t="str">
        <f>'Part II-Development Team'!L88</f>
        <v>www.fairwayconstruction.net</v>
      </c>
      <c r="M306" s="1348"/>
      <c r="N306" s="1348"/>
      <c r="O306" s="1337" t="s">
        <v>1721</v>
      </c>
      <c r="P306" s="1330"/>
      <c r="Q306" s="1799">
        <f>'Part II-Development Team'!Q88</f>
        <v>5734432021</v>
      </c>
      <c r="R306" s="1799"/>
      <c r="S306" s="1799"/>
    </row>
    <row r="307" spans="1:19" ht="13.8">
      <c r="A307" s="1330"/>
      <c r="B307" s="1330"/>
      <c r="C307" s="1330"/>
      <c r="D307" s="1330"/>
      <c r="E307" s="1337" t="s">
        <v>1799</v>
      </c>
      <c r="F307" s="1330"/>
      <c r="G307" s="1330"/>
      <c r="H307" s="1337" t="str">
        <f>'Part II-Development Team'!H89</f>
        <v>MO</v>
      </c>
      <c r="I307" s="1330"/>
      <c r="J307" s="1330"/>
      <c r="K307" s="1334" t="s">
        <v>2229</v>
      </c>
      <c r="L307" s="1798">
        <f>'Part II-Development Team'!L89</f>
        <v>652034905</v>
      </c>
      <c r="M307" s="1348"/>
      <c r="N307" s="1330"/>
      <c r="O307" s="1337" t="s">
        <v>1979</v>
      </c>
      <c r="P307" s="1330"/>
      <c r="Q307" s="1799">
        <f>'Part II-Development Team'!Q89</f>
        <v>0</v>
      </c>
      <c r="R307" s="1799"/>
      <c r="S307" s="1799"/>
    </row>
    <row r="308" spans="1:19" ht="13.8">
      <c r="A308" s="1330"/>
      <c r="B308" s="1330"/>
      <c r="C308" s="1330"/>
      <c r="D308" s="1346"/>
      <c r="E308" s="1337" t="s">
        <v>4251</v>
      </c>
      <c r="F308" s="1330"/>
      <c r="G308" s="1330"/>
      <c r="H308" s="1799">
        <f>'Part II-Development Team'!H90</f>
        <v>5734432021</v>
      </c>
      <c r="I308" s="1799"/>
      <c r="J308" s="1344">
        <f>'Part II-Development Team'!J90</f>
        <v>0</v>
      </c>
      <c r="K308" s="1334" t="s">
        <v>1984</v>
      </c>
      <c r="L308" s="1706" t="str">
        <f>'Part II-Development Team'!L90</f>
        <v>tstanley@fairwayconstruction.net</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TMC Management and Realty, Inc.</v>
      </c>
      <c r="I310" s="1348"/>
      <c r="J310" s="1348"/>
      <c r="K310" s="1348"/>
      <c r="L310" s="1348"/>
      <c r="M310" s="1348"/>
      <c r="N310" s="1348"/>
      <c r="O310" s="1337" t="s">
        <v>1989</v>
      </c>
      <c r="P310" s="1337"/>
      <c r="Q310" s="1330" t="str">
        <f>'Part II-Development Team'!Q92</f>
        <v>Brenda Hoyt</v>
      </c>
      <c r="R310" s="1348"/>
      <c r="S310" s="1348"/>
    </row>
    <row r="311" spans="1:19" ht="13.8">
      <c r="A311" s="1330"/>
      <c r="B311" s="1330"/>
      <c r="C311" s="1330"/>
      <c r="D311" s="1346"/>
      <c r="E311" s="1337" t="s">
        <v>1021</v>
      </c>
      <c r="F311" s="1340"/>
      <c r="G311" s="1330"/>
      <c r="H311" s="1330" t="str">
        <f>'Part II-Development Team'!H93</f>
        <v>1341 Cassville Road, N.W.</v>
      </c>
      <c r="I311" s="1348"/>
      <c r="J311" s="1348"/>
      <c r="K311" s="1348"/>
      <c r="L311" s="1348"/>
      <c r="M311" s="1348"/>
      <c r="N311" s="1348"/>
      <c r="O311" s="1337" t="s">
        <v>1747</v>
      </c>
      <c r="P311" s="1330"/>
      <c r="Q311" s="1330" t="str">
        <f>'Part II-Development Team'!Q93</f>
        <v>Director of Operations</v>
      </c>
      <c r="R311" s="1348"/>
      <c r="S311" s="1348"/>
    </row>
    <row r="312" spans="1:19" ht="13.8">
      <c r="A312" s="1330"/>
      <c r="B312" s="1330"/>
      <c r="C312" s="1330"/>
      <c r="D312" s="1346"/>
      <c r="E312" s="1337" t="s">
        <v>618</v>
      </c>
      <c r="F312" s="1330"/>
      <c r="G312" s="1330"/>
      <c r="H312" s="1330" t="str">
        <f>'Part II-Development Team'!H94</f>
        <v>Cartersville</v>
      </c>
      <c r="I312" s="1348"/>
      <c r="J312" s="1348"/>
      <c r="K312" s="1334" t="s">
        <v>2704</v>
      </c>
      <c r="L312" s="1330">
        <f>'Part II-Development Team'!L94</f>
        <v>0</v>
      </c>
      <c r="M312" s="1348"/>
      <c r="N312" s="1348"/>
      <c r="O312" s="1337" t="s">
        <v>1721</v>
      </c>
      <c r="P312" s="1330"/>
      <c r="Q312" s="1799">
        <f>'Part II-Development Team'!Q94</f>
        <v>7703862921</v>
      </c>
      <c r="R312" s="1799"/>
      <c r="S312" s="1799"/>
    </row>
    <row r="313" spans="1:19" ht="13.8">
      <c r="A313" s="1330"/>
      <c r="B313" s="1330"/>
      <c r="C313" s="1330"/>
      <c r="D313" s="1346"/>
      <c r="E313" s="1337" t="s">
        <v>1799</v>
      </c>
      <c r="F313" s="1330"/>
      <c r="G313" s="1330"/>
      <c r="H313" s="1337" t="str">
        <f>'Part II-Development Team'!H95</f>
        <v>GA</v>
      </c>
      <c r="I313" s="1330"/>
      <c r="J313" s="1330"/>
      <c r="K313" s="1334" t="s">
        <v>2229</v>
      </c>
      <c r="L313" s="1798">
        <f>'Part II-Development Team'!L95</f>
        <v>301204886</v>
      </c>
      <c r="M313" s="1348"/>
      <c r="N313" s="1330"/>
      <c r="O313" s="1337" t="s">
        <v>1979</v>
      </c>
      <c r="P313" s="1330"/>
      <c r="Q313" s="1799">
        <f>'Part II-Development Team'!Q95</f>
        <v>7706554683</v>
      </c>
      <c r="R313" s="1799"/>
      <c r="S313" s="1799"/>
    </row>
    <row r="314" spans="1:19" ht="13.8">
      <c r="A314" s="1330"/>
      <c r="B314" s="1330"/>
      <c r="C314" s="1330"/>
      <c r="D314" s="1346"/>
      <c r="E314" s="1337" t="s">
        <v>4251</v>
      </c>
      <c r="F314" s="1330"/>
      <c r="G314" s="1330"/>
      <c r="H314" s="1799">
        <f>'Part II-Development Team'!H96</f>
        <v>7703862921</v>
      </c>
      <c r="I314" s="1799"/>
      <c r="J314" s="1344">
        <f>'Part II-Development Team'!J96</f>
        <v>0</v>
      </c>
      <c r="K314" s="1334" t="s">
        <v>1984</v>
      </c>
      <c r="L314" s="1706" t="str">
        <f>'Part II-Development Team'!L96</f>
        <v>Brenda@tmcmgt.com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2115</v>
      </c>
      <c r="C316" s="1330" t="s">
        <v>289</v>
      </c>
      <c r="D316" s="1330"/>
      <c r="E316" s="1330"/>
      <c r="F316" s="1330"/>
      <c r="G316" s="1330"/>
      <c r="H316" s="1330" t="str">
        <f>'Part II-Development Team'!H98</f>
        <v>Spivey, Pope, Green &amp; Greer</v>
      </c>
      <c r="I316" s="1348"/>
      <c r="J316" s="1348"/>
      <c r="K316" s="1348"/>
      <c r="L316" s="1348"/>
      <c r="M316" s="1348"/>
      <c r="N316" s="1348"/>
      <c r="O316" s="1337" t="s">
        <v>1989</v>
      </c>
      <c r="P316" s="1337"/>
      <c r="Q316" s="1330" t="str">
        <f>'Part II-Development Team'!Q98</f>
        <v>Scott Spivey</v>
      </c>
      <c r="R316" s="1348"/>
      <c r="S316" s="1348"/>
    </row>
    <row r="317" spans="1:19" ht="13.8">
      <c r="A317" s="1330"/>
      <c r="B317" s="1330"/>
      <c r="C317" s="1330"/>
      <c r="D317" s="1346"/>
      <c r="E317" s="1337" t="s">
        <v>1021</v>
      </c>
      <c r="F317" s="1340"/>
      <c r="G317" s="1330"/>
      <c r="H317" s="1330" t="str">
        <f>'Part II-Development Team'!H99</f>
        <v>4875 Riverside Drive, Suite 200</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Macon</v>
      </c>
      <c r="I318" s="1348"/>
      <c r="J318" s="1348"/>
      <c r="K318" s="1334" t="s">
        <v>2704</v>
      </c>
      <c r="L318" s="1330">
        <f>'Part II-Development Team'!L100</f>
        <v>0</v>
      </c>
      <c r="M318" s="1348"/>
      <c r="N318" s="1348"/>
      <c r="O318" s="1337" t="s">
        <v>1721</v>
      </c>
      <c r="P318" s="1330"/>
      <c r="Q318" s="1799">
        <f>'Part II-Development Team'!Q100</f>
        <v>4782547985</v>
      </c>
      <c r="R318" s="1799"/>
      <c r="S318" s="1799"/>
    </row>
    <row r="319" spans="1:19" ht="13.8">
      <c r="A319" s="1330"/>
      <c r="B319" s="1330"/>
      <c r="C319" s="1330"/>
      <c r="D319" s="1346"/>
      <c r="E319" s="1337" t="s">
        <v>1799</v>
      </c>
      <c r="F319" s="1330"/>
      <c r="G319" s="1330"/>
      <c r="H319" s="1337" t="str">
        <f>'Part II-Development Team'!H101</f>
        <v>GA</v>
      </c>
      <c r="I319" s="1330"/>
      <c r="J319" s="1330"/>
      <c r="K319" s="1334" t="s">
        <v>2229</v>
      </c>
      <c r="L319" s="1798">
        <f>'Part II-Development Team'!L101</f>
        <v>312101110</v>
      </c>
      <c r="M319" s="1348"/>
      <c r="N319" s="1330"/>
      <c r="O319" s="1337" t="s">
        <v>1979</v>
      </c>
      <c r="P319" s="1330"/>
      <c r="Q319" s="1799">
        <f>'Part II-Development Team'!Q101</f>
        <v>4782561808</v>
      </c>
      <c r="R319" s="1799"/>
      <c r="S319" s="1799"/>
    </row>
    <row r="320" spans="1:19" ht="13.8">
      <c r="A320" s="1336"/>
      <c r="B320" s="1336"/>
      <c r="C320" s="1336"/>
      <c r="D320" s="1336"/>
      <c r="E320" s="1337" t="s">
        <v>4251</v>
      </c>
      <c r="F320" s="1330"/>
      <c r="G320" s="1330"/>
      <c r="H320" s="1799">
        <f>'Part II-Development Team'!H102</f>
        <v>4782548866</v>
      </c>
      <c r="I320" s="1799"/>
      <c r="J320" s="1344">
        <f>'Part II-Development Team'!J102</f>
        <v>0</v>
      </c>
      <c r="K320" s="1334" t="s">
        <v>1984</v>
      </c>
      <c r="L320" s="1706" t="str">
        <f>'Part II-Development Team'!L102</f>
        <v>sspivey@spgglaw.com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Aprio</v>
      </c>
      <c r="I322" s="1348"/>
      <c r="J322" s="1348"/>
      <c r="K322" s="1348"/>
      <c r="L322" s="1348"/>
      <c r="M322" s="1348"/>
      <c r="N322" s="1348"/>
      <c r="O322" s="1337" t="s">
        <v>1989</v>
      </c>
      <c r="P322" s="1337"/>
      <c r="Q322" s="1330" t="str">
        <f>'Part II-Development Team'!Q104</f>
        <v>Frank Gudger</v>
      </c>
      <c r="R322" s="1348"/>
      <c r="S322" s="1348"/>
    </row>
    <row r="323" spans="1:19" ht="13.8">
      <c r="A323" s="1330"/>
      <c r="B323" s="1330"/>
      <c r="C323" s="1330"/>
      <c r="D323" s="1346"/>
      <c r="E323" s="1337" t="s">
        <v>1021</v>
      </c>
      <c r="F323" s="1340"/>
      <c r="G323" s="1330"/>
      <c r="H323" s="1330" t="str">
        <f>'Part II-Development Team'!H105</f>
        <v>Five Concourse Parkway, Suite 1000</v>
      </c>
      <c r="I323" s="1348"/>
      <c r="J323" s="1348"/>
      <c r="K323" s="1348"/>
      <c r="L323" s="1348"/>
      <c r="M323" s="1348"/>
      <c r="N323" s="1348"/>
      <c r="O323" s="1337" t="s">
        <v>1747</v>
      </c>
      <c r="P323" s="1330"/>
      <c r="Q323" s="1330" t="str">
        <f>'Part II-Development Team'!Q105</f>
        <v>Partner-in-charge</v>
      </c>
      <c r="R323" s="1348"/>
      <c r="S323" s="1348"/>
    </row>
    <row r="324" spans="1:19" ht="13.8">
      <c r="A324" s="1330"/>
      <c r="B324" s="1330"/>
      <c r="C324" s="1330"/>
      <c r="D324" s="1346"/>
      <c r="E324" s="1337" t="s">
        <v>618</v>
      </c>
      <c r="F324" s="1330"/>
      <c r="G324" s="1330"/>
      <c r="H324" s="1330" t="str">
        <f>'Part II-Development Team'!H106</f>
        <v>Atlanta</v>
      </c>
      <c r="I324" s="1348"/>
      <c r="J324" s="1348"/>
      <c r="K324" s="1334" t="s">
        <v>2704</v>
      </c>
      <c r="L324" s="1330" t="str">
        <f>'Part II-Development Team'!L106</f>
        <v>www.aprio.com</v>
      </c>
      <c r="M324" s="1348"/>
      <c r="N324" s="1348"/>
      <c r="O324" s="1337" t="s">
        <v>1721</v>
      </c>
      <c r="P324" s="1330"/>
      <c r="Q324" s="1799">
        <f>'Part II-Development Team'!Q106</f>
        <v>4048988244</v>
      </c>
      <c r="R324" s="1799"/>
      <c r="S324" s="1799"/>
    </row>
    <row r="325" spans="1:19" ht="13.8">
      <c r="A325" s="1330"/>
      <c r="B325" s="1330"/>
      <c r="C325" s="1330"/>
      <c r="D325" s="1346"/>
      <c r="E325" s="1337" t="s">
        <v>1799</v>
      </c>
      <c r="F325" s="1330"/>
      <c r="G325" s="1330"/>
      <c r="H325" s="1337" t="str">
        <f>'Part II-Development Team'!H107</f>
        <v>GA</v>
      </c>
      <c r="I325" s="1330"/>
      <c r="J325" s="1330"/>
      <c r="K325" s="1334" t="s">
        <v>2229</v>
      </c>
      <c r="L325" s="1798">
        <f>'Part II-Development Team'!L107</f>
        <v>303286132</v>
      </c>
      <c r="M325" s="1348"/>
      <c r="N325" s="1330"/>
      <c r="O325" s="1337" t="s">
        <v>1979</v>
      </c>
      <c r="P325" s="1330"/>
      <c r="Q325" s="1799">
        <f>'Part II-Development Team'!Q107</f>
        <v>6783620453</v>
      </c>
      <c r="R325" s="1799"/>
      <c r="S325" s="1799"/>
    </row>
    <row r="326" spans="1:19" ht="13.8">
      <c r="A326" s="1336"/>
      <c r="B326" s="1336"/>
      <c r="C326" s="1336"/>
      <c r="D326" s="1336"/>
      <c r="E326" s="1337" t="s">
        <v>4251</v>
      </c>
      <c r="F326" s="1330"/>
      <c r="G326" s="1330"/>
      <c r="H326" s="1799">
        <f>'Part II-Development Team'!H108</f>
        <v>4048929651</v>
      </c>
      <c r="I326" s="1799"/>
      <c r="J326" s="1344">
        <f>'Part II-Development Team'!J108</f>
        <v>0</v>
      </c>
      <c r="K326" s="1334" t="s">
        <v>1984</v>
      </c>
      <c r="L326" s="1706" t="str">
        <f>'Part II-Development Team'!L108</f>
        <v>Frank.Gudger@aprio.com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Martin Riley Associates Architects, P.C.</v>
      </c>
      <c r="I328" s="1348"/>
      <c r="J328" s="1348"/>
      <c r="K328" s="1348"/>
      <c r="L328" s="1348"/>
      <c r="M328" s="1348"/>
      <c r="N328" s="1348"/>
      <c r="O328" s="1337" t="s">
        <v>1989</v>
      </c>
      <c r="P328" s="1337"/>
      <c r="Q328" s="1330" t="str">
        <f>'Part II-Development Team'!Q110</f>
        <v>Mike Riley</v>
      </c>
      <c r="R328" s="1348"/>
      <c r="S328" s="1348"/>
    </row>
    <row r="329" spans="1:19" ht="13.8">
      <c r="A329" s="1330"/>
      <c r="B329" s="1330"/>
      <c r="C329" s="1330"/>
      <c r="D329" s="1346"/>
      <c r="E329" s="1337" t="s">
        <v>1021</v>
      </c>
      <c r="F329" s="1340"/>
      <c r="G329" s="1330"/>
      <c r="H329" s="1330" t="str">
        <f>'Part II-Development Team'!H111</f>
        <v>215 Church Street</v>
      </c>
      <c r="I329" s="1348"/>
      <c r="J329" s="1348"/>
      <c r="K329" s="1348"/>
      <c r="L329" s="1348"/>
      <c r="M329" s="1348"/>
      <c r="N329" s="1348"/>
      <c r="O329" s="1337" t="s">
        <v>1747</v>
      </c>
      <c r="P329" s="1330"/>
      <c r="Q329" s="1330" t="str">
        <f>'Part II-Development Team'!Q111</f>
        <v>Vice Presient</v>
      </c>
      <c r="R329" s="1348"/>
      <c r="S329" s="1348"/>
    </row>
    <row r="330" spans="1:19" ht="13.8">
      <c r="A330" s="1330"/>
      <c r="B330" s="1330"/>
      <c r="C330" s="1330"/>
      <c r="D330" s="1346"/>
      <c r="E330" s="1337" t="s">
        <v>618</v>
      </c>
      <c r="F330" s="1330"/>
      <c r="G330" s="1330"/>
      <c r="H330" s="1330" t="str">
        <f>'Part II-Development Team'!H112</f>
        <v>Decatur</v>
      </c>
      <c r="I330" s="1348"/>
      <c r="J330" s="1348"/>
      <c r="K330" s="1334" t="s">
        <v>2704</v>
      </c>
      <c r="L330" s="1330" t="str">
        <f>'Part II-Development Team'!L112</f>
        <v>www.martinriley.com</v>
      </c>
      <c r="M330" s="1348"/>
      <c r="N330" s="1348"/>
      <c r="O330" s="1337" t="s">
        <v>1721</v>
      </c>
      <c r="P330" s="1330"/>
      <c r="Q330" s="1799">
        <f>'Part II-Development Team'!Q112</f>
        <v>4043732800</v>
      </c>
      <c r="R330" s="1799"/>
      <c r="S330" s="1799"/>
    </row>
    <row r="331" spans="1:19" ht="13.8">
      <c r="A331" s="1330"/>
      <c r="B331" s="1330"/>
      <c r="C331" s="1330"/>
      <c r="D331" s="1346"/>
      <c r="E331" s="1337" t="s">
        <v>1799</v>
      </c>
      <c r="F331" s="1330"/>
      <c r="G331" s="1330"/>
      <c r="H331" s="1337" t="str">
        <f>'Part II-Development Team'!H113</f>
        <v>GA</v>
      </c>
      <c r="I331" s="1330"/>
      <c r="J331" s="1330"/>
      <c r="K331" s="1334" t="s">
        <v>2229</v>
      </c>
      <c r="L331" s="1798">
        <f>'Part II-Development Team'!L113</f>
        <v>300303330</v>
      </c>
      <c r="M331" s="1348"/>
      <c r="N331" s="1330"/>
      <c r="O331" s="1337" t="s">
        <v>1979</v>
      </c>
      <c r="P331" s="1330"/>
      <c r="Q331" s="1799">
        <f>'Part II-Development Team'!Q113</f>
        <v>0</v>
      </c>
      <c r="R331" s="1799"/>
      <c r="S331" s="1799"/>
    </row>
    <row r="332" spans="1:19" ht="13.8">
      <c r="A332" s="1330"/>
      <c r="B332" s="1330"/>
      <c r="C332" s="1330"/>
      <c r="D332" s="1346"/>
      <c r="E332" s="1337" t="s">
        <v>4251</v>
      </c>
      <c r="F332" s="1330"/>
      <c r="G332" s="1330"/>
      <c r="H332" s="1799">
        <f>'Part II-Development Team'!H114</f>
        <v>4043732800</v>
      </c>
      <c r="I332" s="1799"/>
      <c r="J332" s="1344">
        <f>'Part II-Development Team'!J114</f>
        <v>0</v>
      </c>
      <c r="K332" s="1334" t="s">
        <v>1984</v>
      </c>
      <c r="L332" s="1706" t="str">
        <f>'Part II-Development Team'!L114</f>
        <v>mriley@martinriley.com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1983</v>
      </c>
      <c r="C335" s="1330" t="s">
        <v>5089</v>
      </c>
      <c r="D335" s="1330"/>
      <c r="E335" s="1330"/>
      <c r="F335" s="1330"/>
      <c r="G335" s="1330"/>
      <c r="H335" s="1330" t="str">
        <f>'Part II-Development Team'!H117</f>
        <v>RAC, LLC &amp; Gateway Development Co., Inc</v>
      </c>
      <c r="I335" s="1330"/>
      <c r="J335" s="1330"/>
      <c r="K335" s="1334" t="s">
        <v>2474</v>
      </c>
      <c r="L335" s="1330" t="str">
        <f>'Part II-Development Team'!L117</f>
        <v>Sherri Rollins</v>
      </c>
      <c r="M335" s="1348"/>
      <c r="N335" s="1348"/>
      <c r="O335" s="1337" t="s">
        <v>3578</v>
      </c>
      <c r="P335" s="1330"/>
      <c r="Q335" s="1799">
        <f>'Part II-Development Team'!Q117</f>
        <v>4789868756</v>
      </c>
      <c r="R335" s="2328"/>
      <c r="S335" s="2328"/>
    </row>
    <row r="336" spans="1:19" ht="13.8">
      <c r="A336" s="1330"/>
      <c r="B336" s="1330"/>
      <c r="C336" s="1330"/>
      <c r="D336" s="1346"/>
      <c r="E336" s="1337" t="s">
        <v>1021</v>
      </c>
      <c r="F336" s="1340"/>
      <c r="G336" s="1330"/>
      <c r="H336" s="1330" t="str">
        <f>'Part II-Development Team'!H118</f>
        <v>P.O.Box 697</v>
      </c>
      <c r="I336" s="1348"/>
      <c r="J336" s="1348"/>
      <c r="K336" s="1348"/>
      <c r="L336" s="1348"/>
      <c r="M336" s="1348"/>
      <c r="N336" s="1348"/>
      <c r="O336" s="1337" t="s">
        <v>618</v>
      </c>
      <c r="P336" s="1330"/>
      <c r="Q336" s="1330">
        <f>'Part II-Development Team'!Q118</f>
        <v>0</v>
      </c>
      <c r="R336" s="1348"/>
      <c r="S336" s="1348"/>
    </row>
    <row r="337" spans="1:19" ht="13.8">
      <c r="A337" s="1330"/>
      <c r="B337" s="1330"/>
      <c r="C337" s="1330"/>
      <c r="D337" s="1346"/>
      <c r="E337" s="1337" t="s">
        <v>1799</v>
      </c>
      <c r="F337" s="1330"/>
      <c r="G337" s="1330"/>
      <c r="H337" s="1337" t="str">
        <f>'Part II-Development Team'!H119</f>
        <v>GA</v>
      </c>
      <c r="I337" s="1334" t="s">
        <v>2229</v>
      </c>
      <c r="J337" s="1798">
        <f>'Part II-Development Team'!J119</f>
        <v>310320000</v>
      </c>
      <c r="K337" s="1348"/>
      <c r="L337" s="1334" t="s">
        <v>1984</v>
      </c>
      <c r="M337" s="1706" t="str">
        <f>'Part II-Development Team'!M119</f>
        <v>srollins@gatewaydco.com</v>
      </c>
      <c r="N337" s="1706"/>
      <c r="O337" s="1706"/>
      <c r="P337" s="1706"/>
      <c r="Q337" s="1706"/>
      <c r="R337" s="1706"/>
      <c r="S337" s="1706"/>
    </row>
    <row r="338" spans="1:19" ht="13.8">
      <c r="A338" s="1336"/>
      <c r="B338" s="1330" t="s">
        <v>1985</v>
      </c>
      <c r="C338" s="1330" t="s">
        <v>5080</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3876</v>
      </c>
      <c r="B339" s="1386"/>
      <c r="C339" s="1386"/>
      <c r="D339" s="1386"/>
      <c r="E339" s="1386"/>
      <c r="F339" s="1344" t="s">
        <v>2510</v>
      </c>
      <c r="G339" s="1341" t="s">
        <v>3478</v>
      </c>
      <c r="H339" s="1341"/>
      <c r="I339" s="1341"/>
      <c r="J339" s="1341"/>
      <c r="K339" s="1341"/>
      <c r="L339" s="1341"/>
      <c r="M339" s="1341"/>
      <c r="N339" s="1341"/>
      <c r="O339" s="1341"/>
      <c r="P339" s="1341"/>
      <c r="Q339" s="1341"/>
      <c r="R339" s="1341"/>
      <c r="S339" s="1341"/>
    </row>
    <row r="340" spans="1:19" ht="13.5" customHeight="1">
      <c r="A340" s="1330"/>
      <c r="B340" s="1375"/>
      <c r="C340" s="2329" t="s">
        <v>1986</v>
      </c>
      <c r="D340" s="1365" t="s">
        <v>2837</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1988</v>
      </c>
      <c r="D341" s="1365" t="s">
        <v>2902</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2534</v>
      </c>
      <c r="D342" s="1365" t="s">
        <v>2878</v>
      </c>
      <c r="E342" s="1365"/>
      <c r="F342" s="1812" t="str">
        <f>'Part II-Development Team'!F124</f>
        <v>No</v>
      </c>
      <c r="G342" s="1573">
        <f>'Part II-Development Team'!G124</f>
        <v>0</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2838</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3466</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1881</v>
      </c>
      <c r="D345" s="1365" t="s">
        <v>3467</v>
      </c>
      <c r="E345" s="1365"/>
      <c r="F345" s="1812" t="str">
        <f>'Part II-Development Team'!F127</f>
        <v>Yes</v>
      </c>
      <c r="G345" s="1573" t="str">
        <f>'Part II-Development Team'!G127</f>
        <v>The Federal and State Syndicator and the General Contractor are related parties.</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2839</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5026</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5025</v>
      </c>
      <c r="D348" s="1365" t="str">
        <f>'Part II-Development Team'!D130</f>
        <v>Syndicator and Management Company?</v>
      </c>
      <c r="E348" s="1365">
        <f>'Part II-Development Team'!E130</f>
        <v>0</v>
      </c>
      <c r="F348" s="1812" t="str">
        <f>'Part II-Development Team'!F130</f>
        <v>No</v>
      </c>
      <c r="G348" s="1573">
        <f>'Part II-Development Team'!G130</f>
        <v>0</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5293</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5081</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3448</v>
      </c>
      <c r="F352" s="1365"/>
      <c r="G352" s="1365"/>
      <c r="H352" s="1365"/>
      <c r="I352" s="1365"/>
      <c r="J352" s="1365" t="s">
        <v>3449</v>
      </c>
      <c r="K352" s="1365" t="s">
        <v>5090</v>
      </c>
      <c r="L352" s="1365" t="s">
        <v>5091</v>
      </c>
      <c r="M352" s="1365" t="s">
        <v>5092</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5294</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2907</v>
      </c>
      <c r="O356" s="1348"/>
      <c r="P356" s="1348"/>
      <c r="Q356" s="1348"/>
      <c r="R356" s="1348"/>
      <c r="S356" s="1348"/>
    </row>
    <row r="357" spans="1:19" ht="13.5" customHeight="1">
      <c r="A357" s="1391" t="s">
        <v>3443</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3444</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Select</v>
      </c>
      <c r="J358" s="1812" t="str">
        <f>'Part II-Development Team'!J140</f>
        <v>Select</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3445</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3446</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3447</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2895</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Select</v>
      </c>
      <c r="J362" s="1812" t="str">
        <f>'Part II-Development Team'!J144</f>
        <v>Select</v>
      </c>
      <c r="K362" s="1813">
        <f>'Part II-Development Team'!K144</f>
        <v>0</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2896</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Select</v>
      </c>
      <c r="J364" s="1812" t="str">
        <f>'Part II-Development Team'!J146</f>
        <v>Select</v>
      </c>
      <c r="K364" s="1813">
        <f>'Part II-Development Team'!K146</f>
        <v>0</v>
      </c>
      <c r="L364" s="1814">
        <f>'Part II-Development Team'!L146</f>
        <v>0</v>
      </c>
      <c r="M364" s="1812" t="str">
        <f>'Part II-Development Team'!M146</f>
        <v>Select</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2897</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2899</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2898</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2900</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c r="A372" s="1391">
        <f>'Part II-Development Team'!A154</f>
        <v>0</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2019-060 Dulles Park II, Gray, Jones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2491</v>
      </c>
      <c r="C380" s="1330"/>
      <c r="D380" s="1330"/>
      <c r="E380" s="1330"/>
      <c r="F380" s="1330"/>
      <c r="G380" s="1330"/>
      <c r="H380" s="1393"/>
      <c r="I380" s="1393"/>
      <c r="J380" s="1393"/>
      <c r="K380" s="1393"/>
      <c r="L380" s="2330" t="str">
        <f>'Part I-Project Information'!$B$6</f>
        <v>May 2019</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8">
      <c r="A382" s="1334"/>
      <c r="B382" s="1334" t="str">
        <f>'Part III-Sources of Funds'!B5</f>
        <v>Yes</v>
      </c>
      <c r="C382" s="1337" t="s">
        <v>2410</v>
      </c>
      <c r="D382" s="1330"/>
      <c r="E382" s="1334">
        <f>'Part III-Sources of Funds'!E5</f>
        <v>0</v>
      </c>
      <c r="F382" s="1337" t="s">
        <v>4496</v>
      </c>
      <c r="G382" s="1330"/>
      <c r="H382" s="1815">
        <f>'Part III-Sources of Funds'!H5</f>
        <v>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8">
      <c r="A383" s="1334"/>
      <c r="B383" s="1334">
        <f>'Part III-Sources of Funds'!B6</f>
        <v>0</v>
      </c>
      <c r="C383" s="1337" t="s">
        <v>5000</v>
      </c>
      <c r="D383" s="1330"/>
      <c r="E383" s="1334">
        <f>'Part III-Sources of Funds'!E6</f>
        <v>0</v>
      </c>
      <c r="F383" s="1337" t="s">
        <v>4497</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8">
      <c r="A384" s="1330"/>
      <c r="B384" s="1334">
        <f>'Part III-Sources of Funds'!B7</f>
        <v>0</v>
      </c>
      <c r="C384" s="1337" t="s">
        <v>551</v>
      </c>
      <c r="D384" s="1393"/>
      <c r="E384" s="1393"/>
      <c r="F384" s="1330" t="s">
        <v>5295</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3617</v>
      </c>
      <c r="N384" s="1393"/>
      <c r="O384" s="1393"/>
      <c r="P384" s="1393"/>
      <c r="Q384" s="1393"/>
      <c r="R384" s="1393"/>
      <c r="S384" s="1391">
        <f>'Part III-Sources of Funds'!S7</f>
        <v>0</v>
      </c>
      <c r="T384" s="1391">
        <f>'Part III-Sources of Funds'!T7</f>
        <v>0</v>
      </c>
    </row>
    <row r="385" spans="1:20" ht="13.8">
      <c r="A385" s="1334"/>
      <c r="B385" s="1334">
        <f>'Part III-Sources of Funds'!B8</f>
        <v>0</v>
      </c>
      <c r="C385" s="1337" t="s">
        <v>2601</v>
      </c>
      <c r="D385" s="1393"/>
      <c r="E385" s="1334">
        <f>'Part III-Sources of Funds'!E8</f>
        <v>0</v>
      </c>
      <c r="F385" s="1337" t="s">
        <v>2609</v>
      </c>
      <c r="G385" s="1393"/>
      <c r="H385" s="1393"/>
      <c r="I385" s="1393"/>
      <c r="J385" s="1393"/>
      <c r="K385" s="1393"/>
      <c r="L385" s="1334">
        <f>'Part III-Sources of Funds'!L8</f>
        <v>0</v>
      </c>
      <c r="M385" s="1337" t="s">
        <v>5001</v>
      </c>
      <c r="N385" s="1393"/>
      <c r="O385" s="1393"/>
      <c r="P385" s="1393"/>
      <c r="Q385" s="1393"/>
      <c r="R385" s="1393"/>
      <c r="S385" s="1391">
        <f>'Part III-Sources of Funds'!S8</f>
        <v>0</v>
      </c>
      <c r="T385" s="1391">
        <f>'Part III-Sources of Funds'!T8</f>
        <v>0</v>
      </c>
    </row>
    <row r="386" spans="1:20" ht="13.8">
      <c r="A386" s="1334"/>
      <c r="B386" s="1334">
        <f>'Part III-Sources of Funds'!B9</f>
        <v>0</v>
      </c>
      <c r="C386" s="1337" t="s">
        <v>2602</v>
      </c>
      <c r="D386" s="1393"/>
      <c r="E386" s="1334">
        <f>'Part III-Sources of Funds'!E9</f>
        <v>0</v>
      </c>
      <c r="F386" s="1337" t="s">
        <v>3719</v>
      </c>
      <c r="G386" s="1393"/>
      <c r="H386" s="1393" t="str">
        <f>'Part III-Sources of Funds'!H9</f>
        <v>Specify Other PBRA Source here</v>
      </c>
      <c r="I386" s="1393">
        <f>'Part III-Sources of Funds'!I9</f>
        <v>0</v>
      </c>
      <c r="J386" s="1393">
        <f>'Part III-Sources of Funds'!J9</f>
        <v>0</v>
      </c>
      <c r="K386" s="1393"/>
      <c r="L386" s="1334">
        <f>'Part III-Sources of Funds'!L9</f>
        <v>0</v>
      </c>
      <c r="M386" s="1337" t="s">
        <v>3678</v>
      </c>
      <c r="N386" s="1393"/>
      <c r="O386" s="1393"/>
      <c r="P386" s="1393"/>
      <c r="Q386" s="1393"/>
      <c r="R386" s="1393"/>
      <c r="S386" s="1391">
        <f>'Part III-Sources of Funds'!S9</f>
        <v>0</v>
      </c>
      <c r="T386" s="1391">
        <f>'Part III-Sources of Funds'!T9</f>
        <v>0</v>
      </c>
    </row>
    <row r="387" spans="1:20" ht="13.8">
      <c r="A387" s="1334"/>
      <c r="B387" s="1334">
        <f>'Part III-Sources of Funds'!B10</f>
        <v>0</v>
      </c>
      <c r="C387" s="1337" t="s">
        <v>3683</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2610</v>
      </c>
      <c r="N387" s="1393"/>
      <c r="O387" s="1393"/>
      <c r="P387" s="1393"/>
      <c r="Q387" s="1393"/>
      <c r="R387" s="1393"/>
      <c r="S387" s="1391">
        <f>'Part III-Sources of Funds'!S10</f>
        <v>0</v>
      </c>
      <c r="T387" s="1391">
        <f>'Part III-Sources of Funds'!T10</f>
        <v>0</v>
      </c>
    </row>
    <row r="388" spans="1:20" ht="13.8">
      <c r="A388" s="1334"/>
      <c r="B388" s="1334">
        <f>'Part III-Sources of Funds'!B11</f>
        <v>0</v>
      </c>
      <c r="C388" s="1330" t="s">
        <v>3883</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3722</v>
      </c>
      <c r="N388" s="1393"/>
      <c r="O388" s="1393"/>
      <c r="P388" s="1393"/>
      <c r="Q388" s="1393"/>
      <c r="R388" s="1393"/>
      <c r="S388" s="1391">
        <f>'Part III-Sources of Funds'!S11</f>
        <v>0</v>
      </c>
      <c r="T388" s="1391">
        <f>'Part III-Sources of Funds'!T11</f>
        <v>0</v>
      </c>
    </row>
    <row r="389" spans="1:20" ht="13.8">
      <c r="A389" s="1334"/>
      <c r="B389" s="1334">
        <f>'Part III-Sources of Funds'!B12</f>
        <v>0</v>
      </c>
      <c r="C389" s="1330" t="s">
        <v>2608</v>
      </c>
      <c r="D389" s="1393"/>
      <c r="E389" s="1334">
        <f>'Part III-Sources of Funds'!E12</f>
        <v>0</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2796</v>
      </c>
      <c r="N389" s="1393"/>
      <c r="O389" s="1393"/>
      <c r="P389" s="1393"/>
      <c r="Q389" s="1393"/>
      <c r="R389" s="1393"/>
      <c r="S389" s="1391">
        <f>'Part III-Sources of Funds'!S12</f>
        <v>0</v>
      </c>
      <c r="T389" s="1391">
        <f>'Part III-Sources of Funds'!T12</f>
        <v>0</v>
      </c>
    </row>
    <row r="390" spans="1:20" ht="13.8">
      <c r="A390" s="1334"/>
      <c r="B390" s="1334">
        <f>'Part III-Sources of Funds'!B13</f>
        <v>0</v>
      </c>
      <c r="C390" s="1330" t="s">
        <v>3717</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3882</v>
      </c>
      <c r="N390" s="1393"/>
      <c r="O390" s="1393"/>
      <c r="P390" s="1393"/>
      <c r="Q390" s="1393"/>
      <c r="R390" s="1393"/>
      <c r="S390" s="1391">
        <f>'Part III-Sources of Funds'!S13</f>
        <v>0</v>
      </c>
      <c r="T390" s="1391">
        <f>'Part III-Sources of Funds'!T13</f>
        <v>0</v>
      </c>
    </row>
    <row r="391" spans="1:20" ht="13.8">
      <c r="A391" s="1334"/>
      <c r="B391" s="1334">
        <f>'Part III-Sources of Funds'!B14</f>
        <v>0</v>
      </c>
      <c r="C391" s="1337" t="s">
        <v>1803</v>
      </c>
      <c r="D391" s="1393"/>
      <c r="E391" s="1334">
        <f>'Part III-Sources of Funds'!E14</f>
        <v>0</v>
      </c>
      <c r="F391" s="1337" t="s">
        <v>4998</v>
      </c>
      <c r="G391" s="1393"/>
      <c r="H391" s="1393"/>
      <c r="I391" s="1449">
        <f>'Part III-Sources of Funds'!I14</f>
        <v>0</v>
      </c>
      <c r="J391" s="1449">
        <f>'Part III-Sources of Funds'!J14</f>
        <v>0</v>
      </c>
      <c r="K391" s="1393"/>
      <c r="L391" s="1334">
        <f>'Part III-Sources of Funds'!L14</f>
        <v>0</v>
      </c>
      <c r="M391" s="1332" t="s">
        <v>5296</v>
      </c>
      <c r="N391" s="1393"/>
      <c r="O391" s="1393"/>
      <c r="P391" s="1393"/>
      <c r="Q391" s="1393"/>
      <c r="R391" s="1393"/>
      <c r="S391" s="1393"/>
      <c r="T391" s="1393"/>
    </row>
    <row r="392" spans="1:20" ht="13.8">
      <c r="A392" s="1334"/>
      <c r="B392" s="1393" t="s">
        <v>5002</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1871</v>
      </c>
      <c r="C396" s="1330"/>
      <c r="D396" s="1330"/>
      <c r="E396" s="1330"/>
      <c r="F396" s="1330"/>
      <c r="G396" s="1330"/>
      <c r="H396" s="1330" t="s">
        <v>1297</v>
      </c>
      <c r="I396" s="1330"/>
      <c r="J396" s="1330"/>
      <c r="K396" s="1330"/>
      <c r="L396" s="1330" t="s">
        <v>4954</v>
      </c>
      <c r="M396" s="1330"/>
      <c r="N396" s="1330" t="s">
        <v>1507</v>
      </c>
      <c r="O396" s="1330"/>
      <c r="P396" s="1330" t="s">
        <v>1630</v>
      </c>
      <c r="Q396" s="1330"/>
      <c r="R396" s="1393"/>
      <c r="S396" s="1794" t="s">
        <v>2683</v>
      </c>
      <c r="T396" s="1794"/>
    </row>
    <row r="397" spans="1:20" ht="13.8">
      <c r="A397" s="1330"/>
      <c r="B397" s="1330" t="s">
        <v>1591</v>
      </c>
      <c r="C397" s="1330"/>
      <c r="D397" s="1330"/>
      <c r="E397" s="1330"/>
      <c r="F397" s="1330"/>
      <c r="G397" s="1330"/>
      <c r="H397" s="1386" t="str">
        <f>'Part III-Sources of Funds'!H20</f>
        <v>Sterling Bank</v>
      </c>
      <c r="I397" s="1386">
        <f>'Part III-Sources of Funds'!I20</f>
        <v>0</v>
      </c>
      <c r="J397" s="1386">
        <f>'Part III-Sources of Funds'!J20</f>
        <v>0</v>
      </c>
      <c r="K397" s="1386">
        <f>'Part III-Sources of Funds'!K20</f>
        <v>0</v>
      </c>
      <c r="L397" s="1412">
        <f>'Part III-Sources of Funds'!L20</f>
        <v>6147213</v>
      </c>
      <c r="M397" s="1412">
        <f>'Part III-Sources of Funds'!M20</f>
        <v>0</v>
      </c>
      <c r="N397" s="1395">
        <f>'Part III-Sources of Funds'!N20</f>
        <v>0.06</v>
      </c>
      <c r="O397" s="1395">
        <f>'Part III-Sources of Funds'!O20</f>
        <v>0</v>
      </c>
      <c r="P397" s="1467">
        <f>'Part III-Sources of Funds'!P20</f>
        <v>18</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802</v>
      </c>
      <c r="C403" s="1330"/>
      <c r="D403" s="1330"/>
      <c r="E403" s="1330"/>
      <c r="F403" s="1393"/>
      <c r="G403" s="1393"/>
      <c r="H403" s="1386" t="str">
        <f>'Part III-Sources of Funds'!H26</f>
        <v>Affordable Equity Partners, Inc</v>
      </c>
      <c r="I403" s="1386">
        <f>'Part III-Sources of Funds'!I26</f>
        <v>0</v>
      </c>
      <c r="J403" s="1386">
        <f>'Part III-Sources of Funds'!J26</f>
        <v>0</v>
      </c>
      <c r="K403" s="1386">
        <f>'Part III-Sources of Funds'!K26</f>
        <v>0</v>
      </c>
      <c r="L403" s="1412">
        <f>'Part III-Sources of Funds'!L26</f>
        <v>1246852</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803</v>
      </c>
      <c r="C404" s="1330"/>
      <c r="D404" s="1330"/>
      <c r="E404" s="1330"/>
      <c r="F404" s="1393"/>
      <c r="G404" s="1393"/>
      <c r="H404" s="1386" t="str">
        <f>'Part III-Sources of Funds'!H27</f>
        <v>Affordable Equity Partners, Inc</v>
      </c>
      <c r="I404" s="1386">
        <f>'Part III-Sources of Funds'!I27</f>
        <v>0</v>
      </c>
      <c r="J404" s="1386">
        <f>'Part III-Sources of Funds'!J27</f>
        <v>0</v>
      </c>
      <c r="K404" s="1386">
        <f>'Part III-Sources of Funds'!K27</f>
        <v>0</v>
      </c>
      <c r="L404" s="1412">
        <f>'Part III-Sources of Funds'!L27</f>
        <v>553528</v>
      </c>
      <c r="M404" s="1412">
        <f>'Part III-Sources of Funds'!M27</f>
        <v>0</v>
      </c>
      <c r="N404" s="1330"/>
      <c r="O404" s="1393"/>
      <c r="P404" s="1393"/>
      <c r="Q404" s="1330"/>
      <c r="R404" s="1393"/>
      <c r="S404" s="1391">
        <f>'Part III-Sources of Funds'!S27</f>
        <v>0</v>
      </c>
      <c r="T404" s="1391">
        <f>'Part III-Sources of Funds'!T27</f>
        <v>0</v>
      </c>
    </row>
    <row r="405" spans="1:20" ht="27.6">
      <c r="A405" s="1330"/>
      <c r="B405" s="1330" t="s">
        <v>242</v>
      </c>
      <c r="C405" s="1330"/>
      <c r="D405" s="1386" t="str">
        <f>'Part III-Sources of Funds'!D28</f>
        <v>GP/LP Equity</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110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7947703</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7947703</v>
      </c>
      <c r="M409" s="1400"/>
      <c r="N409" s="1341"/>
      <c r="O409" s="1393"/>
      <c r="P409" s="1393"/>
      <c r="Q409" s="1393"/>
      <c r="R409" s="1393"/>
      <c r="S409" s="1391">
        <f>'Part III-Sources of Funds'!S32</f>
        <v>0</v>
      </c>
      <c r="T409" s="1391">
        <f>'Part III-Sources of Funds'!T32</f>
        <v>0</v>
      </c>
    </row>
    <row r="410" spans="1:20" ht="13.8">
      <c r="A410" s="1330"/>
      <c r="B410" s="1337" t="s">
        <v>2157</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8">
      <c r="A414" s="1330"/>
      <c r="B414" s="1337" t="s">
        <v>1871</v>
      </c>
      <c r="C414" s="1330"/>
      <c r="D414" s="1330"/>
      <c r="E414" s="1330" t="s">
        <v>1297</v>
      </c>
      <c r="F414" s="1330"/>
      <c r="G414" s="1330"/>
      <c r="H414" s="1330"/>
      <c r="I414" s="1330" t="s">
        <v>4953</v>
      </c>
      <c r="J414" s="1330"/>
      <c r="K414" s="1334" t="s">
        <v>1806</v>
      </c>
      <c r="L414" s="1334" t="s">
        <v>2214</v>
      </c>
      <c r="M414" s="1334" t="s">
        <v>2214</v>
      </c>
      <c r="N414" s="1330" t="s">
        <v>74</v>
      </c>
      <c r="O414" s="1330"/>
      <c r="P414" s="1341"/>
      <c r="Q414" s="1341"/>
      <c r="R414" s="1393"/>
      <c r="S414" s="1794" t="s">
        <v>2683</v>
      </c>
      <c r="T414" s="1794"/>
    </row>
    <row r="415" spans="1:20" ht="13.8">
      <c r="A415" s="1330"/>
      <c r="B415" s="1330" t="s">
        <v>2614</v>
      </c>
      <c r="C415" s="1330"/>
      <c r="D415" s="1330"/>
      <c r="E415" s="1386">
        <f>'Part III-Sources of Funds'!E38</f>
        <v>0</v>
      </c>
      <c r="F415" s="1386">
        <f>'Part III-Sources of Funds'!F38</f>
        <v>0</v>
      </c>
      <c r="G415" s="1386">
        <f>'Part III-Sources of Funds'!G38</f>
        <v>0</v>
      </c>
      <c r="H415" s="1386">
        <f>'Part III-Sources of Funds'!H38</f>
        <v>0</v>
      </c>
      <c r="I415" s="1462">
        <f>'Part III-Sources of Funds'!I38</f>
        <v>0</v>
      </c>
      <c r="J415" s="1330">
        <f>'Part III-Sources of Funds'!J38</f>
        <v>0</v>
      </c>
      <c r="K415" s="1399">
        <f>'Part III-Sources of Funds'!K38</f>
        <v>0</v>
      </c>
      <c r="L415" s="1334">
        <f>'Part III-Sources of Funds'!L38</f>
        <v>0</v>
      </c>
      <c r="M415" s="1334">
        <f>'Part III-Sources of Funds'!M38</f>
        <v>0</v>
      </c>
      <c r="N415" s="1330">
        <f>'Part III-Sources of Funds'!N38</f>
        <v>0</v>
      </c>
      <c r="O415" s="1330">
        <f>'Part III-Sources of Funds'!O38</f>
        <v>0</v>
      </c>
      <c r="P415" s="1400" t="str">
        <f>'Part III-Sources of Funds'!P38</f>
        <v/>
      </c>
      <c r="Q415" s="1400">
        <f>'Part III-Sources of Funds'!Q38</f>
        <v>0</v>
      </c>
      <c r="R415" s="1393"/>
      <c r="S415" s="1391">
        <f>'Part III-Sources of Funds'!S38</f>
        <v>0</v>
      </c>
      <c r="T415" s="1391">
        <f>'Part III-Sources of Funds'!T38</f>
        <v>0</v>
      </c>
    </row>
    <row r="416" spans="1:20" ht="13.8">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13.8">
      <c r="A420" s="1330"/>
      <c r="B420" s="1330" t="s">
        <v>228</v>
      </c>
      <c r="C420" s="1330"/>
      <c r="D420" s="1401">
        <f>'Part III-Sources of Funds'!D43</f>
        <v>1.0240903774491581E-2</v>
      </c>
      <c r="E420" s="1386" t="str">
        <f>'Part III-Sources of Funds'!E43</f>
        <v>Magita Inc.</v>
      </c>
      <c r="F420" s="1386">
        <f>'Part III-Sources of Funds'!F43</f>
        <v>0</v>
      </c>
      <c r="G420" s="1386">
        <f>'Part III-Sources of Funds'!G43</f>
        <v>0</v>
      </c>
      <c r="H420" s="1386">
        <f>'Part III-Sources of Funds'!H43</f>
        <v>0</v>
      </c>
      <c r="I420" s="1449">
        <f>'Part III-Sources of Funds'!I43</f>
        <v>11295</v>
      </c>
      <c r="J420" s="1449">
        <f>'Part III-Sources of Funds'!J43</f>
        <v>0</v>
      </c>
      <c r="K420" s="1399">
        <f>'Part III-Sources of Funds'!K43</f>
        <v>0</v>
      </c>
      <c r="L420" s="1334">
        <f>'Part III-Sources of Funds'!L43</f>
        <v>15</v>
      </c>
      <c r="M420" s="1334">
        <f>'Part III-Sources of Funds'!M43</f>
        <v>0</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4179</v>
      </c>
      <c r="C422" s="1330"/>
      <c r="D422" s="1393"/>
      <c r="E422" s="1393" t="s">
        <v>4081</v>
      </c>
      <c r="F422" s="1402">
        <f>'Part III-Sources of Funds'!F45</f>
        <v>670737.04444887314</v>
      </c>
      <c r="G422" s="1393">
        <f>'Part III-Sources of Funds'!G45</f>
        <v>0</v>
      </c>
      <c r="H422" s="1394" t="s">
        <v>4178</v>
      </c>
      <c r="I422" s="1402">
        <f>'Part III-Sources of Funds'!I45</f>
        <v>11295</v>
      </c>
      <c r="J422" s="1393">
        <f>'Part III-Sources of Funds'!J45</f>
        <v>0</v>
      </c>
      <c r="K422" s="1394" t="s">
        <v>4180</v>
      </c>
      <c r="L422" s="1403">
        <f>'Part III-Sources of Funds'!L45</f>
        <v>1.6839684185448265E-2</v>
      </c>
      <c r="M422" s="1403">
        <f>'Part III-Sources of Funds'!M45</f>
        <v>0</v>
      </c>
      <c r="N422" s="1400" t="s">
        <v>4965</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55.2">
      <c r="A426" s="1330"/>
      <c r="B426" s="1330" t="s">
        <v>802</v>
      </c>
      <c r="C426" s="1330"/>
      <c r="D426" s="1330"/>
      <c r="E426" s="1386" t="str">
        <f>'Part III-Sources of Funds'!E49</f>
        <v>Affordable Equity Partners, Inc.</v>
      </c>
      <c r="F426" s="1386">
        <f>'Part III-Sources of Funds'!F49</f>
        <v>0</v>
      </c>
      <c r="G426" s="1386">
        <f>'Part III-Sources of Funds'!G49</f>
        <v>0</v>
      </c>
      <c r="H426" s="1386">
        <f>'Part III-Sources of Funds'!H49</f>
        <v>0</v>
      </c>
      <c r="I426" s="1462">
        <f>'Part III-Sources of Funds'!I49</f>
        <v>6234255</v>
      </c>
      <c r="J426" s="1462">
        <f>'Part III-Sources of Funds'!J49</f>
        <v>0</v>
      </c>
      <c r="K426" s="1393"/>
      <c r="L426" s="1406">
        <f>'Part IV-A-Uses of Funds'!$J$175*10*'Part IV-A-Uses of Funds'!$N$168</f>
        <v>6298500</v>
      </c>
      <c r="M426" s="1406"/>
      <c r="N426" s="1407">
        <f>I426-L426</f>
        <v>-64245</v>
      </c>
      <c r="O426" s="1407"/>
      <c r="P426" s="1408" t="s">
        <v>2560</v>
      </c>
      <c r="Q426" s="1330"/>
      <c r="R426" s="1393"/>
      <c r="S426" s="1391">
        <f>'Part III-Sources of Funds'!S49</f>
        <v>0</v>
      </c>
      <c r="T426" s="1391">
        <f>'Part III-Sources of Funds'!T49</f>
        <v>0</v>
      </c>
    </row>
    <row r="427" spans="1:20" ht="55.2">
      <c r="A427" s="1330"/>
      <c r="B427" s="1330" t="s">
        <v>803</v>
      </c>
      <c r="C427" s="1330"/>
      <c r="D427" s="1330"/>
      <c r="E427" s="1386" t="str">
        <f>'Part III-Sources of Funds'!E50</f>
        <v>Affordable Equity Partners, Inc.</v>
      </c>
      <c r="F427" s="1386">
        <f>'Part III-Sources of Funds'!F50</f>
        <v>0</v>
      </c>
      <c r="G427" s="1386">
        <f>'Part III-Sources of Funds'!G50</f>
        <v>0</v>
      </c>
      <c r="H427" s="1386">
        <f>'Part III-Sources of Funds'!H50</f>
        <v>0</v>
      </c>
      <c r="I427" s="1462">
        <f>'Part III-Sources of Funds'!I50</f>
        <v>2767635</v>
      </c>
      <c r="J427" s="1462">
        <f>'Part III-Sources of Funds'!J50</f>
        <v>0</v>
      </c>
      <c r="K427" s="1393"/>
      <c r="L427" s="1406">
        <f>'Part IV-A-Uses of Funds'!$J$175*10*'Part IV-A-Uses of Funds'!$Q$168</f>
        <v>2704650</v>
      </c>
      <c r="M427" s="1406"/>
      <c r="N427" s="1407">
        <f>I427-L427</f>
        <v>62985</v>
      </c>
      <c r="O427" s="1407"/>
      <c r="P427" s="1409">
        <f>I426/I436</f>
        <v>0.69167324491209925</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0.30706140207327065</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0.99873464698536996</v>
      </c>
      <c r="Q429" s="1330"/>
      <c r="R429" s="1393"/>
      <c r="S429" s="1391">
        <f>'Part III-Sources of Funds'!S52</f>
        <v>0</v>
      </c>
      <c r="T429" s="1391">
        <f>'Part III-Sources of Funds'!T52</f>
        <v>0</v>
      </c>
    </row>
    <row r="430" spans="1:20" ht="13.8">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27.6">
      <c r="A432" s="1330"/>
      <c r="B432" s="1330" t="s">
        <v>741</v>
      </c>
      <c r="C432" s="1386" t="str">
        <f>'Part III-Sources of Funds'!C55</f>
        <v>GP/LP Equity</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110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2216</v>
      </c>
      <c r="C435" s="1330"/>
      <c r="D435" s="1330"/>
      <c r="E435" s="1330"/>
      <c r="F435" s="1330"/>
      <c r="G435" s="1330"/>
      <c r="H435" s="1393"/>
      <c r="I435" s="1400">
        <f>SUM(I415:J420)+SUM(I424:J434)</f>
        <v>9013295</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2217</v>
      </c>
      <c r="C436" s="1330"/>
      <c r="D436" s="1330"/>
      <c r="E436" s="1330"/>
      <c r="F436" s="1330"/>
      <c r="G436" s="1330"/>
      <c r="H436" s="1393"/>
      <c r="I436" s="1400">
        <f>'Part IV-A-Uses of Funds'!$G$132</f>
        <v>9013295</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3468</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f>'Part III-Sources of Funds'!A64</f>
        <v>0</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2693</v>
      </c>
      <c r="T441" s="2331"/>
    </row>
    <row r="446" spans="1:24" ht="13.8">
      <c r="A446" s="1330" t="str">
        <f>CONCATENATE("PART FOUR -  USES OF FUNDS","  -  ",'Part I-Project Information'!$O$6," ",'Part I-Project Information'!$F$34,", ",'Part I-Project Information'!F483,", ",'Part I-Project Information'!J484," County")</f>
        <v>PART FOUR -  USES OF FUNDS  -  2019-060 Dulles Park II,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2019-060 Dulles Park II,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May 2019</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3.8">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2683</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2000</v>
      </c>
      <c r="C453" s="1330"/>
      <c r="D453" s="1330"/>
      <c r="E453" s="1330"/>
      <c r="F453" s="1330"/>
      <c r="G453" s="1412">
        <f>'Part IV-A-Uses of Funds'!G8</f>
        <v>5000</v>
      </c>
      <c r="H453" s="1412"/>
      <c r="I453" s="1330"/>
      <c r="J453" s="1412">
        <f>'Part IV-A-Uses of Funds'!J8</f>
        <v>5000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8000</v>
      </c>
      <c r="H454" s="1412"/>
      <c r="I454" s="1330"/>
      <c r="J454" s="1412">
        <f>'Part IV-A-Uses of Funds'!J9</f>
        <v>8000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6000</v>
      </c>
      <c r="H455" s="1412"/>
      <c r="I455" s="1330"/>
      <c r="J455" s="1412">
        <f>'Part IV-A-Uses of Funds'!J10</f>
        <v>6000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10000</v>
      </c>
      <c r="H456" s="1412"/>
      <c r="I456" s="1330"/>
      <c r="J456" s="1412">
        <f>'Part IV-A-Uses of Funds'!J11</f>
        <v>10000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2500</v>
      </c>
      <c r="C457" s="1330"/>
      <c r="D457" s="1330"/>
      <c r="E457" s="1330"/>
      <c r="F457" s="1330"/>
      <c r="G457" s="1412">
        <f>'Part IV-A-Uses of Funds'!G12</f>
        <v>10000</v>
      </c>
      <c r="H457" s="1412"/>
      <c r="I457" s="1330"/>
      <c r="J457" s="1412">
        <f>'Part IV-A-Uses of Funds'!J12</f>
        <v>10000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39000</v>
      </c>
      <c r="H462" s="1412"/>
      <c r="I462" s="1330"/>
      <c r="J462" s="1412">
        <f>SUM(J453:K461)</f>
        <v>39000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2198</v>
      </c>
      <c r="C464" s="1330"/>
      <c r="D464" s="1330"/>
      <c r="E464" s="1377" t="s">
        <v>3724</v>
      </c>
      <c r="F464" s="1419">
        <f>IF('Part I-Project Information'!$O$37="","",G464/'Part I-Project Information'!$O$37)</f>
        <v>16069.975589910497</v>
      </c>
      <c r="G464" s="1412">
        <f>'Part IV-A-Uses of Funds'!G19</f>
        <v>395000</v>
      </c>
      <c r="H464" s="1412"/>
      <c r="I464" s="1330"/>
      <c r="J464" s="1347"/>
      <c r="K464" s="1412"/>
      <c r="L464" s="1347"/>
      <c r="M464" s="1347"/>
      <c r="N464" s="1412"/>
      <c r="O464" s="1330"/>
      <c r="P464" s="1347"/>
      <c r="Q464" s="1412"/>
      <c r="R464" s="1330"/>
      <c r="S464" s="1412">
        <f>'Part IV-A-Uses of Funds'!S19</f>
        <v>395000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395000</v>
      </c>
      <c r="H468" s="1412"/>
      <c r="I468" s="1330"/>
      <c r="J468" s="1347"/>
      <c r="K468" s="1412"/>
      <c r="L468" s="1347"/>
      <c r="M468" s="1412">
        <f>SUM(M466:N467)</f>
        <v>0</v>
      </c>
      <c r="N468" s="1412"/>
      <c r="O468" s="1330"/>
      <c r="P468" s="1347"/>
      <c r="Q468" s="1412"/>
      <c r="R468" s="1330"/>
      <c r="S468" s="1412">
        <f>SUM(S464:T467)</f>
        <v>395000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3724</v>
      </c>
      <c r="F470" s="1419">
        <f>IF('Part I-Project Information'!$O$37="","",G470/'Part I-Project Information'!$O$37)</f>
        <v>52888.527257933281</v>
      </c>
      <c r="G470" s="1412">
        <f>'Part IV-A-Uses of Funds'!G25</f>
        <v>1300000</v>
      </c>
      <c r="H470" s="1412"/>
      <c r="I470" s="1330"/>
      <c r="J470" s="1412">
        <f>'Part IV-A-Uses of Funds'!J25</f>
        <v>1235000</v>
      </c>
      <c r="K470" s="1412"/>
      <c r="L470" s="1347"/>
      <c r="M470" s="1412">
        <f>'Part IV-A-Uses of Funds'!M25</f>
        <v>0</v>
      </c>
      <c r="N470" s="1412"/>
      <c r="O470" s="1330"/>
      <c r="P470" s="1412">
        <f>'Part IV-A-Uses of Funds'!P25</f>
        <v>0</v>
      </c>
      <c r="Q470" s="1412"/>
      <c r="R470" s="1330"/>
      <c r="S470" s="1412">
        <f>'Part IV-A-Uses of Funds'!S25</f>
        <v>65000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1300000</v>
      </c>
      <c r="H472" s="1412"/>
      <c r="I472" s="1330"/>
      <c r="J472" s="1412">
        <f>SUM(J470:K471)</f>
        <v>1235000</v>
      </c>
      <c r="K472" s="1412"/>
      <c r="L472" s="1347"/>
      <c r="M472" s="1412">
        <f>M470</f>
        <v>0</v>
      </c>
      <c r="N472" s="1412"/>
      <c r="O472" s="1330"/>
      <c r="P472" s="1412">
        <f>P470</f>
        <v>0</v>
      </c>
      <c r="Q472" s="1412"/>
      <c r="R472" s="1330"/>
      <c r="S472" s="1412">
        <f>SUM(S470:T471)</f>
        <v>65000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3703200</v>
      </c>
      <c r="H474" s="1412"/>
      <c r="I474" s="1330"/>
      <c r="J474" s="1412">
        <f>'Part IV-A-Uses of Funds'!J29</f>
        <v>3703200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2780</v>
      </c>
      <c r="C476" s="1330"/>
      <c r="D476" s="1330"/>
      <c r="E476" s="1330"/>
      <c r="F476" s="1330"/>
      <c r="G476" s="1412">
        <f>'Part IV-A-Uses of Funds'!G31</f>
        <v>200000</v>
      </c>
      <c r="H476" s="1412"/>
      <c r="I476" s="1330"/>
      <c r="J476" s="1412">
        <f>'Part IV-A-Uses of Funds'!J31</f>
        <v>200000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191</v>
      </c>
      <c r="G478" s="1412">
        <f>SUM(G474:H477)</f>
        <v>3903200</v>
      </c>
      <c r="H478" s="1412"/>
      <c r="I478" s="1330"/>
      <c r="J478" s="1412">
        <f>SUM(J474:K477)</f>
        <v>3903200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2343</v>
      </c>
      <c r="C479" s="1330"/>
      <c r="D479" s="1393" t="s">
        <v>3728</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2344</v>
      </c>
      <c r="C480" s="1330"/>
      <c r="D480" s="1425">
        <f>'DCA Underwriting Assumptions'!$R$73</f>
        <v>0.06</v>
      </c>
      <c r="E480" s="1426">
        <f>D480*(G472+G478)</f>
        <v>312192</v>
      </c>
      <c r="F480" s="1425">
        <f>IF(($G$27+$G$33)=0,0,G480/($G$27+$G$33))</f>
        <v>0</v>
      </c>
      <c r="G480" s="1412">
        <f>'Part IV-A-Uses of Funds'!G35</f>
        <v>312192</v>
      </c>
      <c r="H480" s="1412"/>
      <c r="I480" s="1336"/>
      <c r="J480" s="1412">
        <f>'Part IV-A-Uses of Funds'!J35</f>
        <v>312192</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2736</v>
      </c>
      <c r="C481" s="1330"/>
      <c r="D481" s="1425">
        <f>'DCA Underwriting Assumptions'!$R$74</f>
        <v>0.02</v>
      </c>
      <c r="E481" s="1426">
        <f>D481*(G472+G478)</f>
        <v>104064</v>
      </c>
      <c r="F481" s="1425">
        <f>IF(($G$27+$G$33)=0,0,G481/($G$27+$G$33))</f>
        <v>0</v>
      </c>
      <c r="G481" s="1412">
        <f>'Part IV-A-Uses of Funds'!G36</f>
        <v>104064</v>
      </c>
      <c r="H481" s="1412"/>
      <c r="I481" s="1336"/>
      <c r="J481" s="1412">
        <f>'Part IV-A-Uses of Funds'!J36</f>
        <v>104064</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2737</v>
      </c>
      <c r="C482" s="1330"/>
      <c r="D482" s="1425">
        <f>'DCA Underwriting Assumptions'!$R$75</f>
        <v>0.06</v>
      </c>
      <c r="E482" s="1426">
        <f>D482*(G472+G478)</f>
        <v>312192</v>
      </c>
      <c r="F482" s="1425">
        <f>IF(($G$27+$G$33)=0,0,G482/($G$27+$G$33))</f>
        <v>0</v>
      </c>
      <c r="G482" s="1412">
        <f>'Part IV-A-Uses of Funds'!G37</f>
        <v>312192</v>
      </c>
      <c r="H482" s="1412"/>
      <c r="I482" s="1336"/>
      <c r="J482" s="1412">
        <f>'Part IV-A-Uses of Funds'!J37</f>
        <v>312192</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3729</v>
      </c>
      <c r="C483" s="1330"/>
      <c r="D483" s="2340">
        <f>SUM(D480:D482)</f>
        <v>0.14000000000000001</v>
      </c>
      <c r="E483" s="2341">
        <f>SUM(E480:E482)</f>
        <v>728448</v>
      </c>
      <c r="F483" s="1444" t="s">
        <v>191</v>
      </c>
      <c r="G483" s="1412">
        <f>SUM(G480:H482)</f>
        <v>728448</v>
      </c>
      <c r="H483" s="1412"/>
      <c r="I483" s="1330"/>
      <c r="J483" s="1412">
        <f>SUM(J480:K482)</f>
        <v>728448</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4499</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5297</v>
      </c>
      <c r="C488" s="1429"/>
      <c r="D488" s="1330"/>
      <c r="E488" s="1386" t="s">
        <v>2744</v>
      </c>
      <c r="F488" s="1430">
        <f>B489/'Part VI-Revenues &amp; Expenses'!$O$65</f>
        <v>123576</v>
      </c>
      <c r="G488" s="1431" t="s">
        <v>4501</v>
      </c>
      <c r="H488" s="1330"/>
      <c r="I488" s="1330"/>
      <c r="J488" s="1432">
        <f>B489/'Part VI-Revenues &amp; Expenses'!$O$67</f>
        <v>123576</v>
      </c>
      <c r="K488" s="1432"/>
      <c r="L488" s="1330"/>
      <c r="M488" s="1433" t="s">
        <v>1402</v>
      </c>
      <c r="N488" s="1433"/>
      <c r="O488" s="1330"/>
      <c r="P488" s="1432">
        <f>B489/'Part I-Project Information'!$P$75</f>
        <v>129.17351916376307</v>
      </c>
      <c r="Q488" s="1432"/>
      <c r="R488" s="1330"/>
      <c r="S488" s="1354" t="s">
        <v>2778</v>
      </c>
      <c r="T488" s="1354"/>
      <c r="U488" s="1330"/>
      <c r="V488" s="1418"/>
      <c r="W488" s="1203">
        <f>'Part IV-A-Uses of Funds'!W43</f>
        <v>0</v>
      </c>
      <c r="X488" s="1203"/>
    </row>
    <row r="489" spans="1:24" ht="13.8">
      <c r="A489" s="1330"/>
      <c r="B489" s="1434">
        <f>G472+G478+G483+G486</f>
        <v>5931648</v>
      </c>
      <c r="C489" s="1434"/>
      <c r="D489" s="1330"/>
      <c r="E489" s="1386"/>
      <c r="F489" s="1430">
        <f>B489/'Part VI-Revenues &amp; Expenses'!$O$154</f>
        <v>135.05573770491804</v>
      </c>
      <c r="G489" s="1354" t="s">
        <v>4502</v>
      </c>
      <c r="H489" s="1330"/>
      <c r="I489" s="1330"/>
      <c r="J489" s="1432">
        <f>B489/'Part VI-Revenues &amp; Expenses'!$O$156</f>
        <v>135.05573770491804</v>
      </c>
      <c r="K489" s="1432"/>
      <c r="L489" s="1330"/>
      <c r="M489" s="1354" t="s">
        <v>2777</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4184</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1961</v>
      </c>
      <c r="C492" s="1336"/>
      <c r="D492" s="1436" t="s">
        <v>4183</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296582.40000000002</v>
      </c>
      <c r="F492" s="1438">
        <f>G492/B489</f>
        <v>4.9999932565115125E-2</v>
      </c>
      <c r="G492" s="1412">
        <f>'Part IV-A-Uses of Funds'!G47</f>
        <v>296582</v>
      </c>
      <c r="H492" s="1412"/>
      <c r="I492" s="1330"/>
      <c r="J492" s="1412">
        <f>'Part IV-A-Uses of Funds'!J47</f>
        <v>296582</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4503</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ht="13.8">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2683</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3730</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3731</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2346</v>
      </c>
      <c r="C499" s="1330"/>
      <c r="D499" s="1330"/>
      <c r="E499" s="1330"/>
      <c r="F499" s="1330"/>
      <c r="G499" s="1412">
        <f>'Part IV-A-Uses of Funds'!G54</f>
        <v>61473</v>
      </c>
      <c r="H499" s="1412"/>
      <c r="I499" s="1330"/>
      <c r="J499" s="1412">
        <f>'Part IV-A-Uses of Funds'!J54</f>
        <v>61473</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2347</v>
      </c>
      <c r="C500" s="1330"/>
      <c r="D500" s="1330"/>
      <c r="E500" s="1330"/>
      <c r="F500" s="1330"/>
      <c r="G500" s="1412">
        <f>'Part IV-A-Uses of Funds'!G55</f>
        <v>230622</v>
      </c>
      <c r="H500" s="1412"/>
      <c r="I500" s="1330"/>
      <c r="J500" s="1412">
        <f>'Part IV-A-Uses of Funds'!J55</f>
        <v>230622</v>
      </c>
      <c r="K500" s="1412"/>
      <c r="L500" s="1347"/>
      <c r="M500" s="1412">
        <f>'Part IV-A-Uses of Funds'!M55</f>
        <v>0</v>
      </c>
      <c r="N500" s="1412"/>
      <c r="O500" s="1330"/>
      <c r="P500" s="1412">
        <f>'Part IV-A-Uses of Funds'!P55</f>
        <v>0</v>
      </c>
      <c r="Q500" s="1412"/>
      <c r="R500" s="1330"/>
      <c r="S500" s="1412">
        <f>'Part IV-A-Uses of Funds'!S55</f>
        <v>0</v>
      </c>
      <c r="T500" s="1412"/>
      <c r="U500" s="1330"/>
      <c r="V500" s="1418">
        <f>'Part IV-A-Uses of Funds'!V55</f>
        <v>0</v>
      </c>
      <c r="W500" s="1203">
        <f>'Part IV-A-Uses of Funds'!W55</f>
        <v>0</v>
      </c>
      <c r="X500" s="1203"/>
    </row>
    <row r="501" spans="1:24" ht="13.8">
      <c r="A501" s="1330"/>
      <c r="B501" s="1330" t="s">
        <v>2348</v>
      </c>
      <c r="C501" s="1330"/>
      <c r="D501" s="1330"/>
      <c r="E501" s="1330"/>
      <c r="F501" s="1330"/>
      <c r="G501" s="1412">
        <f>'Part IV-A-Uses of Funds'!G56</f>
        <v>20000</v>
      </c>
      <c r="H501" s="1412"/>
      <c r="I501" s="1330"/>
      <c r="J501" s="1412">
        <f>'Part IV-A-Uses of Funds'!J56</f>
        <v>20000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2687</v>
      </c>
      <c r="C502" s="1330"/>
      <c r="D502" s="1330"/>
      <c r="E502" s="1330"/>
      <c r="F502" s="1330"/>
      <c r="G502" s="1412">
        <f>'Part IV-A-Uses of Funds'!G57</f>
        <v>5000</v>
      </c>
      <c r="H502" s="1412"/>
      <c r="I502" s="1330"/>
      <c r="J502" s="1412">
        <f>'Part IV-A-Uses of Funds'!J57</f>
        <v>5000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7500</v>
      </c>
      <c r="H503" s="1412"/>
      <c r="I503" s="1330"/>
      <c r="J503" s="1412">
        <f>'Part IV-A-Uses of Funds'!J58</f>
        <v>7500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2349</v>
      </c>
      <c r="C504" s="1330"/>
      <c r="D504" s="1330"/>
      <c r="E504" s="1330"/>
      <c r="F504" s="1330"/>
      <c r="G504" s="1412">
        <f>'Part IV-A-Uses of Funds'!G59</f>
        <v>25000</v>
      </c>
      <c r="H504" s="1412"/>
      <c r="I504" s="1330"/>
      <c r="J504" s="1412">
        <f>'Part IV-A-Uses of Funds'!J59</f>
        <v>25000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25000</v>
      </c>
      <c r="H505" s="1412"/>
      <c r="I505" s="1330"/>
      <c r="J505" s="1412">
        <f>'Part IV-A-Uses of Funds'!J60</f>
        <v>25000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374595</v>
      </c>
      <c r="H509" s="1412"/>
      <c r="I509" s="1330"/>
      <c r="J509" s="1412">
        <f>SUM(J497:K508)</f>
        <v>374595</v>
      </c>
      <c r="K509" s="1412"/>
      <c r="L509" s="1347"/>
      <c r="M509" s="1412">
        <f>SUM(M497:N508)</f>
        <v>0</v>
      </c>
      <c r="N509" s="1412"/>
      <c r="O509" s="1330"/>
      <c r="P509" s="1412">
        <f>SUM(P497:Q508)</f>
        <v>0</v>
      </c>
      <c r="Q509" s="1412"/>
      <c r="R509" s="1330"/>
      <c r="S509" s="1412">
        <f>SUM(S497:T508)</f>
        <v>0</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120000</v>
      </c>
      <c r="H511" s="1412"/>
      <c r="I511" s="1330"/>
      <c r="J511" s="1412">
        <f>'Part IV-A-Uses of Funds'!J66</f>
        <v>120000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24000</v>
      </c>
      <c r="H512" s="1412"/>
      <c r="I512" s="1330"/>
      <c r="J512" s="1412">
        <f>'Part IV-A-Uses of Funds'!J67</f>
        <v>24000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3843</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10000</v>
      </c>
      <c r="H514" s="1412"/>
      <c r="I514" s="1330"/>
      <c r="J514" s="1412">
        <f>'Part IV-A-Uses of Funds'!J69</f>
        <v>10000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17500</v>
      </c>
      <c r="H515" s="1412"/>
      <c r="I515" s="1330"/>
      <c r="J515" s="1412">
        <f>'Part IV-A-Uses of Funds'!J70</f>
        <v>17500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25000</v>
      </c>
      <c r="H516" s="1412"/>
      <c r="I516" s="1330"/>
      <c r="J516" s="1412">
        <f>'Part IV-A-Uses of Funds'!J71</f>
        <v>25000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70000</v>
      </c>
      <c r="H517" s="1412"/>
      <c r="I517" s="1330"/>
      <c r="J517" s="1412">
        <f>'Part IV-A-Uses of Funds'!J72</f>
        <v>70000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25000</v>
      </c>
      <c r="H518" s="1412"/>
      <c r="I518" s="1330"/>
      <c r="J518" s="1412">
        <f>'Part IV-A-Uses of Funds'!J73</f>
        <v>15000</v>
      </c>
      <c r="K518" s="1412"/>
      <c r="L518" s="1347"/>
      <c r="M518" s="1412">
        <f>'Part IV-A-Uses of Funds'!M73</f>
        <v>0</v>
      </c>
      <c r="N518" s="1412"/>
      <c r="O518" s="1330"/>
      <c r="P518" s="1412">
        <f>'Part IV-A-Uses of Funds'!P73</f>
        <v>0</v>
      </c>
      <c r="Q518" s="1412"/>
      <c r="R518" s="1330"/>
      <c r="S518" s="1412">
        <f>'Part IV-A-Uses of Funds'!S73</f>
        <v>10000</v>
      </c>
      <c r="T518" s="1412"/>
      <c r="U518" s="1330"/>
      <c r="V518" s="1418">
        <f>'Part IV-A-Uses of Funds'!V73</f>
        <v>0</v>
      </c>
      <c r="W518" s="1203">
        <f>'Part IV-A-Uses of Funds'!W73</f>
        <v>0</v>
      </c>
      <c r="X518" s="1203"/>
    </row>
    <row r="519" spans="1:24" ht="13.8">
      <c r="A519" s="1330"/>
      <c r="B519" s="1330" t="s">
        <v>2049</v>
      </c>
      <c r="C519" s="1330"/>
      <c r="D519" s="1330"/>
      <c r="E519" s="1330"/>
      <c r="F519" s="1330"/>
      <c r="G519" s="1412">
        <f>'Part IV-A-Uses of Funds'!G74</f>
        <v>15000</v>
      </c>
      <c r="H519" s="1412"/>
      <c r="I519" s="1330"/>
      <c r="J519" s="1412">
        <f>'Part IV-A-Uses of Funds'!J74</f>
        <v>15000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10000</v>
      </c>
      <c r="H520" s="1412"/>
      <c r="I520" s="1330"/>
      <c r="J520" s="1412">
        <f>'Part IV-A-Uses of Funds'!J75</f>
        <v>10000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336500</v>
      </c>
      <c r="H522" s="1412"/>
      <c r="I522" s="1330"/>
      <c r="J522" s="1412">
        <f>SUM(J511:K521)</f>
        <v>326500</v>
      </c>
      <c r="K522" s="1412"/>
      <c r="L522" s="1347"/>
      <c r="M522" s="1412">
        <f>SUM(M511:N521)</f>
        <v>0</v>
      </c>
      <c r="N522" s="1412"/>
      <c r="O522" s="1330"/>
      <c r="P522" s="1412">
        <f>SUM(P511:Q521)</f>
        <v>0</v>
      </c>
      <c r="Q522" s="1412"/>
      <c r="R522" s="1330"/>
      <c r="S522" s="1412">
        <f>SUM(S511:T521)</f>
        <v>10000</v>
      </c>
      <c r="T522" s="1412"/>
      <c r="U522" s="1330"/>
      <c r="V522" s="1418">
        <f>SUM(V511:V521)</f>
        <v>0</v>
      </c>
      <c r="W522" s="1203">
        <f>'Part IV-A-Uses of Funds'!W77</f>
        <v>0</v>
      </c>
      <c r="X522" s="1203"/>
    </row>
    <row r="523" spans="1:24" ht="13.8">
      <c r="A523" s="1330"/>
      <c r="B523" s="1330" t="s">
        <v>1269</v>
      </c>
      <c r="C523" s="1330"/>
      <c r="D523" s="1442" t="s">
        <v>3732</v>
      </c>
      <c r="E523" s="1443">
        <f>G528/'Part VI-Revenues &amp; Expenses'!$O$67</f>
        <v>4288.875</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9066</v>
      </c>
      <c r="H524" s="1412"/>
      <c r="I524" s="1330"/>
      <c r="J524" s="1412">
        <f>'Part IV-A-Uses of Funds'!J79</f>
        <v>9066</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72000</v>
      </c>
      <c r="H526" s="1412"/>
      <c r="I526" s="1336"/>
      <c r="J526" s="1412">
        <f>'Part IV-A-Uses of Funds'!J81</f>
        <v>72000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124800</v>
      </c>
      <c r="H527" s="1412"/>
      <c r="I527" s="1336"/>
      <c r="J527" s="1412">
        <f>'Part IV-A-Uses of Funds'!J82</f>
        <v>124800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205866</v>
      </c>
      <c r="H528" s="1412"/>
      <c r="I528" s="1330"/>
      <c r="J528" s="1412">
        <f>SUM(J524:K527)</f>
        <v>205866</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0</v>
      </c>
      <c r="H531" s="1412"/>
      <c r="I531" s="1330"/>
      <c r="J531" s="1412"/>
      <c r="K531" s="1412"/>
      <c r="L531" s="1347"/>
      <c r="M531" s="1412"/>
      <c r="N531" s="1412"/>
      <c r="O531" s="1330"/>
      <c r="P531" s="1412"/>
      <c r="Q531" s="1412"/>
      <c r="R531" s="1330"/>
      <c r="S531" s="1412">
        <f>'Part IV-A-Uses of Funds'!S86</f>
        <v>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0</v>
      </c>
      <c r="H536" s="1412"/>
      <c r="I536" s="1330"/>
      <c r="J536" s="1412"/>
      <c r="K536" s="1412"/>
      <c r="L536" s="1347"/>
      <c r="M536" s="1412"/>
      <c r="N536" s="1412"/>
      <c r="O536" s="1330"/>
      <c r="P536" s="1412"/>
      <c r="Q536" s="1412"/>
      <c r="R536" s="1330"/>
      <c r="S536" s="1412">
        <f>SUM(S530:T535)</f>
        <v>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4504</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2683</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3945</v>
      </c>
      <c r="C543" s="1330"/>
      <c r="D543" s="1330"/>
      <c r="E543" s="1330"/>
      <c r="F543" s="1330"/>
      <c r="G543" s="1412">
        <f>'Part IV-A-Uses of Funds'!G98</f>
        <v>1000</v>
      </c>
      <c r="H543" s="1412"/>
      <c r="I543" s="1330"/>
      <c r="J543" s="1347"/>
      <c r="K543" s="1347"/>
      <c r="L543" s="1445"/>
      <c r="M543" s="1347"/>
      <c r="N543" s="1347"/>
      <c r="O543" s="1330"/>
      <c r="P543" s="1347"/>
      <c r="Q543" s="1347"/>
      <c r="R543" s="1330"/>
      <c r="S543" s="1412">
        <f>'Part IV-A-Uses of Funds'!S98</f>
        <v>1000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59280</v>
      </c>
      <c r="F544" s="1446"/>
      <c r="G544" s="1412">
        <f>'Part IV-A-Uses of Funds'!G99</f>
        <v>59280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59280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38400</v>
      </c>
      <c r="F545" s="1446"/>
      <c r="G545" s="1412">
        <f>'Part IV-A-Uses of Funds'!G100</f>
        <v>38400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38400</v>
      </c>
      <c r="T545" s="1412"/>
      <c r="U545" s="1330"/>
      <c r="V545" s="1418">
        <f>'Part IV-A-Uses of Funds'!V100</f>
        <v>0</v>
      </c>
      <c r="W545" s="1203">
        <f>'Part IV-A-Uses of Funds'!W100</f>
        <v>0</v>
      </c>
      <c r="X545" s="1203"/>
    </row>
    <row r="546" spans="1:24" ht="13.8">
      <c r="A546" s="1330"/>
      <c r="B546" s="1330" t="s">
        <v>4235</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4236</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111180</v>
      </c>
      <c r="H550" s="1412"/>
      <c r="I550" s="1330"/>
      <c r="J550" s="1347"/>
      <c r="K550" s="1347"/>
      <c r="L550" s="1347"/>
      <c r="M550" s="1347"/>
      <c r="N550" s="1347"/>
      <c r="O550" s="1330"/>
      <c r="P550" s="1347"/>
      <c r="Q550" s="1347"/>
      <c r="R550" s="1330"/>
      <c r="S550" s="1412">
        <f>SUM(S541:T549)</f>
        <v>111180</v>
      </c>
      <c r="T550" s="1412"/>
      <c r="U550" s="1330"/>
      <c r="V550" s="1418">
        <f>SUM(V541:V549)</f>
        <v>0</v>
      </c>
      <c r="W550" s="1203">
        <f>'Part IV-A-Uses of Funds'!W105</f>
        <v>0</v>
      </c>
      <c r="X550" s="1203"/>
    </row>
    <row r="551" spans="1:24" ht="13.8">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2500</v>
      </c>
      <c r="H552" s="1412"/>
      <c r="I552" s="1330"/>
      <c r="J552" s="1412"/>
      <c r="K552" s="1412"/>
      <c r="L552" s="1347"/>
      <c r="M552" s="1412"/>
      <c r="N552" s="1412"/>
      <c r="O552" s="1330"/>
      <c r="P552" s="1412"/>
      <c r="Q552" s="1412"/>
      <c r="R552" s="1330"/>
      <c r="S552" s="1412">
        <f>'Part IV-A-Uses of Funds'!S107</f>
        <v>2500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2386</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2500</v>
      </c>
      <c r="H556" s="1412"/>
      <c r="I556" s="1330"/>
      <c r="J556" s="1412"/>
      <c r="K556" s="1412"/>
      <c r="L556" s="1347"/>
      <c r="M556" s="1412"/>
      <c r="N556" s="1412"/>
      <c r="O556" s="1330"/>
      <c r="P556" s="1412"/>
      <c r="Q556" s="1412"/>
      <c r="R556" s="1330"/>
      <c r="S556" s="1412">
        <f>SUM(S552:T555)</f>
        <v>2500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1860</v>
      </c>
      <c r="C558" s="1330"/>
      <c r="D558" s="1330"/>
      <c r="E558" s="1330"/>
      <c r="F558" s="1399">
        <f>IF($G$118=0,0,G558/$G$118)</f>
        <v>0</v>
      </c>
      <c r="G558" s="1412">
        <f>'Part IV-A-Uses of Funds'!G113</f>
        <v>0</v>
      </c>
      <c r="H558" s="1412"/>
      <c r="I558" s="1330"/>
      <c r="J558" s="1412">
        <f>'Part IV-A-Uses of Funds'!J113</f>
        <v>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4192</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3631</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1853</v>
      </c>
      <c r="C562" s="1330"/>
      <c r="D562" s="1330"/>
      <c r="E562" s="1330"/>
      <c r="F562" s="1399">
        <f>IF($G$118=0,0,G562/$G$118)</f>
        <v>0</v>
      </c>
      <c r="G562" s="1412">
        <f>'Part IV-A-Uses of Funds'!G117</f>
        <v>1102930</v>
      </c>
      <c r="H562" s="1412"/>
      <c r="I562" s="1330"/>
      <c r="J562" s="1412">
        <f>'Part IV-A-Uses of Funds'!J117</f>
        <v>1102930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44">
        <f>SUM(G558:H562)</f>
        <v>1102930</v>
      </c>
      <c r="H563" s="2344"/>
      <c r="I563" s="1330"/>
      <c r="J563" s="1412">
        <f>SUM(J558:K562)</f>
        <v>1102930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20000</v>
      </c>
      <c r="H565" s="1412"/>
      <c r="I565" s="1330"/>
      <c r="J565" s="1445"/>
      <c r="K565" s="1445"/>
      <c r="L565" s="1445"/>
      <c r="M565" s="1445"/>
      <c r="N565" s="1445"/>
      <c r="O565" s="1330"/>
      <c r="P565" s="1445"/>
      <c r="Q565" s="1445"/>
      <c r="R565" s="1330"/>
      <c r="S565" s="1412">
        <f>'Part IV-A-Uses of Funds'!S120</f>
        <v>20000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54164.5</v>
      </c>
      <c r="G566" s="1412">
        <f>'Part IV-A-Uses of Funds'!G121</f>
        <v>54165</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54165</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108329</v>
      </c>
      <c r="G567" s="1412">
        <f>'Part IV-A-Uses of Funds'!G122</f>
        <v>108329</v>
      </c>
      <c r="H567" s="1412"/>
      <c r="I567" s="1330"/>
      <c r="J567" s="1486" t="str">
        <f>IF(E567&gt;G567,"WARNING! ODR proposed is below minimum - add comment.","")</f>
        <v/>
      </c>
      <c r="K567" s="1445"/>
      <c r="L567" s="1445"/>
      <c r="M567" s="1445"/>
      <c r="N567" s="1445"/>
      <c r="O567" s="1330"/>
      <c r="P567" s="1445"/>
      <c r="Q567" s="1445"/>
      <c r="R567" s="1330"/>
      <c r="S567" s="1412">
        <f>'Part IV-A-Uses of Funds'!S122</f>
        <v>108329</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3566</v>
      </c>
      <c r="F569" s="1419">
        <f>IF('Part VI-Revenues &amp; Expenses'!$O$67=0,0,G569/'Part VI-Revenues &amp; Expenses'!$O$67)</f>
        <v>729.16666666666663</v>
      </c>
      <c r="G569" s="1412">
        <f>'Part IV-A-Uses of Funds'!G124</f>
        <v>35000</v>
      </c>
      <c r="H569" s="1412"/>
      <c r="I569" s="1330"/>
      <c r="J569" s="1412">
        <f>'Part IV-A-Uses of Funds'!J124</f>
        <v>35000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217494</v>
      </c>
      <c r="H571" s="1412"/>
      <c r="I571" s="1330"/>
      <c r="J571" s="1412">
        <f>SUM(J569:K570)</f>
        <v>35000</v>
      </c>
      <c r="K571" s="1412"/>
      <c r="L571" s="1347"/>
      <c r="M571" s="1412">
        <f>SUM(M569:N570)</f>
        <v>0</v>
      </c>
      <c r="N571" s="1412"/>
      <c r="O571" s="1330"/>
      <c r="P571" s="1412">
        <f>SUM(P569:Q570)</f>
        <v>0</v>
      </c>
      <c r="Q571" s="1412"/>
      <c r="R571" s="1330"/>
      <c r="S571" s="1412">
        <f>SUM(S565:T570)</f>
        <v>182494</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5298</v>
      </c>
      <c r="C577" s="1330"/>
      <c r="D577" s="1330"/>
      <c r="E577" s="1330"/>
      <c r="F577" s="1330"/>
      <c r="G577" s="1412">
        <f>G462+G468+G472+G478+G483+G486+G492+G509+G522+G528+G536+G550+G556+G563+G571+G575</f>
        <v>9013295</v>
      </c>
      <c r="H577" s="1412"/>
      <c r="I577" s="1330"/>
      <c r="J577" s="1412">
        <f>J462+J468+J472+J478+J483+J486+J492+J509+J522+J528+J536+J550+J556+J563+J571+J575</f>
        <v>8247121</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766174</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5093</v>
      </c>
      <c r="C579" s="1429"/>
      <c r="D579" s="1456">
        <f>IF('Part VI-Revenues &amp; Expenses'!$O$67=0,0,G577/'Part VI-Revenues &amp; Expenses'!$O$67)</f>
        <v>187776.97916666666</v>
      </c>
      <c r="E579" s="1456"/>
      <c r="F579" s="1457" t="s">
        <v>2763</v>
      </c>
      <c r="G579" s="1456">
        <f>IF('Part I-Project Information'!$P$75=0,0,G577/'Part I-Project Information'!$P$75)</f>
        <v>196.28255662020905</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ht="13.8">
      <c r="A583" s="1330"/>
      <c r="B583" s="1337" t="s">
        <v>2044</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2152</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1863</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1864</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8247121</v>
      </c>
      <c r="K594" s="1462"/>
      <c r="L594" s="1330"/>
      <c r="M594" s="1462">
        <f>M577</f>
        <v>0</v>
      </c>
      <c r="N594" s="1462"/>
      <c r="O594" s="1330"/>
      <c r="P594" s="1462">
        <f>P577</f>
        <v>0</v>
      </c>
      <c r="Q594" s="1462"/>
      <c r="R594" s="1468" t="s">
        <v>4725</v>
      </c>
      <c r="S594" s="1468"/>
      <c r="T594" s="1468"/>
      <c r="U594" s="1330"/>
      <c r="V594" s="1418">
        <f>'Part IV-A-Uses of Funds'!V149</f>
        <v>0</v>
      </c>
      <c r="W594" s="1203">
        <f>'Part IV-A-Uses of Funds'!W149</f>
        <v>0</v>
      </c>
      <c r="X594" s="1203"/>
    </row>
    <row r="595" spans="1:24" ht="13.8">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2221</v>
      </c>
      <c r="C596" s="1330"/>
      <c r="D596" s="1330"/>
      <c r="E596" s="1330"/>
      <c r="F596" s="1330"/>
      <c r="G596" s="1330"/>
      <c r="H596" s="1330"/>
      <c r="I596" s="1330"/>
      <c r="J596" s="1462">
        <f>J594-J595</f>
        <v>8247121</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&lt;&lt;Select&gt;&gt;</v>
      </c>
      <c r="I597" s="1330"/>
      <c r="J597" s="1463">
        <f>'Part IV-A-Uses of Funds'!J152</f>
        <v>1</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2054</v>
      </c>
      <c r="C598" s="1330"/>
      <c r="D598" s="1330"/>
      <c r="E598" s="1330"/>
      <c r="F598" s="1330"/>
      <c r="G598" s="1330"/>
      <c r="H598" s="1330"/>
      <c r="I598" s="1330"/>
      <c r="J598" s="1462">
        <f>J596*J597</f>
        <v>8247121</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2045</v>
      </c>
      <c r="C600" s="1330"/>
      <c r="D600" s="1330"/>
      <c r="E600" s="1330"/>
      <c r="F600" s="1330"/>
      <c r="G600" s="1330"/>
      <c r="H600" s="1330"/>
      <c r="I600" s="1330"/>
      <c r="J600" s="1462">
        <f>J598*J599</f>
        <v>8247121</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2542</v>
      </c>
      <c r="C602" s="1330"/>
      <c r="D602" s="1330"/>
      <c r="E602" s="1330"/>
      <c r="F602" s="1330"/>
      <c r="G602" s="1330"/>
      <c r="H602" s="1330"/>
      <c r="I602" s="1330"/>
      <c r="J602" s="1462">
        <f>J600*J601</f>
        <v>742240.89</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742240</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5299</v>
      </c>
      <c r="C607" s="1330"/>
      <c r="D607" s="1330"/>
      <c r="E607" s="1330"/>
      <c r="F607" s="1330"/>
      <c r="G607" s="1335" t="str">
        <f>IF(J608&gt;J607,"TDC exceeds QAP PUCL!","")</f>
        <v/>
      </c>
      <c r="H607" s="1335"/>
      <c r="I607" s="1335"/>
      <c r="J607" s="1467">
        <f>'Part VIII-Threshold Criteria'!$P$63</f>
        <v>9016824</v>
      </c>
      <c r="K607" s="1467"/>
      <c r="L607" s="1467"/>
      <c r="M607" s="1468" t="s">
        <v>2746</v>
      </c>
      <c r="N607" s="1468"/>
      <c r="O607" s="1468"/>
      <c r="P607" s="1468"/>
      <c r="Q607" s="1468"/>
      <c r="R607" s="1468"/>
      <c r="S607" s="1468" t="s">
        <v>3672</v>
      </c>
      <c r="T607" s="1468"/>
      <c r="U607" s="1330"/>
      <c r="V607" s="1418">
        <f>'Part IV-A-Uses of Funds'!V162</f>
        <v>0</v>
      </c>
      <c r="W607" s="1203">
        <f>'Part IV-A-Uses of Funds'!W162</f>
        <v>0</v>
      </c>
      <c r="X607" s="1203"/>
    </row>
    <row r="608" spans="1:24" ht="13.8">
      <c r="A608" s="1330"/>
      <c r="B608" s="1330" t="s">
        <v>5300</v>
      </c>
      <c r="C608" s="1330"/>
      <c r="D608" s="1330"/>
      <c r="E608" s="1330"/>
      <c r="F608" s="1330"/>
      <c r="G608" s="1330"/>
      <c r="H608" s="1330"/>
      <c r="I608" s="1330"/>
      <c r="J608" s="1462">
        <f>'Part IV-A-Uses of Funds'!J163</f>
        <v>9013295</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110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2232</v>
      </c>
      <c r="C610" s="1330"/>
      <c r="D610" s="1330"/>
      <c r="E610" s="1330"/>
      <c r="F610" s="1330"/>
      <c r="G610" s="1330"/>
      <c r="H610" s="1330"/>
      <c r="I610" s="1330"/>
      <c r="J610" s="1462">
        <f>+J608-J609</f>
        <v>9013185</v>
      </c>
      <c r="K610" s="1462"/>
      <c r="L610" s="1462"/>
      <c r="M610" s="1393" t="s">
        <v>2747</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901318.5</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5094</v>
      </c>
      <c r="C613" s="1330"/>
      <c r="D613" s="1330"/>
      <c r="E613" s="1330"/>
      <c r="F613" s="1330"/>
      <c r="G613" s="1330"/>
      <c r="H613" s="1330"/>
      <c r="I613" s="1330"/>
      <c r="J613" s="1471">
        <f>N613+Q613</f>
        <v>1.2149999999999999</v>
      </c>
      <c r="K613" s="1471"/>
      <c r="L613" s="1471"/>
      <c r="M613" s="1334" t="s">
        <v>1289</v>
      </c>
      <c r="N613" s="1821">
        <f>'Part IV-A-Uses of Funds'!N168</f>
        <v>0.85</v>
      </c>
      <c r="O613" s="1821"/>
      <c r="P613" s="1334" t="s">
        <v>612</v>
      </c>
      <c r="Q613" s="1821">
        <f>'Part IV-A-Uses of Funds'!Q168</f>
        <v>0.36499999999999999</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741825</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5095</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741825</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5096</v>
      </c>
      <c r="C618" s="1330"/>
      <c r="D618" s="1330"/>
      <c r="E618" s="1330"/>
      <c r="F618" s="1330"/>
      <c r="G618" s="1330"/>
      <c r="H618" s="1330"/>
      <c r="I618" s="1330"/>
      <c r="J618" s="1462">
        <f>'Part IV-A-Uses of Funds'!J173</f>
        <v>741000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1792</v>
      </c>
      <c r="B620" s="2335" t="s">
        <v>5301</v>
      </c>
      <c r="C620" s="1330"/>
      <c r="D620" s="1336"/>
      <c r="E620" s="1336"/>
      <c r="F620" s="1337"/>
      <c r="G620" s="1330"/>
      <c r="H620" s="1330"/>
      <c r="I620" s="1330"/>
      <c r="J620" s="1462">
        <f>IF(J618="",0,+MIN(J616,J618))</f>
        <v>741000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Pleases see Tab 1 for the Local Government Fee documentation.</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2693</v>
      </c>
      <c r="X624" s="2331"/>
    </row>
    <row r="628" spans="1:8" ht="15">
      <c r="A628" s="2349" t="str">
        <f>CONCATENATE("PART FOUR (b) -  OTHER COSTS","  -  ",'Part I-Project Information'!$O$6," - ",'Part I-Project Information'!$F$34,"  -  ",'Part I-Project Information'!$F$38,"  -  ",'Part I-Project Information'!$J$39,",  ","County")</f>
        <v>PART FOUR (b) -  OTHER COSTS  -  2019-060 - Dulles Park II  -  Gray  -  Jones,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3711</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5097</v>
      </c>
      <c r="B632" s="2350"/>
      <c r="C632" s="2350"/>
      <c r="D632" s="2350"/>
      <c r="E632" s="1822"/>
      <c r="F632" s="2351" t="s">
        <v>3702</v>
      </c>
      <c r="G632" s="1477"/>
      <c r="H632" s="2351" t="s">
        <v>3703</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3705</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3704</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3705</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3705</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3705</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3705</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5098</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3705</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5099</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3705</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3705</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5100</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3705</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2019-060 Dulles Park II, ,  County</v>
      </c>
      <c r="B711" s="1314"/>
      <c r="C711" s="1314"/>
      <c r="D711" s="1314"/>
      <c r="E711" s="1314"/>
      <c r="F711" s="1314"/>
      <c r="G711" s="1314"/>
      <c r="H711" s="1314"/>
      <c r="I711" s="1314"/>
      <c r="J711" s="1314"/>
      <c r="K711" s="1314"/>
      <c r="L711" s="1314"/>
      <c r="M711" s="1314"/>
    </row>
    <row r="713" spans="1:13">
      <c r="B713" s="1803" t="str">
        <f>'Part I-Project Information'!$B$6</f>
        <v>May 2019</v>
      </c>
      <c r="C713" s="1803"/>
      <c r="D713" s="1803"/>
      <c r="E713" s="1803"/>
      <c r="F713" s="1314" t="s">
        <v>4604</v>
      </c>
      <c r="I713" s="1630" t="str">
        <f>VLOOKUP('Part I-Project Information'!$J$39,'DCA Underwriting Assumptions'!$G$158:$H$317,2)</f>
        <v>South</v>
      </c>
    </row>
    <row r="715" spans="1:13">
      <c r="A715" s="1489" t="s">
        <v>3800</v>
      </c>
    </row>
    <row r="717" spans="1:13">
      <c r="A717" s="638" t="s">
        <v>616</v>
      </c>
      <c r="B717" s="638" t="s">
        <v>2227</v>
      </c>
      <c r="F717" s="638" t="s">
        <v>2519</v>
      </c>
      <c r="I717" s="1318" t="str">
        <f>'Part V-Utility Allowances'!I7</f>
        <v>DCA GA South</v>
      </c>
      <c r="J717" s="1318"/>
      <c r="K717" s="1318"/>
      <c r="L717" s="1318"/>
      <c r="M717" s="1318"/>
    </row>
    <row r="718" spans="1:13">
      <c r="F718" s="638" t="s">
        <v>636</v>
      </c>
      <c r="I718" s="1826">
        <f>'Part V-Utility Allowances'!I8</f>
        <v>43466</v>
      </c>
      <c r="J718" s="1826"/>
      <c r="K718" s="1320" t="s">
        <v>540</v>
      </c>
      <c r="L718" s="1794" t="str">
        <f>'Part V-Utility Allowances'!L8</f>
        <v>MF</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 Heat Pump</v>
      </c>
      <c r="E722" s="1794"/>
      <c r="F722" s="2353" t="str">
        <f>'Part V-Utility Allowances'!F12</f>
        <v>X</v>
      </c>
      <c r="G722" s="2353">
        <f>'Part V-Utility Allowances'!G12</f>
        <v>0</v>
      </c>
      <c r="I722" s="1320">
        <f>'Part V-Utility Allowances'!I12</f>
        <v>0</v>
      </c>
      <c r="J722" s="1320">
        <f>'Part V-Utility Allowances'!J12</f>
        <v>4</v>
      </c>
      <c r="K722" s="1320">
        <f>'Part V-Utility Allowances'!K12</f>
        <v>5</v>
      </c>
      <c r="L722" s="1320">
        <f>'Part V-Utility Allowances'!L12</f>
        <v>0</v>
      </c>
      <c r="M722" s="1320">
        <f>'Part V-Utility Allowances'!M12</f>
        <v>0</v>
      </c>
    </row>
    <row r="723" spans="1:13">
      <c r="B723" s="638" t="s">
        <v>1597</v>
      </c>
      <c r="D723" s="1794" t="str">
        <f>'Part V-Utility Allowances'!D13</f>
        <v>Electric</v>
      </c>
      <c r="E723" s="1794"/>
      <c r="F723" s="2353" t="str">
        <f>'Part V-Utility Allowances'!F13</f>
        <v>X</v>
      </c>
      <c r="G723" s="2353">
        <f>'Part V-Utility Allowances'!G13</f>
        <v>0</v>
      </c>
      <c r="I723" s="1320">
        <f>'Part V-Utility Allowances'!I13</f>
        <v>0</v>
      </c>
      <c r="J723" s="1320">
        <f>'Part V-Utility Allowances'!J13</f>
        <v>7</v>
      </c>
      <c r="K723" s="1320">
        <f>'Part V-Utility Allowances'!K13</f>
        <v>9</v>
      </c>
      <c r="L723" s="1320">
        <f>'Part V-Utility Allowances'!L13</f>
        <v>0</v>
      </c>
      <c r="M723" s="1320">
        <f>'Part V-Utility Allowances'!M13</f>
        <v>0</v>
      </c>
    </row>
    <row r="724" spans="1:13">
      <c r="B724" s="638" t="s">
        <v>1598</v>
      </c>
      <c r="D724" s="1794" t="str">
        <f>'Part V-Utility Allowances'!D14</f>
        <v>Electric</v>
      </c>
      <c r="E724" s="1794"/>
      <c r="F724" s="2353" t="str">
        <f>'Part V-Utility Allowances'!F14</f>
        <v>X</v>
      </c>
      <c r="G724" s="2353">
        <f>'Part V-Utility Allowances'!G14</f>
        <v>0</v>
      </c>
      <c r="I724" s="1320">
        <f>'Part V-Utility Allowances'!I14</f>
        <v>0</v>
      </c>
      <c r="J724" s="1320">
        <f>'Part V-Utility Allowances'!J14</f>
        <v>13</v>
      </c>
      <c r="K724" s="1320">
        <f>'Part V-Utility Allowances'!K14</f>
        <v>18</v>
      </c>
      <c r="L724" s="1320">
        <f>'Part V-Utility Allowances'!L14</f>
        <v>0</v>
      </c>
      <c r="M724" s="1320">
        <f>'Part V-Utility Allowances'!M14</f>
        <v>0</v>
      </c>
    </row>
    <row r="725" spans="1:13">
      <c r="B725" s="638" t="s">
        <v>467</v>
      </c>
      <c r="D725" s="638" t="s">
        <v>1596</v>
      </c>
      <c r="F725" s="2353" t="str">
        <f>'Part V-Utility Allowances'!F15</f>
        <v>X</v>
      </c>
      <c r="G725" s="2353">
        <f>'Part V-Utility Allowances'!G15</f>
        <v>0</v>
      </c>
      <c r="I725" s="1320">
        <f>'Part V-Utility Allowances'!I15</f>
        <v>0</v>
      </c>
      <c r="J725" s="1320">
        <f>'Part V-Utility Allowances'!J15</f>
        <v>12</v>
      </c>
      <c r="K725" s="1320">
        <f>'Part V-Utility Allowances'!K15</f>
        <v>15</v>
      </c>
      <c r="L725" s="1320">
        <f>'Part V-Utility Allowances'!L15</f>
        <v>0</v>
      </c>
      <c r="M725" s="1320">
        <f>'Part V-Utility Allowances'!M15</f>
        <v>0</v>
      </c>
    </row>
    <row r="726" spans="1:13">
      <c r="B726" s="638" t="s">
        <v>3797</v>
      </c>
      <c r="D726" s="638" t="s">
        <v>1596</v>
      </c>
      <c r="F726" s="2353">
        <f>'Part V-Utility Allowances'!F16</f>
        <v>0</v>
      </c>
      <c r="G726" s="2353"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3798</v>
      </c>
      <c r="D727" s="638" t="s">
        <v>1596</v>
      </c>
      <c r="F727" s="2353">
        <f>'Part V-Utility Allowances'!F17</f>
        <v>0</v>
      </c>
      <c r="G727" s="2353"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3799</v>
      </c>
      <c r="D728" s="638" t="s">
        <v>1596</v>
      </c>
      <c r="F728" s="2353" t="str">
        <f>'Part V-Utility Allowances'!F18</f>
        <v>X</v>
      </c>
      <c r="G728" s="2353">
        <f>'Part V-Utility Allowances'!G18</f>
        <v>0</v>
      </c>
      <c r="I728" s="1320">
        <f>'Part V-Utility Allowances'!I18</f>
        <v>0</v>
      </c>
      <c r="J728" s="1320">
        <f>'Part V-Utility Allowances'!J18</f>
        <v>21</v>
      </c>
      <c r="K728" s="1320">
        <f>'Part V-Utility Allowances'!K18</f>
        <v>27</v>
      </c>
      <c r="L728" s="1320">
        <f>'Part V-Utility Allowances'!L18</f>
        <v>0</v>
      </c>
      <c r="M728" s="1320">
        <f>'Part V-Utility Allowances'!M18</f>
        <v>0</v>
      </c>
    </row>
    <row r="729" spans="1:13">
      <c r="B729" s="638" t="s">
        <v>1370</v>
      </c>
      <c r="D729" s="638" t="s">
        <v>4517</v>
      </c>
      <c r="E729" s="1320" t="str">
        <f>'Part V-Utility Allowances'!E19</f>
        <v>Yes</v>
      </c>
      <c r="F729" s="2353" t="str">
        <f>'Part V-Utility Allowances'!F19</f>
        <v>X</v>
      </c>
      <c r="G729" s="2353">
        <f>'Part V-Utility Allowances'!G19</f>
        <v>0</v>
      </c>
      <c r="I729" s="1320">
        <f>'Part V-Utility Allowances'!I19</f>
        <v>0</v>
      </c>
      <c r="J729" s="1320">
        <f>'Part V-Utility Allowances'!J19</f>
        <v>39</v>
      </c>
      <c r="K729" s="1320">
        <f>'Part V-Utility Allowances'!K19</f>
        <v>48</v>
      </c>
      <c r="L729" s="1320">
        <f>'Part V-Utility Allowances'!L19</f>
        <v>0</v>
      </c>
      <c r="M729" s="1320">
        <f>'Part V-Utility Allowances'!M19</f>
        <v>0</v>
      </c>
    </row>
    <row r="730" spans="1:13">
      <c r="B730" s="638" t="s">
        <v>1851</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96</v>
      </c>
      <c r="K732" s="1320">
        <f>IF(SUM(K722:K731)=0,0,IF(OR($D722="&lt;&lt;Select Fuel &gt;&gt;",$D723="&lt;&lt;Select Fuel &gt;&gt;",$D724="&lt;&lt;Select Fuel &gt;&gt;"),"Select Fuel",IF($E729="&lt;Select&gt;","Submeter?",SUM(K722:K731))))</f>
        <v>122</v>
      </c>
      <c r="L732" s="1320">
        <f>IF(SUM(L722:L731)=0,0,IF(OR($D722="&lt;&lt;Select Fuel &gt;&gt;",$D723="&lt;&lt;Select Fuel &gt;&gt;",$D724="&lt;&lt;Select Fuel &gt;&gt;"),"Select Fuel",IF($E729="&lt;Select&gt;","Submeter?",SUM(L722:L731))))</f>
        <v>0</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3797</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3798</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3799</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4517</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4518</v>
      </c>
      <c r="F751" s="1320"/>
      <c r="G751" s="1320"/>
      <c r="I751" s="1320"/>
      <c r="J751" s="1320"/>
      <c r="K751" s="1320"/>
      <c r="L751" s="1320"/>
      <c r="M751" s="1320"/>
    </row>
    <row r="752" spans="2:13">
      <c r="B752" s="638" t="s">
        <v>572</v>
      </c>
    </row>
    <row r="753" spans="1:357" ht="68.400000000000006">
      <c r="B753" s="1203" t="str">
        <f>'Part V-Utility Allowances'!B43</f>
        <v>Applicant used GA DCA Souther Region UA's for Row House</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2019-060 Dulles Park II,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2019-060 Dulles Park II,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3569</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3423</v>
      </c>
      <c r="MF765" s="1318" t="s">
        <v>3424</v>
      </c>
      <c r="MG765" s="1318" t="s">
        <v>3425</v>
      </c>
      <c r="MH765" s="1318" t="s">
        <v>3426</v>
      </c>
      <c r="MI765" s="1318" t="s">
        <v>3427</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4519</v>
      </c>
      <c r="Q766" s="2320"/>
      <c r="R766" s="1319"/>
      <c r="S766" s="1319"/>
      <c r="T766" s="1319"/>
      <c r="U766" s="1319"/>
      <c r="V766" s="1314"/>
      <c r="W766" s="1493" t="s">
        <v>4618</v>
      </c>
      <c r="X766" s="1493" t="s">
        <v>4619</v>
      </c>
      <c r="Y766" s="1493" t="s">
        <v>4620</v>
      </c>
      <c r="Z766" s="1493" t="s">
        <v>4621</v>
      </c>
      <c r="AA766" s="1493" t="s">
        <v>4622</v>
      </c>
      <c r="AB766" s="1493" t="s">
        <v>4623</v>
      </c>
      <c r="AC766" s="1493" t="s">
        <v>4624</v>
      </c>
      <c r="AD766" s="1493" t="s">
        <v>4625</v>
      </c>
      <c r="AE766" s="1493" t="s">
        <v>4626</v>
      </c>
      <c r="AF766" s="1493" t="s">
        <v>4627</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4629</v>
      </c>
      <c r="AR766" s="1493" t="s">
        <v>4630</v>
      </c>
      <c r="AS766" s="1493" t="s">
        <v>4631</v>
      </c>
      <c r="AT766" s="1493" t="s">
        <v>4632</v>
      </c>
      <c r="AU766" s="1493" t="s">
        <v>4628</v>
      </c>
      <c r="AV766" s="1493" t="s">
        <v>921</v>
      </c>
      <c r="AW766" s="1493" t="s">
        <v>2314</v>
      </c>
      <c r="AX766" s="1493" t="s">
        <v>2315</v>
      </c>
      <c r="AY766" s="1493" t="s">
        <v>2316</v>
      </c>
      <c r="AZ766" s="1493" t="s">
        <v>2317</v>
      </c>
      <c r="BA766" s="1493" t="s">
        <v>4633</v>
      </c>
      <c r="BB766" s="1493" t="s">
        <v>4634</v>
      </c>
      <c r="BC766" s="1493" t="s">
        <v>4635</v>
      </c>
      <c r="BD766" s="1493" t="s">
        <v>4636</v>
      </c>
      <c r="BE766" s="1493" t="s">
        <v>4637</v>
      </c>
      <c r="BF766" s="1493" t="s">
        <v>129</v>
      </c>
      <c r="BG766" s="1493" t="s">
        <v>2318</v>
      </c>
      <c r="BH766" s="1493" t="s">
        <v>2319</v>
      </c>
      <c r="BI766" s="1493" t="s">
        <v>2320</v>
      </c>
      <c r="BJ766" s="1493" t="s">
        <v>1148</v>
      </c>
      <c r="BK766" s="1493" t="s">
        <v>4638</v>
      </c>
      <c r="BL766" s="1493" t="s">
        <v>4639</v>
      </c>
      <c r="BM766" s="1493" t="s">
        <v>4640</v>
      </c>
      <c r="BN766" s="1493" t="s">
        <v>4641</v>
      </c>
      <c r="BO766" s="1493" t="s">
        <v>4642</v>
      </c>
      <c r="BP766" s="1493" t="s">
        <v>556</v>
      </c>
      <c r="BQ766" s="1493" t="s">
        <v>557</v>
      </c>
      <c r="BR766" s="1493" t="s">
        <v>577</v>
      </c>
      <c r="BS766" s="1493" t="s">
        <v>578</v>
      </c>
      <c r="BT766" s="1493" t="s">
        <v>579</v>
      </c>
      <c r="BU766" s="1493" t="s">
        <v>4643</v>
      </c>
      <c r="BV766" s="1493" t="s">
        <v>4644</v>
      </c>
      <c r="BW766" s="1493" t="s">
        <v>4645</v>
      </c>
      <c r="BX766" s="1493" t="s">
        <v>4646</v>
      </c>
      <c r="BY766" s="1493" t="s">
        <v>4647</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4653</v>
      </c>
      <c r="CK766" s="1493" t="s">
        <v>4654</v>
      </c>
      <c r="CL766" s="1493" t="s">
        <v>4655</v>
      </c>
      <c r="CM766" s="1493" t="s">
        <v>4656</v>
      </c>
      <c r="CN766" s="1493" t="s">
        <v>4657</v>
      </c>
      <c r="CO766" s="1493" t="s">
        <v>4648</v>
      </c>
      <c r="CP766" s="1493" t="s">
        <v>4649</v>
      </c>
      <c r="CQ766" s="1493" t="s">
        <v>4650</v>
      </c>
      <c r="CR766" s="1493" t="s">
        <v>4651</v>
      </c>
      <c r="CS766" s="1493" t="s">
        <v>4652</v>
      </c>
      <c r="CT766" s="1493" t="s">
        <v>4658</v>
      </c>
      <c r="CU766" s="1493" t="s">
        <v>4659</v>
      </c>
      <c r="CV766" s="1493" t="s">
        <v>4660</v>
      </c>
      <c r="CW766" s="1493" t="s">
        <v>4661</v>
      </c>
      <c r="CX766" s="1493" t="s">
        <v>4662</v>
      </c>
      <c r="CY766" s="1493" t="s">
        <v>496</v>
      </c>
      <c r="CZ766" s="1493" t="s">
        <v>497</v>
      </c>
      <c r="DA766" s="1493" t="s">
        <v>498</v>
      </c>
      <c r="DB766" s="1493" t="s">
        <v>499</v>
      </c>
      <c r="DC766" s="1493" t="s">
        <v>500</v>
      </c>
      <c r="DD766" s="1493" t="s">
        <v>4663</v>
      </c>
      <c r="DE766" s="1493" t="s">
        <v>4664</v>
      </c>
      <c r="DF766" s="1493" t="s">
        <v>4665</v>
      </c>
      <c r="DG766" s="1493" t="s">
        <v>4666</v>
      </c>
      <c r="DH766" s="1493" t="s">
        <v>4667</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4668</v>
      </c>
      <c r="DT766" s="1493" t="s">
        <v>4669</v>
      </c>
      <c r="DU766" s="1493" t="s">
        <v>4670</v>
      </c>
      <c r="DV766" s="1493" t="s">
        <v>4671</v>
      </c>
      <c r="DW766" s="1493" t="s">
        <v>4672</v>
      </c>
      <c r="DX766" s="1493" t="s">
        <v>4673</v>
      </c>
      <c r="DY766" s="1493" t="s">
        <v>4674</v>
      </c>
      <c r="DZ766" s="1493" t="s">
        <v>4675</v>
      </c>
      <c r="EA766" s="1493" t="s">
        <v>4676</v>
      </c>
      <c r="EB766" s="1493" t="s">
        <v>4677</v>
      </c>
      <c r="EC766" s="1493" t="s">
        <v>2430</v>
      </c>
      <c r="ED766" s="1493" t="s">
        <v>2431</v>
      </c>
      <c r="EE766" s="1493" t="s">
        <v>2432</v>
      </c>
      <c r="EF766" s="1493" t="s">
        <v>2433</v>
      </c>
      <c r="EG766" s="1493" t="s">
        <v>2434</v>
      </c>
      <c r="EH766" s="1493" t="s">
        <v>4678</v>
      </c>
      <c r="EI766" s="1493" t="s">
        <v>4679</v>
      </c>
      <c r="EJ766" s="1493" t="s">
        <v>4680</v>
      </c>
      <c r="EK766" s="1493" t="s">
        <v>4681</v>
      </c>
      <c r="EL766" s="1493" t="s">
        <v>4682</v>
      </c>
      <c r="EM766" s="1493" t="s">
        <v>4683</v>
      </c>
      <c r="EN766" s="1493" t="s">
        <v>4684</v>
      </c>
      <c r="EO766" s="1493" t="s">
        <v>4685</v>
      </c>
      <c r="EP766" s="1493" t="s">
        <v>4686</v>
      </c>
      <c r="EQ766" s="1493" t="s">
        <v>4687</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4688</v>
      </c>
      <c r="FC766" s="1493" t="s">
        <v>4689</v>
      </c>
      <c r="FD766" s="1493" t="s">
        <v>4690</v>
      </c>
      <c r="FE766" s="1493" t="s">
        <v>4691</v>
      </c>
      <c r="FF766" s="1493" t="s">
        <v>4692</v>
      </c>
      <c r="FG766" s="1318" t="s">
        <v>131</v>
      </c>
      <c r="FH766" s="1318" t="s">
        <v>911</v>
      </c>
      <c r="FI766" s="1318" t="s">
        <v>912</v>
      </c>
      <c r="FJ766" s="1318" t="s">
        <v>913</v>
      </c>
      <c r="FK766" s="1318" t="s">
        <v>914</v>
      </c>
      <c r="FL766" s="1493" t="s">
        <v>4693</v>
      </c>
      <c r="FM766" s="1493" t="s">
        <v>4694</v>
      </c>
      <c r="FN766" s="1493" t="s">
        <v>4695</v>
      </c>
      <c r="FO766" s="1493" t="s">
        <v>4696</v>
      </c>
      <c r="FP766" s="1493" t="s">
        <v>4697</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1846</v>
      </c>
      <c r="C767" s="1314"/>
      <c r="D767" s="1314"/>
      <c r="E767" s="1314"/>
      <c r="F767" s="1314"/>
      <c r="G767" s="1313" t="str">
        <f>'Part VI-Revenues &amp; Expenses'!G5</f>
        <v>&lt;Select&gt;</v>
      </c>
      <c r="H767" s="1314"/>
      <c r="I767" s="1314"/>
      <c r="J767" s="1316" t="s">
        <v>3564</v>
      </c>
      <c r="K767" s="2355" t="str">
        <f>'Part I-Project Information'!$B$6</f>
        <v>May 2019</v>
      </c>
      <c r="L767" s="2356"/>
      <c r="M767" s="1630" t="s">
        <v>576</v>
      </c>
      <c r="N767" s="1314"/>
      <c r="O767" s="1313" t="s">
        <v>5302</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3418</v>
      </c>
      <c r="MK767" s="1319" t="s">
        <v>3419</v>
      </c>
      <c r="ML767" s="1319" t="s">
        <v>3420</v>
      </c>
      <c r="MM767" s="1319" t="s">
        <v>3421</v>
      </c>
      <c r="MN767" s="1319" t="s">
        <v>3422</v>
      </c>
      <c r="MO767" s="1318" t="s">
        <v>3432</v>
      </c>
      <c r="MP767" s="1318" t="s">
        <v>3434</v>
      </c>
      <c r="MQ767" s="1318" t="s">
        <v>3435</v>
      </c>
      <c r="MR767" s="1318" t="s">
        <v>3436</v>
      </c>
      <c r="MS767" s="1318" t="s">
        <v>3437</v>
      </c>
    </row>
    <row r="768" spans="1:357" ht="12.75" customHeight="1">
      <c r="A768" s="2354"/>
      <c r="B768" s="1526" t="s">
        <v>1805</v>
      </c>
      <c r="C768" s="1314"/>
      <c r="D768" s="1314"/>
      <c r="E768" s="1314"/>
      <c r="F768" s="1313" t="str">
        <f>'Part VI-Revenues &amp; Expenses'!F6</f>
        <v>No</v>
      </c>
      <c r="G768" s="1316" t="s">
        <v>3662</v>
      </c>
      <c r="H768" s="1493" t="s">
        <v>3884</v>
      </c>
      <c r="I768" s="1316" t="s">
        <v>798</v>
      </c>
      <c r="J768" s="1316" t="s">
        <v>3665</v>
      </c>
      <c r="K768" s="2356"/>
      <c r="L768" s="2356"/>
      <c r="M768" s="2357" t="str">
        <f>'Part I-Project Information'!$O$40</f>
        <v>Macon</v>
      </c>
      <c r="N768" s="2357"/>
      <c r="O768" s="1607">
        <f>VLOOKUP('Part I-Project Information'!$O$40,'DCA Underwriting Assumptions'!$C$158:$D$268,2)</f>
        <v>53600</v>
      </c>
      <c r="P768" s="1493"/>
      <c r="Q768" s="2320"/>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4700</v>
      </c>
      <c r="C769" s="1314"/>
      <c r="D769" s="1314"/>
      <c r="E769" s="1314"/>
      <c r="F769" s="1314"/>
      <c r="G769" s="1316" t="s">
        <v>3663</v>
      </c>
      <c r="H769" s="1493"/>
      <c r="I769" s="1316" t="s">
        <v>799</v>
      </c>
      <c r="J769" s="1316" t="s">
        <v>3666</v>
      </c>
      <c r="K769" s="1319"/>
      <c r="L769" s="1319"/>
      <c r="M769" s="2357"/>
      <c r="N769" s="2357"/>
      <c r="O769" s="1314"/>
      <c r="P769" s="1493"/>
      <c r="Q769" s="2320"/>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4701</v>
      </c>
      <c r="C770" s="1316" t="s">
        <v>172</v>
      </c>
      <c r="D770" s="1316" t="s">
        <v>545</v>
      </c>
      <c r="E770" s="1316" t="s">
        <v>1476</v>
      </c>
      <c r="F770" s="1316" t="s">
        <v>1476</v>
      </c>
      <c r="G770" s="1316" t="s">
        <v>1478</v>
      </c>
      <c r="H770" s="1316" t="s">
        <v>3663</v>
      </c>
      <c r="I770" s="2359" t="s">
        <v>5063</v>
      </c>
      <c r="J770" s="1316" t="s">
        <v>5303</v>
      </c>
      <c r="K770" s="1317" t="s">
        <v>145</v>
      </c>
      <c r="L770" s="1317"/>
      <c r="M770" s="1316" t="s">
        <v>2367</v>
      </c>
      <c r="N770" s="1316" t="s">
        <v>532</v>
      </c>
      <c r="O770" s="1316" t="s">
        <v>383</v>
      </c>
      <c r="P770" s="1493"/>
      <c r="Q770" s="1317" t="s">
        <v>3573</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3366</v>
      </c>
      <c r="IJ770" s="1318" t="s">
        <v>3366</v>
      </c>
      <c r="IK770" s="1318" t="s">
        <v>3366</v>
      </c>
      <c r="IL770" s="1318" t="s">
        <v>3366</v>
      </c>
      <c r="IM770" s="1318" t="s">
        <v>3366</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3362</v>
      </c>
      <c r="JD770" s="1318" t="s">
        <v>3362</v>
      </c>
      <c r="JE770" s="1318" t="s">
        <v>3362</v>
      </c>
      <c r="JF770" s="1318" t="s">
        <v>3362</v>
      </c>
      <c r="JG770" s="1318" t="s">
        <v>3362</v>
      </c>
      <c r="JH770" s="1318" t="s">
        <v>358</v>
      </c>
      <c r="JI770" s="1318" t="s">
        <v>358</v>
      </c>
      <c r="JJ770" s="1318" t="s">
        <v>358</v>
      </c>
      <c r="JK770" s="1318" t="s">
        <v>358</v>
      </c>
      <c r="JL770" s="1318" t="s">
        <v>358</v>
      </c>
      <c r="JM770" s="1318" t="s">
        <v>3361</v>
      </c>
      <c r="JN770" s="1318" t="s">
        <v>3361</v>
      </c>
      <c r="JO770" s="1318" t="s">
        <v>3361</v>
      </c>
      <c r="JP770" s="1318" t="s">
        <v>3361</v>
      </c>
      <c r="JQ770" s="1318" t="s">
        <v>3361</v>
      </c>
      <c r="JR770" s="1318" t="s">
        <v>359</v>
      </c>
      <c r="JS770" s="1318" t="s">
        <v>359</v>
      </c>
      <c r="JT770" s="1318" t="s">
        <v>359</v>
      </c>
      <c r="JU770" s="1318" t="s">
        <v>359</v>
      </c>
      <c r="JV770" s="1318" t="s">
        <v>359</v>
      </c>
      <c r="JW770" s="1318" t="s">
        <v>3360</v>
      </c>
      <c r="JX770" s="1318" t="s">
        <v>3360</v>
      </c>
      <c r="JY770" s="1318" t="s">
        <v>3360</v>
      </c>
      <c r="JZ770" s="1318" t="s">
        <v>3360</v>
      </c>
      <c r="KA770" s="1318" t="s">
        <v>3360</v>
      </c>
      <c r="KB770" s="1318" t="s">
        <v>360</v>
      </c>
      <c r="KC770" s="1318" t="s">
        <v>360</v>
      </c>
      <c r="KD770" s="1318" t="s">
        <v>360</v>
      </c>
      <c r="KE770" s="1318" t="s">
        <v>360</v>
      </c>
      <c r="KF770" s="1318" t="s">
        <v>360</v>
      </c>
      <c r="KG770" s="1318" t="s">
        <v>3363</v>
      </c>
      <c r="KH770" s="1318" t="s">
        <v>3363</v>
      </c>
      <c r="KI770" s="1318" t="s">
        <v>3363</v>
      </c>
      <c r="KJ770" s="1318" t="s">
        <v>3363</v>
      </c>
      <c r="KK770" s="1318" t="s">
        <v>3363</v>
      </c>
      <c r="KL770" s="1318" t="s">
        <v>361</v>
      </c>
      <c r="KM770" s="1318" t="s">
        <v>361</v>
      </c>
      <c r="KN770" s="1318" t="s">
        <v>361</v>
      </c>
      <c r="KO770" s="1318" t="s">
        <v>361</v>
      </c>
      <c r="KP770" s="1318" t="s">
        <v>361</v>
      </c>
      <c r="KQ770" s="1318" t="s">
        <v>3364</v>
      </c>
      <c r="KR770" s="1318" t="s">
        <v>3364</v>
      </c>
      <c r="KS770" s="1318" t="s">
        <v>3364</v>
      </c>
      <c r="KT770" s="1318" t="s">
        <v>3364</v>
      </c>
      <c r="KU770" s="1318" t="s">
        <v>3364</v>
      </c>
      <c r="KV770" s="1318" t="s">
        <v>1461</v>
      </c>
      <c r="KW770" s="1318" t="s">
        <v>1461</v>
      </c>
      <c r="KX770" s="1318" t="s">
        <v>1461</v>
      </c>
      <c r="KY770" s="1318" t="s">
        <v>1461</v>
      </c>
      <c r="KZ770" s="1318" t="s">
        <v>1461</v>
      </c>
      <c r="LA770" s="1318" t="s">
        <v>3365</v>
      </c>
      <c r="LB770" s="1318" t="s">
        <v>3365</v>
      </c>
      <c r="LC770" s="1318" t="s">
        <v>3365</v>
      </c>
      <c r="LD770" s="1318" t="s">
        <v>3365</v>
      </c>
      <c r="LE770" s="1318" t="s">
        <v>3365</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5065</v>
      </c>
      <c r="C771" s="1316" t="s">
        <v>171</v>
      </c>
      <c r="D771" s="1316" t="s">
        <v>173</v>
      </c>
      <c r="E771" s="1316" t="s">
        <v>1477</v>
      </c>
      <c r="F771" s="1316" t="s">
        <v>1279</v>
      </c>
      <c r="G771" s="1316" t="s">
        <v>3664</v>
      </c>
      <c r="H771" s="1316" t="s">
        <v>1478</v>
      </c>
      <c r="I771" s="2359"/>
      <c r="J771" s="1504" t="s">
        <v>350</v>
      </c>
      <c r="K771" s="1316" t="s">
        <v>1530</v>
      </c>
      <c r="L771" s="1316" t="s">
        <v>539</v>
      </c>
      <c r="M771" s="1316" t="s">
        <v>1476</v>
      </c>
      <c r="N771" s="1316" t="s">
        <v>3315</v>
      </c>
      <c r="O771" s="1316" t="s">
        <v>384</v>
      </c>
      <c r="P771" s="1493"/>
      <c r="Q771" s="1316" t="s">
        <v>3574</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3367</v>
      </c>
      <c r="IT771" s="1320" t="s">
        <v>3367</v>
      </c>
      <c r="IU771" s="1320" t="s">
        <v>3367</v>
      </c>
      <c r="IV771" s="1320" t="s">
        <v>3367</v>
      </c>
      <c r="IW771" s="1320" t="s">
        <v>3367</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50</v>
      </c>
      <c r="C779" s="1829">
        <f>'Part VI-Revenues &amp; Expenses'!C17</f>
        <v>1</v>
      </c>
      <c r="D779" s="1830">
        <f>'Part VI-Revenues &amp; Expenses'!D17</f>
        <v>1</v>
      </c>
      <c r="E779" s="1831">
        <f>'Part VI-Revenues &amp; Expenses'!E17</f>
        <v>2</v>
      </c>
      <c r="F779" s="1831">
        <f>'Part VI-Revenues &amp; Expenses'!F17</f>
        <v>740</v>
      </c>
      <c r="G779" s="1831">
        <f>'Part VI-Revenues &amp; Expenses'!G17</f>
        <v>547</v>
      </c>
      <c r="H779" s="1831">
        <f>'Part VI-Revenues &amp; Expenses'!H17</f>
        <v>488</v>
      </c>
      <c r="I779" s="1831">
        <f>'Part VI-Revenues &amp; Expenses'!I17</f>
        <v>96</v>
      </c>
      <c r="J779" s="1832">
        <f>'Part VI-Revenues &amp; Expenses'!J17</f>
        <v>0</v>
      </c>
      <c r="K779" s="1505">
        <f t="shared" si="1"/>
        <v>392</v>
      </c>
      <c r="L779" s="1505">
        <f t="shared" si="2"/>
        <v>784</v>
      </c>
      <c r="M779" s="1816" t="str">
        <f>'Part VI-Revenues &amp; Expenses'!M17</f>
        <v>No</v>
      </c>
      <c r="N779" s="1816" t="str">
        <f>'Part VI-Revenues &amp; Expenses'!N17</f>
        <v>1-Story</v>
      </c>
      <c r="O779" s="1816" t="str">
        <f>'Part VI-Revenues &amp; Expenses'!O17</f>
        <v>New Construction</v>
      </c>
      <c r="P779" s="1316" t="str">
        <f>'Part VI-Revenues &amp; Expenses'!P17</f>
        <v>No</v>
      </c>
      <c r="Q779" s="1506">
        <f>'Part VI-Revenues &amp; Expenses'!Q17</f>
        <v>19520</v>
      </c>
      <c r="R779" s="1507">
        <f>'Part VI-Revenues &amp; Expenses'!R17</f>
        <v>0.48557213930348259</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2</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1480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2</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f t="shared" si="248"/>
        <v>2</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2</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50</v>
      </c>
      <c r="C780" s="1829">
        <f>'Part VI-Revenues &amp; Expenses'!C18</f>
        <v>2</v>
      </c>
      <c r="D780" s="1830">
        <f>'Part VI-Revenues &amp; Expenses'!D18</f>
        <v>2</v>
      </c>
      <c r="E780" s="1831">
        <f>'Part VI-Revenues &amp; Expenses'!E18</f>
        <v>14</v>
      </c>
      <c r="F780" s="1831">
        <f>'Part VI-Revenues &amp; Expenses'!F18</f>
        <v>950</v>
      </c>
      <c r="G780" s="1831">
        <f>'Part VI-Revenues &amp; Expenses'!G18</f>
        <v>657</v>
      </c>
      <c r="H780" s="1831">
        <f>'Part VI-Revenues &amp; Expenses'!H18</f>
        <v>588</v>
      </c>
      <c r="I780" s="1831">
        <f>'Part VI-Revenues &amp; Expenses'!I18</f>
        <v>122</v>
      </c>
      <c r="J780" s="1832">
        <f>'Part VI-Revenues &amp; Expenses'!J18</f>
        <v>0</v>
      </c>
      <c r="K780" s="1505">
        <f t="shared" si="1"/>
        <v>466</v>
      </c>
      <c r="L780" s="1505">
        <f t="shared" si="2"/>
        <v>6524</v>
      </c>
      <c r="M780" s="1816" t="str">
        <f>'Part VI-Revenues &amp; Expenses'!M18</f>
        <v>No</v>
      </c>
      <c r="N780" s="1816" t="str">
        <f>'Part VI-Revenues &amp; Expenses'!N18</f>
        <v>1-Story</v>
      </c>
      <c r="O780" s="1816" t="str">
        <f>'Part VI-Revenues &amp; Expenses'!O18</f>
        <v>New Construction</v>
      </c>
      <c r="P780" s="1316" t="str">
        <f>'Part VI-Revenues &amp; Expenses'!P18</f>
        <v>No</v>
      </c>
      <c r="Q780" s="1506">
        <f>'Part VI-Revenues &amp; Expenses'!Q18</f>
        <v>23520</v>
      </c>
      <c r="R780" s="1507">
        <f>'Part VI-Revenues &amp; Expenses'!R18</f>
        <v>0.48756218905472637</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14</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13300</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14</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14</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f t="shared" si="249"/>
        <v>14</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14</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60</v>
      </c>
      <c r="C781" s="1829">
        <f>'Part VI-Revenues &amp; Expenses'!C19</f>
        <v>1</v>
      </c>
      <c r="D781" s="1830">
        <f>'Part VI-Revenues &amp; Expenses'!D19</f>
        <v>1</v>
      </c>
      <c r="E781" s="1831">
        <f>'Part VI-Revenues &amp; Expenses'!E19</f>
        <v>6</v>
      </c>
      <c r="F781" s="1831">
        <f>'Part VI-Revenues &amp; Expenses'!F19</f>
        <v>740</v>
      </c>
      <c r="G781" s="1831">
        <f>'Part VI-Revenues &amp; Expenses'!G19</f>
        <v>657</v>
      </c>
      <c r="H781" s="1831">
        <f>'Part VI-Revenues &amp; Expenses'!H19</f>
        <v>588</v>
      </c>
      <c r="I781" s="1831">
        <f>'Part VI-Revenues &amp; Expenses'!I19</f>
        <v>96</v>
      </c>
      <c r="J781" s="1832">
        <f>'Part VI-Revenues &amp; Expenses'!J19</f>
        <v>0</v>
      </c>
      <c r="K781" s="1505">
        <f t="shared" si="1"/>
        <v>492</v>
      </c>
      <c r="L781" s="1505">
        <f t="shared" si="2"/>
        <v>2952</v>
      </c>
      <c r="M781" s="1816" t="str">
        <f>'Part VI-Revenues &amp; Expenses'!M19</f>
        <v>No</v>
      </c>
      <c r="N781" s="1816" t="str">
        <f>'Part VI-Revenues &amp; Expenses'!N19</f>
        <v>1-Story</v>
      </c>
      <c r="O781" s="1816" t="str">
        <f>'Part VI-Revenues &amp; Expenses'!O19</f>
        <v>New Construction</v>
      </c>
      <c r="P781" s="1316" t="str">
        <f>'Part VI-Revenues &amp; Expenses'!P19</f>
        <v>No</v>
      </c>
      <c r="Q781" s="1506">
        <f>'Part VI-Revenues &amp; Expenses'!Q19</f>
        <v>23520</v>
      </c>
      <c r="R781" s="1507">
        <f>'Part VI-Revenues &amp; Expenses'!R19</f>
        <v>0.58507462686567169</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f t="shared" si="14"/>
        <v>6</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f t="shared" si="128"/>
        <v>4440</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f t="shared" si="158"/>
        <v>6</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f t="shared" si="203"/>
        <v>6</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f t="shared" si="248"/>
        <v>6</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6</v>
      </c>
      <c r="ML781" s="1320">
        <f t="shared" si="330"/>
        <v>0</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60</v>
      </c>
      <c r="C782" s="1829">
        <f>'Part VI-Revenues &amp; Expenses'!C20</f>
        <v>2</v>
      </c>
      <c r="D782" s="1830">
        <f>'Part VI-Revenues &amp; Expenses'!D20</f>
        <v>2</v>
      </c>
      <c r="E782" s="1831">
        <f>'Part VI-Revenues &amp; Expenses'!E20</f>
        <v>26</v>
      </c>
      <c r="F782" s="1831">
        <f>'Part VI-Revenues &amp; Expenses'!F20</f>
        <v>950</v>
      </c>
      <c r="G782" s="1831">
        <f>'Part VI-Revenues &amp; Expenses'!G20</f>
        <v>789</v>
      </c>
      <c r="H782" s="1831">
        <f>'Part VI-Revenues &amp; Expenses'!H20</f>
        <v>704</v>
      </c>
      <c r="I782" s="1831">
        <f>'Part VI-Revenues &amp; Expenses'!I20</f>
        <v>122</v>
      </c>
      <c r="J782" s="1832">
        <f>'Part VI-Revenues &amp; Expenses'!J20</f>
        <v>0</v>
      </c>
      <c r="K782" s="1505">
        <f t="shared" si="1"/>
        <v>582</v>
      </c>
      <c r="L782" s="1505">
        <f t="shared" si="2"/>
        <v>15132</v>
      </c>
      <c r="M782" s="1816" t="str">
        <f>'Part VI-Revenues &amp; Expenses'!M20</f>
        <v>No</v>
      </c>
      <c r="N782" s="1816" t="str">
        <f>'Part VI-Revenues &amp; Expenses'!N20</f>
        <v>1-Story</v>
      </c>
      <c r="O782" s="1816" t="str">
        <f>'Part VI-Revenues &amp; Expenses'!O20</f>
        <v>New Construction</v>
      </c>
      <c r="P782" s="1316" t="str">
        <f>'Part VI-Revenues &amp; Expenses'!P20</f>
        <v>No</v>
      </c>
      <c r="Q782" s="1506">
        <f>'Part VI-Revenues &amp; Expenses'!Q20</f>
        <v>28160</v>
      </c>
      <c r="R782" s="1507">
        <f>'Part VI-Revenues &amp; Expenses'!R20</f>
        <v>0.58374792703150913</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26</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24700</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26</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f t="shared" si="204"/>
        <v>26</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f t="shared" si="249"/>
        <v>26</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0</v>
      </c>
      <c r="ML782" s="1320">
        <f t="shared" si="330"/>
        <v>26</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60</v>
      </c>
      <c r="C783" s="1829">
        <f>'Part VI-Revenues &amp; Expenses'!C21</f>
        <v>0</v>
      </c>
      <c r="D783" s="1830">
        <f>'Part VI-Revenues &amp; Expenses'!D21</f>
        <v>0</v>
      </c>
      <c r="E783" s="1831">
        <f>'Part VI-Revenues &amp; Expenses'!E21</f>
        <v>0</v>
      </c>
      <c r="F783" s="1831">
        <f>'Part VI-Revenues &amp; Expenses'!F21</f>
        <v>0</v>
      </c>
      <c r="G783" s="1831">
        <f>'Part VI-Revenues &amp; Expenses'!G21</f>
        <v>0</v>
      </c>
      <c r="H783" s="1831">
        <f>'Part VI-Revenues &amp; Expenses'!H21</f>
        <v>0</v>
      </c>
      <c r="I783" s="1831">
        <f>'Part VI-Revenues &amp; Expenses'!I21</f>
        <v>0</v>
      </c>
      <c r="J783" s="1832">
        <f>'Part VI-Revenues &amp; Expenses'!J21</f>
        <v>0</v>
      </c>
      <c r="K783" s="1505">
        <f t="shared" si="1"/>
        <v>0</v>
      </c>
      <c r="L783" s="1505">
        <f t="shared" si="2"/>
        <v>0</v>
      </c>
      <c r="M783" s="1816">
        <f>'Part VI-Revenues &amp; Expenses'!M21</f>
        <v>0</v>
      </c>
      <c r="N783" s="1816">
        <f>'Part VI-Revenues &amp; Expenses'!N21</f>
        <v>0</v>
      </c>
      <c r="O783" s="1816">
        <f>'Part VI-Revenues &amp; Expenses'!O21</f>
        <v>0</v>
      </c>
      <c r="P783" s="1316">
        <f>'Part VI-Revenues &amp; Expenses'!P21</f>
        <v>0</v>
      </c>
      <c r="Q783" s="1506" t="str">
        <f>'Part VI-Revenues &amp; Expenses'!Q21</f>
        <v/>
      </c>
      <c r="R783" s="1507" t="str">
        <f>'Part VI-Revenues &amp; Expenses'!R21</f>
        <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0</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60</v>
      </c>
      <c r="C784" s="1829">
        <f>'Part VI-Revenues &amp; Expenses'!C22</f>
        <v>0</v>
      </c>
      <c r="D784" s="1830">
        <f>'Part VI-Revenues &amp; Expenses'!D22</f>
        <v>0</v>
      </c>
      <c r="E784" s="1831">
        <f>'Part VI-Revenues &amp; Expenses'!E22</f>
        <v>0</v>
      </c>
      <c r="F784" s="1831">
        <f>'Part VI-Revenues &amp; Expenses'!F22</f>
        <v>0</v>
      </c>
      <c r="G784" s="1831">
        <f>'Part VI-Revenues &amp; Expenses'!G22</f>
        <v>0</v>
      </c>
      <c r="H784" s="1831">
        <f>'Part VI-Revenues &amp; Expenses'!H22</f>
        <v>0</v>
      </c>
      <c r="I784" s="1831">
        <f>'Part VI-Revenues &amp; Expenses'!I22</f>
        <v>0</v>
      </c>
      <c r="J784" s="1832">
        <f>'Part VI-Revenues &amp; Expenses'!J22</f>
        <v>0</v>
      </c>
      <c r="K784" s="1505">
        <f t="shared" si="1"/>
        <v>0</v>
      </c>
      <c r="L784" s="1505">
        <f t="shared" si="2"/>
        <v>0</v>
      </c>
      <c r="M784" s="1816">
        <f>'Part VI-Revenues &amp; Expenses'!M22</f>
        <v>0</v>
      </c>
      <c r="N784" s="1816">
        <f>'Part VI-Revenues &amp; Expenses'!N22</f>
        <v>0</v>
      </c>
      <c r="O784" s="1816">
        <f>'Part VI-Revenues &amp; Expenses'!O22</f>
        <v>0</v>
      </c>
      <c r="P784" s="1316">
        <f>'Part VI-Revenues &amp; Expenses'!P22</f>
        <v>0</v>
      </c>
      <c r="Q784" s="1506" t="str">
        <f>'Part VI-Revenues &amp; Expenses'!Q22</f>
        <v/>
      </c>
      <c r="R784" s="1507" t="str">
        <f>'Part VI-Revenues &amp; Expenses'!R22</f>
        <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80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80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4705</v>
      </c>
      <c r="C810" s="457"/>
      <c r="D810" s="1511" t="s">
        <v>1018</v>
      </c>
      <c r="E810" s="1510">
        <f>SUM(E772:E809)</f>
        <v>48</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43920</v>
      </c>
      <c r="G810" s="2363" t="s">
        <v>4702</v>
      </c>
      <c r="H810" s="1578" t="s">
        <v>4703</v>
      </c>
      <c r="I810" s="2364" t="str">
        <f>IF(O829=0,"",IF(SUM(O820:O824)/O829&gt;=0.4,"Pass","Fail"))</f>
        <v>Pass</v>
      </c>
      <c r="J810" s="458"/>
      <c r="K810" s="1511" t="s">
        <v>1302</v>
      </c>
      <c r="L810" s="1509">
        <f>SUM(L772:L809)</f>
        <v>25392</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6</v>
      </c>
      <c r="AI810" s="1321">
        <f t="shared" si="338"/>
        <v>26</v>
      </c>
      <c r="AJ810" s="1321">
        <f t="shared" si="338"/>
        <v>0</v>
      </c>
      <c r="AK810" s="1321">
        <f t="shared" si="338"/>
        <v>0</v>
      </c>
      <c r="AL810" s="1321">
        <f>SUM(AL772:AL809)</f>
        <v>0</v>
      </c>
      <c r="AM810" s="1321">
        <f>SUM(AM772:AM809)</f>
        <v>2</v>
      </c>
      <c r="AN810" s="1321">
        <f>SUM(AN772:AN809)</f>
        <v>14</v>
      </c>
      <c r="AO810" s="1321">
        <f>SUM(AO772:AO809)</f>
        <v>0</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4440</v>
      </c>
      <c r="ET810" s="1321">
        <f t="shared" si="338"/>
        <v>24700</v>
      </c>
      <c r="EU810" s="1321">
        <f t="shared" si="338"/>
        <v>0</v>
      </c>
      <c r="EV810" s="1321">
        <f t="shared" si="338"/>
        <v>0</v>
      </c>
      <c r="EW810" s="1321">
        <f t="shared" si="338"/>
        <v>0</v>
      </c>
      <c r="EX810" s="1321">
        <f t="shared" si="338"/>
        <v>1480</v>
      </c>
      <c r="EY810" s="1321">
        <f t="shared" si="338"/>
        <v>13300</v>
      </c>
      <c r="EZ810" s="1321">
        <f t="shared" si="338"/>
        <v>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8</v>
      </c>
      <c r="GH810" s="1321">
        <f t="shared" si="340"/>
        <v>40</v>
      </c>
      <c r="GI810" s="1321">
        <f t="shared" si="340"/>
        <v>0</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8</v>
      </c>
      <c r="IA810" s="1321">
        <f t="shared" si="341"/>
        <v>40</v>
      </c>
      <c r="IB810" s="1321">
        <f t="shared" si="341"/>
        <v>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8</v>
      </c>
      <c r="JT810" s="1321">
        <f t="shared" si="341"/>
        <v>40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8</v>
      </c>
      <c r="ML810" s="1321">
        <f t="shared" si="342"/>
        <v>40</v>
      </c>
      <c r="MM810" s="1321">
        <f t="shared" si="342"/>
        <v>0</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56.666666666666664</v>
      </c>
      <c r="C811" s="2365"/>
      <c r="D811" s="1313" t="s">
        <v>4612</v>
      </c>
      <c r="E811" s="1510">
        <f>SUM(E779:E809)</f>
        <v>48</v>
      </c>
      <c r="F811" s="2362">
        <f>(E779*F779+E780*F780+E781*F781+E782*F782+E783*F783+E784*F784+E785*F785+E786*F786+E787*F787+E788*F788+E789*F789+E790*F790+E791*F791+E792*F792+E793*F793+E794*F794+E795*F795+E796*F796+E797*F797+E798*F798+E799*F799+E800*F800+E801*F801+E802*F802+E803*F803+E804*F804+E805*F805+E806*F806+E807*F807+E808*F808+E809*F809)</f>
        <v>43920</v>
      </c>
      <c r="G811" s="2363"/>
      <c r="H811" s="1578" t="s">
        <v>4704</v>
      </c>
      <c r="I811" s="2364" t="str">
        <f>IF(O829=0,"",IF(SUM(O821:O824)/O829&gt;=0.2,"Pass","Fail"))</f>
        <v>Pass</v>
      </c>
      <c r="J811" s="458"/>
      <c r="K811" s="1511" t="s">
        <v>814</v>
      </c>
      <c r="L811" s="1509">
        <f>L810*12</f>
        <v>304704</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5304</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7" t="s">
        <v>568</v>
      </c>
      <c r="K817" s="2367" t="s">
        <v>535</v>
      </c>
      <c r="L817" s="2367" t="s">
        <v>536</v>
      </c>
      <c r="M817" s="2367" t="s">
        <v>537</v>
      </c>
      <c r="N817" s="2367" t="s">
        <v>538</v>
      </c>
      <c r="O817" s="2367" t="s">
        <v>539</v>
      </c>
      <c r="R817" s="1794" t="s">
        <v>1845</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4613</v>
      </c>
      <c r="J818" s="1516">
        <f>W810</f>
        <v>0</v>
      </c>
      <c r="K818" s="1516">
        <f>X810</f>
        <v>0</v>
      </c>
      <c r="L818" s="1516">
        <f>Y810</f>
        <v>0</v>
      </c>
      <c r="M818" s="1516">
        <f>Z810</f>
        <v>0</v>
      </c>
      <c r="N818" s="1516">
        <f>AA810</f>
        <v>0</v>
      </c>
      <c r="O818" s="1516">
        <f t="shared" ref="O818:O829" si="343">SUM(J818:N818)</f>
        <v>0</v>
      </c>
      <c r="P818" s="1468" t="s">
        <v>3667</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4614</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6</v>
      </c>
      <c r="L820" s="1516">
        <f>AI810</f>
        <v>26</v>
      </c>
      <c r="M820" s="1516">
        <f>AJ810</f>
        <v>0</v>
      </c>
      <c r="N820" s="1516">
        <f>AK810</f>
        <v>0</v>
      </c>
      <c r="O820" s="1516">
        <f t="shared" si="343"/>
        <v>32</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2</v>
      </c>
      <c r="L821" s="1516">
        <f>AN810</f>
        <v>14</v>
      </c>
      <c r="M821" s="1516">
        <f>AO810</f>
        <v>0</v>
      </c>
      <c r="N821" s="1516">
        <f>AP810</f>
        <v>0</v>
      </c>
      <c r="O821" s="1516">
        <f t="shared" si="343"/>
        <v>16</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4615</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4616</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4617</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4699</v>
      </c>
      <c r="D825" s="1314"/>
      <c r="E825" s="1314"/>
      <c r="F825" s="1314"/>
      <c r="H825" s="1051"/>
      <c r="J825" s="1516">
        <f>SUM(J818:J824)</f>
        <v>0</v>
      </c>
      <c r="K825" s="1516">
        <f>SUM(K818:K824)</f>
        <v>8</v>
      </c>
      <c r="L825" s="1516">
        <f>SUM(L818:L824)</f>
        <v>40</v>
      </c>
      <c r="M825" s="1516">
        <f>SUM(M818:M824)</f>
        <v>0</v>
      </c>
      <c r="N825" s="1516">
        <f>SUM(N818:N824)</f>
        <v>0</v>
      </c>
      <c r="O825" s="1516">
        <f t="shared" si="343"/>
        <v>48</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8</v>
      </c>
      <c r="L827" s="2370">
        <f>SUM(L825:L826)</f>
        <v>40</v>
      </c>
      <c r="M827" s="2370">
        <f>SUM(M825:M826)</f>
        <v>0</v>
      </c>
      <c r="N827" s="2370">
        <f>SUM(N825:N826)</f>
        <v>0</v>
      </c>
      <c r="O827" s="2370">
        <f t="shared" si="343"/>
        <v>48</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3668</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8</v>
      </c>
      <c r="L829" s="1516">
        <f>SUM(L827:L828)</f>
        <v>40</v>
      </c>
      <c r="M829" s="1516">
        <f>SUM(M827:M828)</f>
        <v>0</v>
      </c>
      <c r="N829" s="1516">
        <f>SUM(N827:N828)</f>
        <v>0</v>
      </c>
      <c r="O829" s="1516">
        <f t="shared" si="343"/>
        <v>48</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4720</v>
      </c>
      <c r="D832" s="1521"/>
      <c r="E832" s="1521"/>
      <c r="F832" s="1521"/>
      <c r="G832" s="1317"/>
      <c r="H832" s="457"/>
      <c r="I832" s="2371" t="s">
        <v>4719</v>
      </c>
      <c r="J832" s="1519"/>
      <c r="O832" s="1519"/>
      <c r="P832" s="1051" t="s">
        <v>4718</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4613</v>
      </c>
      <c r="I833" s="2372" t="str">
        <f>'Part VI-Revenues &amp; Expenses'!I71</f>
        <v/>
      </c>
      <c r="J833" s="2373">
        <f>'Part VI-Revenues &amp; Expenses'!J71</f>
        <v>0</v>
      </c>
      <c r="K833" s="2373">
        <f>'Part VI-Revenues &amp; Expenses'!K71</f>
        <v>0</v>
      </c>
      <c r="L833" s="2373">
        <f>'Part VI-Revenues &amp; Expenses'!L71</f>
        <v>0</v>
      </c>
      <c r="M833" s="2373">
        <f>'Part VI-Revenues &amp; Expenses'!M71</f>
        <v>0</v>
      </c>
      <c r="N833" s="2373">
        <f>'Part VI-Revenues &amp; Expenses'!N71</f>
        <v>0</v>
      </c>
      <c r="O833" s="2373">
        <f>'Part VI-Revenues &amp; Expenses'!O71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4614</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5305</v>
      </c>
      <c r="E835" s="1521"/>
      <c r="F835" s="1521"/>
      <c r="G835" s="1521"/>
      <c r="H835" s="457" t="s">
        <v>1149</v>
      </c>
      <c r="I835" s="2372" t="str">
        <f>'Part VI-Revenues &amp; Expenses'!I73</f>
        <v/>
      </c>
      <c r="J835" s="2373">
        <f>'Part VI-Revenues &amp; Expenses'!J73</f>
        <v>0</v>
      </c>
      <c r="K835" s="2373">
        <f>'Part VI-Revenues &amp; Expenses'!K73</f>
        <v>0.75</v>
      </c>
      <c r="L835" s="2373">
        <f>'Part VI-Revenues &amp; Expenses'!L73</f>
        <v>0.65</v>
      </c>
      <c r="M835" s="2373">
        <f>'Part VI-Revenues &amp; Expenses'!M73</f>
        <v>0</v>
      </c>
      <c r="N835" s="2373">
        <f>'Part VI-Revenues &amp; Expenses'!N73</f>
        <v>0</v>
      </c>
      <c r="O835" s="2373">
        <f>'Part VI-Revenues &amp; Expenses'!O73</f>
        <v>0.66666666666666663</v>
      </c>
      <c r="P835" s="2374">
        <f t="shared" si="344"/>
        <v>0.7</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0.25</v>
      </c>
      <c r="L836" s="2373">
        <f>'Part VI-Revenues &amp; Expenses'!L74</f>
        <v>0.35</v>
      </c>
      <c r="M836" s="2373">
        <f>'Part VI-Revenues &amp; Expenses'!M74</f>
        <v>0</v>
      </c>
      <c r="N836" s="2373">
        <f>'Part VI-Revenues &amp; Expenses'!N74</f>
        <v>0</v>
      </c>
      <c r="O836" s="2373">
        <f>'Part VI-Revenues &amp; Expenses'!O74</f>
        <v>0.33333333333333331</v>
      </c>
      <c r="P836" s="2374">
        <f t="shared" si="344"/>
        <v>0.3</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4615</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4616</v>
      </c>
      <c r="I838" s="2372" t="str">
        <f>'Part VI-Revenues &amp; Expenses'!I76</f>
        <v/>
      </c>
      <c r="J838" s="2373">
        <f>'Part VI-Revenues &amp; Expenses'!J76</f>
        <v>0</v>
      </c>
      <c r="K838" s="2373">
        <f>'Part VI-Revenues &amp; Expenses'!K76</f>
        <v>0</v>
      </c>
      <c r="L838" s="2373">
        <f>'Part VI-Revenues &amp; Expenses'!L76</f>
        <v>0</v>
      </c>
      <c r="M838" s="2373">
        <f>'Part VI-Revenues &amp; Expenses'!M76</f>
        <v>0</v>
      </c>
      <c r="N838" s="2373">
        <f>'Part VI-Revenues &amp; Expenses'!N76</f>
        <v>0</v>
      </c>
      <c r="O838" s="2373">
        <f>'Part VI-Revenues &amp; Expenses'!O76</f>
        <v>0</v>
      </c>
      <c r="P838" s="237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4617</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4613</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4614</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4615</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4616</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4617</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5306</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4613</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4614</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4615</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4616</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4617</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8</v>
      </c>
      <c r="L863" s="1516">
        <f>GH810</f>
        <v>40</v>
      </c>
      <c r="M863" s="1516">
        <f>GI810</f>
        <v>0</v>
      </c>
      <c r="N863" s="1516">
        <f>GJ810</f>
        <v>0</v>
      </c>
      <c r="O863" s="1516">
        <f t="shared" ref="O863:O873" si="347">SUM(J863:N863)</f>
        <v>48</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8</v>
      </c>
      <c r="L865" s="1516">
        <f>SUM(L863:L864)+GR810</f>
        <v>40</v>
      </c>
      <c r="M865" s="1516">
        <f>SUM(M863:M864)+GS810</f>
        <v>0</v>
      </c>
      <c r="N865" s="1516">
        <f>SUM(N863:N864)+GT810</f>
        <v>0</v>
      </c>
      <c r="O865" s="1516">
        <f t="shared" si="347"/>
        <v>48</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4522</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3357</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5307</v>
      </c>
      <c r="D877" s="1521"/>
      <c r="E877" s="1317" t="s">
        <v>39</v>
      </c>
      <c r="F877" s="1314"/>
      <c r="G877" s="1335"/>
      <c r="J877" s="1516">
        <f t="shared" ref="J877:O877" si="348">SUM(J878:J885)</f>
        <v>0</v>
      </c>
      <c r="K877" s="1516">
        <f t="shared" si="348"/>
        <v>8</v>
      </c>
      <c r="L877" s="1516">
        <f t="shared" si="348"/>
        <v>40</v>
      </c>
      <c r="M877" s="1516">
        <f t="shared" si="348"/>
        <v>0</v>
      </c>
      <c r="N877" s="1516">
        <f t="shared" si="348"/>
        <v>0</v>
      </c>
      <c r="O877" s="1516">
        <f t="shared" si="348"/>
        <v>48</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8</v>
      </c>
      <c r="L878" s="1516">
        <f>JT810</f>
        <v>40</v>
      </c>
      <c r="M878" s="1516">
        <f>JU810</f>
        <v>0</v>
      </c>
      <c r="N878" s="1516">
        <f>JV810</f>
        <v>0</v>
      </c>
      <c r="O878" s="1516">
        <f t="shared" ref="O878:O893" si="349">SUM(J878:N878)</f>
        <v>48</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3357</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3357</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3357</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3357</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3357</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3357</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3357</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3357</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5306</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5308</v>
      </c>
      <c r="D897" s="1521"/>
      <c r="E897" s="1317" t="s">
        <v>3352</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3357</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3353</v>
      </c>
      <c r="F899" s="1335"/>
      <c r="H899" s="1335"/>
      <c r="J899" s="1516">
        <f t="shared" ref="J899:N900" si="352">J878+J888</f>
        <v>0</v>
      </c>
      <c r="K899" s="1516">
        <f t="shared" si="352"/>
        <v>8</v>
      </c>
      <c r="L899" s="1516">
        <f t="shared" si="352"/>
        <v>40</v>
      </c>
      <c r="M899" s="1516">
        <f t="shared" si="352"/>
        <v>0</v>
      </c>
      <c r="N899" s="1516">
        <f t="shared" si="352"/>
        <v>0</v>
      </c>
      <c r="O899" s="1516">
        <f t="shared" si="351"/>
        <v>48</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3357</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3354</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3357</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3355</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3357</v>
      </c>
      <c r="J904" s="1516">
        <f t="shared" si="354"/>
        <v>0</v>
      </c>
      <c r="K904" s="1516">
        <f t="shared" si="354"/>
        <v>0</v>
      </c>
      <c r="L904" s="1516">
        <f t="shared" si="354"/>
        <v>0</v>
      </c>
      <c r="M904" s="1516">
        <f t="shared" si="354"/>
        <v>0</v>
      </c>
      <c r="N904" s="1516">
        <f t="shared" si="354"/>
        <v>0</v>
      </c>
      <c r="O904" s="1516">
        <f t="shared" si="351"/>
        <v>0</v>
      </c>
      <c r="P904" s="1319" t="s">
        <v>5101</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4613</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4614</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4440</v>
      </c>
      <c r="L909" s="1530">
        <f>ET810</f>
        <v>24700</v>
      </c>
      <c r="M909" s="1530">
        <f>EU810</f>
        <v>0</v>
      </c>
      <c r="N909" s="1530">
        <f>EV810</f>
        <v>0</v>
      </c>
      <c r="O909" s="1530">
        <f t="shared" si="355"/>
        <v>29140</v>
      </c>
      <c r="P909" s="1607">
        <f t="shared" si="356"/>
        <v>910.625</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1480</v>
      </c>
      <c r="L910" s="1530">
        <f>EY810</f>
        <v>13300</v>
      </c>
      <c r="M910" s="1530">
        <f>EZ810</f>
        <v>0</v>
      </c>
      <c r="N910" s="1530">
        <f>FA810</f>
        <v>0</v>
      </c>
      <c r="O910" s="1530">
        <f t="shared" si="355"/>
        <v>14780</v>
      </c>
      <c r="P910" s="1607">
        <f t="shared" si="356"/>
        <v>923.75</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4615</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4616</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4617</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4698</v>
      </c>
      <c r="J914" s="1530">
        <f>SUM(J907:J913)</f>
        <v>0</v>
      </c>
      <c r="K914" s="1530">
        <f>SUM(K907:K913)</f>
        <v>5920</v>
      </c>
      <c r="L914" s="1530">
        <f>SUM(L907:L913)</f>
        <v>38000</v>
      </c>
      <c r="M914" s="1530">
        <f>SUM(M907:M913)</f>
        <v>0</v>
      </c>
      <c r="N914" s="1530">
        <f>SUM(N907:N913)</f>
        <v>0</v>
      </c>
      <c r="O914" s="1530">
        <f>SUM(J914:N914)</f>
        <v>43920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5920</v>
      </c>
      <c r="L916" s="1530">
        <f>SUM(L914:L915)</f>
        <v>38000</v>
      </c>
      <c r="M916" s="1530">
        <f>SUM(M914:M915)</f>
        <v>0</v>
      </c>
      <c r="N916" s="1530">
        <f>SUM(N914:N915)</f>
        <v>0</v>
      </c>
      <c r="O916" s="1530">
        <f>SUM(J916:N916)</f>
        <v>43920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5920</v>
      </c>
      <c r="L918" s="1530">
        <f>SUM(L916:L917)</f>
        <v>38000</v>
      </c>
      <c r="M918" s="1530">
        <f>SUM(M916:M917)</f>
        <v>0</v>
      </c>
      <c r="N918" s="1530">
        <f>SUM(N916:N917)</f>
        <v>0</v>
      </c>
      <c r="O918" s="1530">
        <f>SUM(J918:N918)</f>
        <v>43920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5309</v>
      </c>
      <c r="D921" s="1314"/>
      <c r="E921" s="1314"/>
      <c r="F921" s="1314"/>
      <c r="G921" s="1314"/>
      <c r="H921" s="1314"/>
      <c r="I921" s="1314"/>
      <c r="J921" s="1545" t="str">
        <f>'Part VI-Revenues &amp; Expenses'!J159</f>
        <v/>
      </c>
      <c r="K921" s="1545">
        <f>'Part VI-Revenues &amp; Expenses'!K159</f>
        <v>740</v>
      </c>
      <c r="L921" s="1545">
        <f>'Part VI-Revenues &amp; Expenses'!L159</f>
        <v>950</v>
      </c>
      <c r="M921" s="1545" t="str">
        <f>'Part VI-Revenues &amp; Expenses'!M159</f>
        <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4525</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6094.08</v>
      </c>
      <c r="I935" s="1834"/>
      <c r="J935" s="1204"/>
      <c r="K935" s="1532" t="s">
        <v>5102</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2286</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5103</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5104</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5103</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5104</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2286</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5103</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5104</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76">
        <v>31</v>
      </c>
      <c r="H965" s="2376">
        <v>32</v>
      </c>
      <c r="I965" s="2376">
        <v>33</v>
      </c>
      <c r="J965" s="2376">
        <v>34</v>
      </c>
      <c r="K965" s="2376">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5103</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5104</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25688</v>
      </c>
      <c r="G977" s="1530"/>
      <c r="H977" s="1314"/>
      <c r="I977" s="1314" t="s">
        <v>1378</v>
      </c>
      <c r="J977" s="1314"/>
      <c r="K977" s="1530">
        <f>'Part VI-Revenues &amp; Expenses'!K215</f>
        <v>0</v>
      </c>
      <c r="L977" s="1530"/>
      <c r="M977" s="1314"/>
      <c r="N977" s="1314" t="s">
        <v>929</v>
      </c>
      <c r="O977" s="1314"/>
      <c r="P977" s="1545">
        <f>'Part VI-Revenues &amp; Expenses'!P215</f>
        <v>37695</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23442</v>
      </c>
      <c r="G978" s="1530"/>
      <c r="H978" s="1314"/>
      <c r="I978" s="1314" t="s">
        <v>1379</v>
      </c>
      <c r="J978" s="1314"/>
      <c r="K978" s="1530">
        <f>'Part VI-Revenues &amp; Expenses'!K216</f>
        <v>600</v>
      </c>
      <c r="L978" s="1530"/>
      <c r="M978" s="1314"/>
      <c r="N978" s="1314" t="s">
        <v>147</v>
      </c>
      <c r="O978" s="1314"/>
      <c r="P978" s="1545">
        <f>'Part VI-Revenues &amp; Expenses'!P216</f>
        <v>13708</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0</v>
      </c>
      <c r="G979" s="1530"/>
      <c r="H979" s="1314"/>
      <c r="I979" s="1314"/>
      <c r="J979" s="2378" t="s">
        <v>191</v>
      </c>
      <c r="K979" s="1530">
        <f>SUM(K977:L978)</f>
        <v>600</v>
      </c>
      <c r="L979" s="1530"/>
      <c r="M979" s="1314"/>
      <c r="N979" s="1837" t="str">
        <f>'Part VI-Revenues &amp; Expenses'!N217</f>
        <v>Personal Property Taxes</v>
      </c>
      <c r="O979" s="1837"/>
      <c r="P979" s="1545">
        <f>'Part VI-Revenues &amp; Expenses'!P217</f>
        <v>500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Enriched Property Services</v>
      </c>
      <c r="C980" s="457"/>
      <c r="D980" s="457"/>
      <c r="E980" s="457"/>
      <c r="F980" s="1530">
        <f>'Part VI-Revenues &amp; Expenses'!F218</f>
        <v>10000</v>
      </c>
      <c r="G980" s="1530"/>
      <c r="H980" s="1314"/>
      <c r="I980" s="1314"/>
      <c r="J980" s="1314"/>
      <c r="K980" s="1314"/>
      <c r="L980" s="1314"/>
      <c r="M980" s="1314"/>
      <c r="N980" s="2378" t="s">
        <v>191</v>
      </c>
      <c r="O980" s="1314"/>
      <c r="P980" s="1545">
        <f>SUM(P977:P979)</f>
        <v>51903</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59130</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23040</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1875</v>
      </c>
      <c r="G984" s="1530"/>
      <c r="H984" s="1314"/>
      <c r="I984" s="1314" t="s">
        <v>1602</v>
      </c>
      <c r="J984" s="1314"/>
      <c r="K984" s="1530">
        <f>'Part VI-Revenues &amp; Expenses'!K222</f>
        <v>1200</v>
      </c>
      <c r="L984" s="1530"/>
      <c r="M984" s="1314"/>
      <c r="N984" s="1548">
        <f>+P983/(O829*0.93)</f>
        <v>516.12903225806451</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4000</v>
      </c>
      <c r="G985" s="1530"/>
      <c r="H985" s="1314"/>
      <c r="I985" s="1314" t="s">
        <v>2049</v>
      </c>
      <c r="J985" s="1314"/>
      <c r="K985" s="1530">
        <f>'Part VI-Revenues &amp; Expenses'!K223</f>
        <v>7000</v>
      </c>
      <c r="L985" s="1530"/>
      <c r="M985" s="1314"/>
      <c r="N985" s="1548">
        <f>+P983/(O829*0.93)/12</f>
        <v>43.01075268817204</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0</v>
      </c>
      <c r="G986" s="1530"/>
      <c r="H986" s="1314"/>
      <c r="I986" s="1314" t="s">
        <v>1603</v>
      </c>
      <c r="J986" s="1314"/>
      <c r="K986" s="1530">
        <f>'Part VI-Revenues &amp; Expenses'!K224</f>
        <v>1500</v>
      </c>
      <c r="L986" s="1530"/>
      <c r="M986" s="1314"/>
      <c r="N986" s="457" t="s">
        <v>3726</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0</v>
      </c>
      <c r="G988" s="1530"/>
      <c r="H988" s="1314"/>
      <c r="I988" s="1314"/>
      <c r="J988" s="2378" t="s">
        <v>191</v>
      </c>
      <c r="K988" s="1545">
        <f>SUM(K984:K987)</f>
        <v>9700</v>
      </c>
      <c r="L988" s="1545"/>
      <c r="M988" s="1721" t="str">
        <f>IF(P990="","",IF(P988&lt;P990, "WARNING! OE below required minimum.",""))</f>
        <v/>
      </c>
      <c r="N988" s="1314" t="s">
        <v>2186</v>
      </c>
      <c r="O988" s="1314"/>
      <c r="P988" s="1545">
        <f>F981+F990+F1001+K979+K988+K998+P980+P983</f>
        <v>216658</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Misc Admin</v>
      </c>
      <c r="C989" s="457"/>
      <c r="D989" s="457"/>
      <c r="E989" s="457"/>
      <c r="F989" s="1530">
        <f>'Part VI-Revenues &amp; Expenses'!F227</f>
        <v>8310</v>
      </c>
      <c r="G989" s="1530"/>
      <c r="H989" s="1314"/>
      <c r="I989" s="1314"/>
      <c r="J989" s="1516"/>
      <c r="K989" s="1314"/>
      <c r="L989" s="1314"/>
      <c r="M989" s="1721"/>
      <c r="N989" s="1549" t="s">
        <v>2758</v>
      </c>
      <c r="O989" s="1548">
        <f>+P988/O829</f>
        <v>4513.708333333333</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14185</v>
      </c>
      <c r="G990" s="1530"/>
      <c r="H990" s="1314"/>
      <c r="I990" s="1314"/>
      <c r="J990" s="1516"/>
      <c r="K990" s="1314"/>
      <c r="L990" s="1314"/>
      <c r="M990" s="1721"/>
      <c r="N990" s="1314"/>
      <c r="O990" s="1549" t="s">
        <v>3727</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5008</v>
      </c>
      <c r="K992" s="1314"/>
      <c r="L992" s="1314"/>
      <c r="M992" s="1314"/>
      <c r="N992" s="1314" t="s">
        <v>3481</v>
      </c>
      <c r="O992" s="1314"/>
      <c r="P992" s="1838">
        <f>'Part VI-Revenues &amp; Expenses'!P230</f>
        <v>12000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0</v>
      </c>
      <c r="G993" s="1530"/>
      <c r="H993" s="1314"/>
      <c r="I993" s="1314" t="s">
        <v>1368</v>
      </c>
      <c r="J993" s="1419">
        <f>K993/12/O829</f>
        <v>26.041666666666668</v>
      </c>
      <c r="K993" s="1530">
        <f>'Part VI-Revenues &amp; Expenses'!K231</f>
        <v>15000</v>
      </c>
      <c r="L993" s="1530"/>
      <c r="M993" s="1721" t="str">
        <f>IF(P992&lt;P1001, "WARNING! RR proposed is below the DCA required minimum.","")</f>
        <v/>
      </c>
      <c r="N993" s="457" t="s">
        <v>5007</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5000</v>
      </c>
      <c r="G994" s="1530"/>
      <c r="H994" s="1314"/>
      <c r="I994" s="1314" t="s">
        <v>1369</v>
      </c>
      <c r="J994" s="1419">
        <f>K994/12/O829</f>
        <v>0</v>
      </c>
      <c r="K994" s="1530">
        <f>'Part VI-Revenues &amp; Expenses'!K232</f>
        <v>0</v>
      </c>
      <c r="L994" s="1530"/>
      <c r="M994" s="1721"/>
      <c r="N994" s="1553" t="s">
        <v>3734</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21000</v>
      </c>
      <c r="G995" s="1530"/>
      <c r="H995" s="1314"/>
      <c r="I995" s="1314" t="s">
        <v>2352</v>
      </c>
      <c r="J995" s="1419">
        <f>K995/12/O829</f>
        <v>8.6805555555555554</v>
      </c>
      <c r="K995" s="1530">
        <f>'Part VI-Revenues &amp; Expenses'!K233</f>
        <v>5000</v>
      </c>
      <c r="L995" s="1530"/>
      <c r="M995" s="1721"/>
      <c r="N995" s="1554" t="s">
        <v>2714</v>
      </c>
      <c r="O995" s="1555" t="s">
        <v>3844</v>
      </c>
      <c r="P995" s="1555" t="s">
        <v>3438</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4000</v>
      </c>
      <c r="G996" s="1530"/>
      <c r="H996" s="1314"/>
      <c r="I996" s="1314" t="s">
        <v>1371</v>
      </c>
      <c r="J996" s="1314"/>
      <c r="K996" s="1530">
        <f>'Part VI-Revenues &amp; Expenses'!K234</f>
        <v>3900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2000</v>
      </c>
      <c r="G997" s="1530"/>
      <c r="H997" s="1314"/>
      <c r="I997" s="1837" t="str">
        <f>'Part VI-Revenues &amp; Expenses'!I235</f>
        <v>Cable TV &amp; Internet</v>
      </c>
      <c r="J997" s="1837"/>
      <c r="K997" s="1530">
        <f>'Part VI-Revenues &amp; Expenses'!K235</f>
        <v>1200</v>
      </c>
      <c r="L997" s="1530"/>
      <c r="M997" s="1721"/>
      <c r="N997" s="1335" t="s">
        <v>3430</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78" t="s">
        <v>191</v>
      </c>
      <c r="K998" s="1545">
        <f>SUM(K993:K997)</f>
        <v>25100</v>
      </c>
      <c r="L998" s="1545"/>
      <c r="M998" s="1721"/>
      <c r="N998" s="1335" t="s">
        <v>3429</v>
      </c>
      <c r="O998" s="1557" t="str">
        <f>CONCATENATE(SUM(MJ810:MN810)," units x $",'DCA Underwriting Assumptions'!$Q$65," =")</f>
        <v>48 units x $250 =</v>
      </c>
      <c r="P998" s="1557">
        <f>SUM(MJ810:MN810)*'DCA Underwriting Assumptions'!$Q$65</f>
        <v>12000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1000</v>
      </c>
      <c r="G999" s="1530"/>
      <c r="H999" s="1314"/>
      <c r="I999" s="1314"/>
      <c r="J999" s="1516"/>
      <c r="K999" s="1314"/>
      <c r="L999" s="1314"/>
      <c r="M999" s="1721"/>
      <c r="N999" s="1335" t="s">
        <v>3433</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3428</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33000</v>
      </c>
      <c r="G1001" s="1530"/>
      <c r="H1001" s="1314"/>
      <c r="I1001" s="1314"/>
      <c r="J1001" s="1516"/>
      <c r="K1001" s="1314"/>
      <c r="L1001" s="1314"/>
      <c r="M1001" s="1314"/>
      <c r="N1001" s="1511" t="s">
        <v>2717</v>
      </c>
      <c r="O1001" s="1506">
        <f>SUM(ME810:MI810)+SUM(MJ810:MN810)+SUM(MO810:MS810)+O875</f>
        <v>48</v>
      </c>
      <c r="P1001" s="1506">
        <f>SUM(P997:P1000)</f>
        <v>12000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2187</v>
      </c>
      <c r="O1003" s="1314"/>
      <c r="P1003" s="1545">
        <f>P988+P992</f>
        <v>228658</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4993</v>
      </c>
      <c r="C1005" s="2378"/>
      <c r="D1005" s="1314"/>
      <c r="E1005" s="1314"/>
      <c r="F1005" s="2379" t="s">
        <v>4994</v>
      </c>
      <c r="G1005" s="1516"/>
      <c r="H1005" s="1545">
        <f>'Part VI-Revenues &amp; Expenses'!H243</f>
        <v>0</v>
      </c>
      <c r="I1005" s="1545"/>
      <c r="J1005" s="1516"/>
      <c r="K1005" s="1624" t="s">
        <v>4995</v>
      </c>
      <c r="L1005" s="1607">
        <f>'Part VI-Revenues &amp; Expenses'!K243</f>
        <v>0</v>
      </c>
      <c r="M1005" s="1314"/>
      <c r="N1005" s="1314" t="s">
        <v>4997</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5069</v>
      </c>
      <c r="C1007" s="2378"/>
      <c r="F1007" s="1516"/>
      <c r="G1007" s="1516"/>
      <c r="I1007" s="1313" t="str">
        <f>'Part VI-Revenues &amp; Expenses'!I245</f>
        <v>&lt;&lt;Select&gt;&gt;</v>
      </c>
      <c r="J1007" s="2379" t="s">
        <v>5071</v>
      </c>
      <c r="K1007" s="1313" t="str">
        <f>'Part VI-Revenues &amp; Expenses'!K245</f>
        <v>&lt;&lt;Select&gt;&gt;</v>
      </c>
      <c r="L1007" s="1313" t="s">
        <v>5072</v>
      </c>
      <c r="M1007" s="1607" t="str">
        <f>'Part VI-Revenues &amp; Expenses'!L245</f>
        <v>Yrs in period</v>
      </c>
      <c r="N1007" s="1314" t="s">
        <v>5070</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4101</v>
      </c>
      <c r="B1009" s="638" t="s">
        <v>572</v>
      </c>
      <c r="M1009" s="638" t="s">
        <v>4992</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 xml:space="preserve">Please see Tab 1 for Insurance and Real Estate Tax documentation.  Also, note that although the provider will not be charging for the onsite visits, Applicant has budgeted an additional $10,000 per year for costs related to Enriched property services for additional classes, reporting and costs related to maintaining a Health Services Coordinator.  </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4100</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2019-060 Dulles Park II, ,  County</v>
      </c>
      <c r="B1016" s="1794"/>
      <c r="C1016" s="1794"/>
      <c r="D1016" s="1794"/>
      <c r="E1016" s="1794"/>
      <c r="F1016" s="1794"/>
      <c r="G1016" s="1794"/>
      <c r="H1016" s="1794"/>
      <c r="I1016" s="1794"/>
      <c r="J1016" s="1794"/>
      <c r="K1016" s="1794"/>
      <c r="L1016" s="1314"/>
      <c r="M1016" s="1314"/>
      <c r="N1016" s="1314" t="str">
        <f>A1016</f>
        <v>PART SEVEN - OPERATING PRO FORMA  -  2019-060 Dulles Park II,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80" t="str">
        <f>'Part I-Project Information'!$B$6</f>
        <v>May 2019</v>
      </c>
      <c r="D1018" s="638" t="s">
        <v>80</v>
      </c>
      <c r="E1018" s="1313"/>
      <c r="F1018" s="1332" t="s">
        <v>5105</v>
      </c>
      <c r="N1018" s="638" t="str">
        <f>A1018</f>
        <v>I.  OPERATING ASSUMPTIONS</v>
      </c>
      <c r="O1018" s="1794"/>
    </row>
    <row r="1019" spans="1:318">
      <c r="C1019" s="2380"/>
    </row>
    <row r="1020" spans="1:318" ht="12.75" customHeight="1">
      <c r="A1020" s="638" t="s">
        <v>2188</v>
      </c>
      <c r="B1020" s="1559">
        <v>0.02</v>
      </c>
      <c r="C1020" s="2380"/>
      <c r="D1020" s="1521" t="s">
        <v>4530</v>
      </c>
      <c r="E1020" s="1521"/>
      <c r="F1020" s="1521"/>
      <c r="G1020" s="1839">
        <f>'Part VII-Pro Forma'!G5</f>
        <v>5000</v>
      </c>
      <c r="H1020" s="1526" t="s">
        <v>1907</v>
      </c>
      <c r="K1020" s="1560" t="str">
        <f>IF(($B$14+$B$15+$B$16+$B$17)=0,"",B1045/($B$14+$B$15+$B$16+$B$17))</f>
        <v/>
      </c>
      <c r="N1020" s="1521">
        <f>'Part VII-Pro Forma'!N5</f>
        <v>0</v>
      </c>
      <c r="O1020" s="1521"/>
    </row>
    <row r="1021" spans="1:318">
      <c r="A1021" s="638" t="s">
        <v>2189</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2191</v>
      </c>
      <c r="B1022" s="1559">
        <v>0.03</v>
      </c>
      <c r="C1022" s="2380"/>
      <c r="D1022" s="1314" t="s">
        <v>270</v>
      </c>
      <c r="G1022" s="1562"/>
      <c r="H1022" s="1526" t="s">
        <v>2374</v>
      </c>
      <c r="K1022" s="1560" t="str">
        <f>IF(($B$14+$B$15+$B$16+$B$17)=0,"",-B1036/($B$14+$B$15+$B$16+$B$17))</f>
        <v/>
      </c>
      <c r="N1022" s="1521">
        <f>'Part VII-Pro Forma'!N7</f>
        <v>0</v>
      </c>
      <c r="O1022" s="1521"/>
    </row>
    <row r="1023" spans="1:318" ht="13.8">
      <c r="A1023" s="638" t="s">
        <v>2190</v>
      </c>
      <c r="B1023" s="1559">
        <f>'Part VII-Pro Forma'!B8</f>
        <v>7.0000000000000007E-2</v>
      </c>
      <c r="C1023" s="1334" t="str">
        <f>IF(B1023&lt;0.07, "Must be &gt;= 7%!","")</f>
        <v/>
      </c>
      <c r="D1023" s="1314" t="s">
        <v>2508</v>
      </c>
      <c r="G1023" s="1840" t="str">
        <f>'Part VII-Pro Forma'!G8</f>
        <v>Yes</v>
      </c>
      <c r="H1023" s="1563" t="s">
        <v>1444</v>
      </c>
      <c r="K1023" s="1841">
        <f>'Part VII-Pro Forma'!K8</f>
        <v>23040</v>
      </c>
      <c r="N1023" s="1521">
        <f>'Part VII-Pro Forma'!N8</f>
        <v>0</v>
      </c>
      <c r="O1023" s="1521"/>
    </row>
    <row r="1024" spans="1:318">
      <c r="A1024" s="638" t="s">
        <v>1418</v>
      </c>
      <c r="B1024" s="1559">
        <v>0.02</v>
      </c>
      <c r="D1024" s="1314" t="s">
        <v>1718</v>
      </c>
      <c r="G1024" s="1840">
        <f>'Part VII-Pro Forma'!G9</f>
        <v>0</v>
      </c>
      <c r="H1024" s="1563" t="s">
        <v>2356</v>
      </c>
      <c r="K1024" s="1842">
        <f>'Part VII-Pro Forma'!K9</f>
        <v>0</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304704</v>
      </c>
      <c r="C1029" s="1564">
        <f>'Part VII-Pro Forma'!C14</f>
        <v>310798.08000000002</v>
      </c>
      <c r="D1029" s="1564">
        <f>'Part VII-Pro Forma'!D14</f>
        <v>317014.0416</v>
      </c>
      <c r="E1029" s="1564">
        <f>'Part VII-Pro Forma'!E14</f>
        <v>323354.32243199996</v>
      </c>
      <c r="F1029" s="1564">
        <f>'Part VII-Pro Forma'!F14</f>
        <v>329821.40888064</v>
      </c>
      <c r="G1029" s="1564">
        <f>'Part VII-Pro Forma'!G14</f>
        <v>336417.83705825283</v>
      </c>
      <c r="H1029" s="1564">
        <f>'Part VII-Pro Forma'!H14</f>
        <v>343146.19379941787</v>
      </c>
      <c r="I1029" s="1564">
        <f>'Part VII-Pro Forma'!I14</f>
        <v>350009.11767540616</v>
      </c>
      <c r="J1029" s="1564">
        <f>'Part VII-Pro Forma'!J14</f>
        <v>357009.30002891429</v>
      </c>
      <c r="K1029" s="1564">
        <f>'Part VII-Pro Forma'!K14</f>
        <v>364149.48602949257</v>
      </c>
      <c r="N1029" s="1521">
        <f>'Part VII-Pro Forma'!N14</f>
        <v>0</v>
      </c>
      <c r="O1029" s="1521"/>
    </row>
    <row r="1030" spans="1:15">
      <c r="A1030" s="638" t="s">
        <v>1016</v>
      </c>
      <c r="B1030" s="1564">
        <f>'Part VII-Pro Forma'!B15</f>
        <v>6094.08</v>
      </c>
      <c r="C1030" s="1564">
        <f>'Part VII-Pro Forma'!C15</f>
        <v>6215.9615999999996</v>
      </c>
      <c r="D1030" s="1564">
        <f>'Part VII-Pro Forma'!D15</f>
        <v>6340.2808319999995</v>
      </c>
      <c r="E1030" s="1564">
        <f>'Part VII-Pro Forma'!E15</f>
        <v>6467.0864486399996</v>
      </c>
      <c r="F1030" s="1564">
        <f>'Part VII-Pro Forma'!F15</f>
        <v>6596.4281776128</v>
      </c>
      <c r="G1030" s="1564">
        <f>'Part VII-Pro Forma'!G15</f>
        <v>6728.3567411650556</v>
      </c>
      <c r="H1030" s="1564">
        <f>'Part VII-Pro Forma'!H15</f>
        <v>6862.9238759883574</v>
      </c>
      <c r="I1030" s="1564">
        <f>'Part VII-Pro Forma'!I15</f>
        <v>7000.182353508123</v>
      </c>
      <c r="J1030" s="1564">
        <f>'Part VII-Pro Forma'!J15</f>
        <v>7140.1860005782864</v>
      </c>
      <c r="K1030" s="1564">
        <f>'Part VII-Pro Forma'!K15</f>
        <v>7282.9897205898524</v>
      </c>
      <c r="N1030" s="1521">
        <f>'Part VII-Pro Forma'!N15</f>
        <v>0</v>
      </c>
      <c r="O1030" s="1521"/>
    </row>
    <row r="1031" spans="1:15">
      <c r="A1031" s="638" t="s">
        <v>2405</v>
      </c>
      <c r="B1031" s="1564">
        <f>'Part VII-Pro Forma'!B16</f>
        <v>-21755.865600000005</v>
      </c>
      <c r="C1031" s="1564">
        <f>'Part VII-Pro Forma'!C16</f>
        <v>-22190.982912000003</v>
      </c>
      <c r="D1031" s="1564">
        <f>'Part VII-Pro Forma'!D16</f>
        <v>-22634.802570240005</v>
      </c>
      <c r="E1031" s="1564">
        <f>'Part VII-Pro Forma'!E16</f>
        <v>-23087.498621644798</v>
      </c>
      <c r="F1031" s="1564">
        <f>'Part VII-Pro Forma'!F16</f>
        <v>-23549.248594077697</v>
      </c>
      <c r="G1031" s="1564">
        <f>'Part VII-Pro Forma'!G16</f>
        <v>-24020.233565959254</v>
      </c>
      <c r="H1031" s="1564">
        <f>'Part VII-Pro Forma'!H16</f>
        <v>-24500.638237278439</v>
      </c>
      <c r="I1031" s="1564">
        <f>'Part VII-Pro Forma'!I16</f>
        <v>-24990.651002024002</v>
      </c>
      <c r="J1031" s="1564">
        <f>'Part VII-Pro Forma'!J16</f>
        <v>-25490.464022064483</v>
      </c>
      <c r="K1031" s="1564">
        <f>'Part VII-Pro Forma'!K16</f>
        <v>-26000.273302505771</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4934</v>
      </c>
      <c r="B1034" s="1564">
        <f>'Part VII-Pro Forma'!B19</f>
        <v>289042.2144</v>
      </c>
      <c r="C1034" s="1564">
        <f>'Part VII-Pro Forma'!C19</f>
        <v>294823.05868800002</v>
      </c>
      <c r="D1034" s="1564">
        <f>'Part VII-Pro Forma'!D19</f>
        <v>300719.51986176003</v>
      </c>
      <c r="E1034" s="1564">
        <f>'Part VII-Pro Forma'!E19</f>
        <v>306733.91025899514</v>
      </c>
      <c r="F1034" s="1564">
        <f>'Part VII-Pro Forma'!F19</f>
        <v>312868.58846417506</v>
      </c>
      <c r="G1034" s="1564">
        <f>'Part VII-Pro Forma'!G19</f>
        <v>319125.96023345861</v>
      </c>
      <c r="H1034" s="1564">
        <f>'Part VII-Pro Forma'!H19</f>
        <v>325508.47943812778</v>
      </c>
      <c r="I1034" s="1564">
        <f>'Part VII-Pro Forma'!I19</f>
        <v>332018.64902689029</v>
      </c>
      <c r="J1034" s="1564">
        <f>'Part VII-Pro Forma'!J19</f>
        <v>338659.02200742811</v>
      </c>
      <c r="K1034" s="1564">
        <f>'Part VII-Pro Forma'!K19</f>
        <v>345432.20244757662</v>
      </c>
      <c r="N1034" s="1521">
        <f>'Part VII-Pro Forma'!N19</f>
        <v>0</v>
      </c>
      <c r="O1034" s="1521"/>
    </row>
    <row r="1035" spans="1:15">
      <c r="A1035" s="638" t="s">
        <v>614</v>
      </c>
      <c r="B1035" s="1564">
        <f>'Part VII-Pro Forma'!B20</f>
        <v>-193618</v>
      </c>
      <c r="C1035" s="1564">
        <f>'Part VII-Pro Forma'!C20</f>
        <v>-199426.54</v>
      </c>
      <c r="D1035" s="1564">
        <f>'Part VII-Pro Forma'!D20</f>
        <v>-205409.33619999999</v>
      </c>
      <c r="E1035" s="1564">
        <f>'Part VII-Pro Forma'!E20</f>
        <v>-211571.616286</v>
      </c>
      <c r="F1035" s="1564">
        <f>'Part VII-Pro Forma'!F20</f>
        <v>-217918.76477457999</v>
      </c>
      <c r="G1035" s="1564">
        <f>'Part VII-Pro Forma'!G20</f>
        <v>-224456.32771781736</v>
      </c>
      <c r="H1035" s="1564">
        <f>'Part VII-Pro Forma'!H20</f>
        <v>-231190.01754935191</v>
      </c>
      <c r="I1035" s="1564">
        <f>'Part VII-Pro Forma'!I20</f>
        <v>-238125.71807583247</v>
      </c>
      <c r="J1035" s="1564">
        <f>'Part VII-Pro Forma'!J20</f>
        <v>-245269.48961810741</v>
      </c>
      <c r="K1035" s="1564">
        <f>'Part VII-Pro Forma'!K20</f>
        <v>-252627.57430665064</v>
      </c>
      <c r="N1035" s="1521">
        <f>'Part VII-Pro Forma'!N20</f>
        <v>0</v>
      </c>
      <c r="O1035" s="1521"/>
    </row>
    <row r="1036" spans="1:15">
      <c r="A1036" s="638" t="s">
        <v>1115</v>
      </c>
      <c r="B1036" s="1564">
        <f>'Part VII-Pro Forma'!B21</f>
        <v>-23040</v>
      </c>
      <c r="C1036" s="1564">
        <f>'Part VII-Pro Forma'!C21</f>
        <v>-23731</v>
      </c>
      <c r="D1036" s="1564">
        <f>'Part VII-Pro Forma'!D21</f>
        <v>-24443</v>
      </c>
      <c r="E1036" s="1564">
        <f>'Part VII-Pro Forma'!E21</f>
        <v>-25176</v>
      </c>
      <c r="F1036" s="1564">
        <f>'Part VII-Pro Forma'!F21</f>
        <v>-25932</v>
      </c>
      <c r="G1036" s="1564">
        <f>'Part VII-Pro Forma'!G21</f>
        <v>-26710</v>
      </c>
      <c r="H1036" s="1564">
        <f>'Part VII-Pro Forma'!H21</f>
        <v>-27511</v>
      </c>
      <c r="I1036" s="1564">
        <f>'Part VII-Pro Forma'!I21</f>
        <v>-28336</v>
      </c>
      <c r="J1036" s="1564">
        <f>'Part VII-Pro Forma'!J21</f>
        <v>-29186</v>
      </c>
      <c r="K1036" s="1564">
        <f>'Part VII-Pro Forma'!K21</f>
        <v>-30062</v>
      </c>
      <c r="N1036" s="1521">
        <f>'Part VII-Pro Forma'!N21</f>
        <v>0</v>
      </c>
      <c r="O1036" s="1521"/>
    </row>
    <row r="1037" spans="1:15">
      <c r="A1037" s="638" t="s">
        <v>1202</v>
      </c>
      <c r="B1037" s="1564">
        <f>'Part VII-Pro Forma'!B22</f>
        <v>-12000</v>
      </c>
      <c r="C1037" s="1564">
        <f>'Part VII-Pro Forma'!C22</f>
        <v>-12360</v>
      </c>
      <c r="D1037" s="1564">
        <f>'Part VII-Pro Forma'!D22</f>
        <v>-12730.8</v>
      </c>
      <c r="E1037" s="1564">
        <f>'Part VII-Pro Forma'!E22</f>
        <v>-13112.724</v>
      </c>
      <c r="F1037" s="1564">
        <f>'Part VII-Pro Forma'!F22</f>
        <v>-13506.10572</v>
      </c>
      <c r="G1037" s="1564">
        <f>'Part VII-Pro Forma'!G22</f>
        <v>-13911.288891599997</v>
      </c>
      <c r="H1037" s="1564">
        <f>'Part VII-Pro Forma'!H22</f>
        <v>-14328.627558347998</v>
      </c>
      <c r="I1037" s="1564">
        <f>'Part VII-Pro Forma'!I22</f>
        <v>-14758.48638509844</v>
      </c>
      <c r="J1037" s="1564">
        <f>'Part VII-Pro Forma'!J22</f>
        <v>-15201.240976651392</v>
      </c>
      <c r="K1037" s="1564">
        <f>'Part VII-Pro Forma'!K22</f>
        <v>-15657.278205950934</v>
      </c>
      <c r="N1037" s="1521">
        <f>'Part VII-Pro Forma'!N22</f>
        <v>0</v>
      </c>
      <c r="O1037" s="1521"/>
    </row>
    <row r="1038" spans="1:15">
      <c r="A1038" s="638" t="s">
        <v>4933</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60384.214399999997</v>
      </c>
      <c r="C1039" s="1564">
        <f t="shared" ref="C1039:J1039" si="364">SUM(C1034:C1038)</f>
        <v>59305.518688000011</v>
      </c>
      <c r="D1039" s="1564">
        <f t="shared" si="364"/>
        <v>58136.383661760032</v>
      </c>
      <c r="E1039" s="1564">
        <f t="shared" si="364"/>
        <v>56873.56997299513</v>
      </c>
      <c r="F1039" s="1564">
        <f t="shared" si="364"/>
        <v>55511.717969595069</v>
      </c>
      <c r="G1039" s="1564">
        <f t="shared" si="364"/>
        <v>54048.343624041256</v>
      </c>
      <c r="H1039" s="1564">
        <f t="shared" si="364"/>
        <v>52478.834330427868</v>
      </c>
      <c r="I1039" s="1564">
        <f t="shared" si="364"/>
        <v>50798.444565959377</v>
      </c>
      <c r="J1039" s="1564">
        <f t="shared" si="364"/>
        <v>49002.291412669307</v>
      </c>
      <c r="K1039" s="1564">
        <f>SUM(K1034:K1038)</f>
        <v>47085.349934975049</v>
      </c>
      <c r="N1039" s="1521">
        <f>'Part VII-Pro Forma'!N24</f>
        <v>0</v>
      </c>
      <c r="O1039" s="1521"/>
    </row>
    <row r="1040" spans="1:15">
      <c r="A1040" s="638" t="s">
        <v>1591</v>
      </c>
      <c r="B1040" s="1564">
        <f>'Part VII-Pro Forma'!B25</f>
        <v>0</v>
      </c>
      <c r="C1040" s="1564">
        <f>'Part VII-Pro Forma'!C25</f>
        <v>0</v>
      </c>
      <c r="D1040" s="1564">
        <f>'Part VII-Pro Forma'!D25</f>
        <v>0</v>
      </c>
      <c r="E1040" s="1564">
        <f>'Part VII-Pro Forma'!E25</f>
        <v>0</v>
      </c>
      <c r="F1040" s="1564">
        <f>'Part VII-Pro Forma'!F25</f>
        <v>0</v>
      </c>
      <c r="G1040" s="1564">
        <f>'Part VII-Pro Forma'!G25</f>
        <v>0</v>
      </c>
      <c r="H1040" s="1564">
        <f>'Part VII-Pro Forma'!H25</f>
        <v>0</v>
      </c>
      <c r="I1040" s="1564">
        <f>'Part VII-Pro Forma'!I25</f>
        <v>0</v>
      </c>
      <c r="J1040" s="1564">
        <f>'Part VII-Pro Forma'!J25</f>
        <v>0</v>
      </c>
      <c r="K1040" s="1564">
        <f>'Part VII-Pro Forma'!K25</f>
        <v>0</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3847</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4079</v>
      </c>
      <c r="B1046" s="1564">
        <f>'Part VII-Pro Forma'!B31</f>
        <v>-11295</v>
      </c>
      <c r="C1046" s="1564">
        <f>'Part VII-Pro Forma'!C31</f>
        <v>0</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44089.214399999997</v>
      </c>
      <c r="C1047" s="1564">
        <f>'Part VII-Pro Forma'!C32</f>
        <v>54305.518688000011</v>
      </c>
      <c r="D1047" s="1564">
        <f>'Part VII-Pro Forma'!D32</f>
        <v>53136.383661760032</v>
      </c>
      <c r="E1047" s="1564">
        <f>'Part VII-Pro Forma'!E32</f>
        <v>51873.56997299513</v>
      </c>
      <c r="F1047" s="1564">
        <f>'Part VII-Pro Forma'!F32</f>
        <v>50511.717969595069</v>
      </c>
      <c r="G1047" s="1564">
        <f>'Part VII-Pro Forma'!G32</f>
        <v>49048.343624041256</v>
      </c>
      <c r="H1047" s="1564">
        <f>'Part VII-Pro Forma'!H32</f>
        <v>47478.834330427868</v>
      </c>
      <c r="I1047" s="1564">
        <f>'Part VII-Pro Forma'!I32</f>
        <v>45798.444565959377</v>
      </c>
      <c r="J1047" s="1564">
        <f>'Part VII-Pro Forma'!J32</f>
        <v>44002.291412669307</v>
      </c>
      <c r="K1047" s="1564">
        <f>'Part VII-Pro Forma'!K32</f>
        <v>42085.349934975049</v>
      </c>
      <c r="N1047" s="1521">
        <f>'Part VII-Pro Forma'!N32</f>
        <v>0</v>
      </c>
      <c r="O1047" s="1521"/>
    </row>
    <row r="1048" spans="1:15">
      <c r="A1048" s="638" t="str">
        <f>IF('Part III-Sources of Funds'!$E$38 = "Neither", "", "DCR Mortgage A")</f>
        <v>DCR Mortgage A</v>
      </c>
      <c r="B1048" s="1565" t="str">
        <f>'Part VII-Pro Forma'!B33</f>
        <v/>
      </c>
      <c r="C1048" s="1565" t="str">
        <f>'Part VII-Pro Forma'!C33</f>
        <v/>
      </c>
      <c r="D1048" s="1565" t="str">
        <f>'Part VII-Pro Forma'!D33</f>
        <v/>
      </c>
      <c r="E1048" s="1565" t="str">
        <f>'Part VII-Pro Forma'!E33</f>
        <v/>
      </c>
      <c r="F1048" s="1565" t="str">
        <f>'Part VII-Pro Forma'!F33</f>
        <v/>
      </c>
      <c r="G1048" s="1565" t="str">
        <f>'Part VII-Pro Forma'!G33</f>
        <v/>
      </c>
      <c r="H1048" s="1565" t="str">
        <f>'Part VII-Pro Forma'!H33</f>
        <v/>
      </c>
      <c r="I1048" s="1565" t="str">
        <f>'Part VII-Pro Forma'!I33</f>
        <v/>
      </c>
      <c r="J1048" s="1565" t="str">
        <f>'Part VII-Pro Forma'!J33</f>
        <v/>
      </c>
      <c r="K1048" s="1565" t="str">
        <f>'Part VII-Pro Forma'!K33</f>
        <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3710</v>
      </c>
      <c r="B1052" s="1565" t="str">
        <f>'Part VII-Pro Forma'!B37</f>
        <v/>
      </c>
      <c r="C1052" s="1565" t="str">
        <f>'Part VII-Pro Forma'!C37</f>
        <v/>
      </c>
      <c r="D1052" s="1565" t="str">
        <f>'Part VII-Pro Forma'!D37</f>
        <v/>
      </c>
      <c r="E1052" s="1565" t="str">
        <f>'Part VII-Pro Forma'!E37</f>
        <v/>
      </c>
      <c r="F1052" s="1565" t="str">
        <f>'Part VII-Pro Forma'!F37</f>
        <v/>
      </c>
      <c r="G1052" s="1565" t="str">
        <f>'Part VII-Pro Forma'!G37</f>
        <v/>
      </c>
      <c r="H1052" s="1565" t="str">
        <f>'Part VII-Pro Forma'!H37</f>
        <v/>
      </c>
      <c r="I1052" s="1565" t="str">
        <f>'Part VII-Pro Forma'!I37</f>
        <v/>
      </c>
      <c r="J1052" s="1565" t="str">
        <f>'Part VII-Pro Forma'!J37</f>
        <v/>
      </c>
      <c r="K1052" s="1565" t="str">
        <f>'Part VII-Pro Forma'!K37</f>
        <v/>
      </c>
      <c r="N1052" s="1521">
        <f>'Part VII-Pro Forma'!N37</f>
        <v>0</v>
      </c>
      <c r="O1052" s="1521"/>
    </row>
    <row r="1053" spans="1:15">
      <c r="A1053" s="638" t="s">
        <v>770</v>
      </c>
      <c r="B1053" s="1566">
        <f>'Part VII-Pro Forma'!B38</f>
        <v>1.2640809173525527</v>
      </c>
      <c r="C1053" s="1566">
        <f>'Part VII-Pro Forma'!C38</f>
        <v>1.2518093501146454</v>
      </c>
      <c r="D1053" s="1566">
        <f>'Part VII-Pro Forma'!D38</f>
        <v>1.2396555035624115</v>
      </c>
      <c r="E1053" s="1566">
        <f>'Part VII-Pro Forma'!E38</f>
        <v>1.2276214380717461</v>
      </c>
      <c r="F1053" s="1566">
        <f>'Part VII-Pro Forma'!F38</f>
        <v>1.2156993821960707</v>
      </c>
      <c r="G1053" s="1566">
        <f>'Part VII-Pro Forma'!G38</f>
        <v>1.2038962939057944</v>
      </c>
      <c r="H1053" s="1566">
        <f>'Part VII-Pro Forma'!H38</f>
        <v>1.1922092903491375</v>
      </c>
      <c r="I1053" s="1566">
        <f>'Part VII-Pro Forma'!I38</f>
        <v>1.1806358282945373</v>
      </c>
      <c r="J1053" s="1566">
        <f>'Part VII-Pro Forma'!J38</f>
        <v>1.1691736674374933</v>
      </c>
      <c r="K1053" s="1566">
        <f>'Part VII-Pro Forma'!K38</f>
        <v>1.1578208368495735</v>
      </c>
      <c r="N1053" s="1521">
        <f>'Part VII-Pro Forma'!N38</f>
        <v>0</v>
      </c>
      <c r="O1053" s="1521"/>
    </row>
    <row r="1054" spans="1:15">
      <c r="A1054" s="638" t="s">
        <v>2617</v>
      </c>
      <c r="B1054" s="1564" t="str">
        <f>'Part VII-Pro Forma'!B39</f>
        <v/>
      </c>
      <c r="C1054" s="1564" t="str">
        <f>'Part VII-Pro Forma'!C39</f>
        <v/>
      </c>
      <c r="D1054" s="1564" t="str">
        <f>'Part VII-Pro Forma'!D39</f>
        <v/>
      </c>
      <c r="E1054" s="1564" t="str">
        <f>'Part VII-Pro Forma'!E39</f>
        <v/>
      </c>
      <c r="F1054" s="1564" t="str">
        <f>'Part VII-Pro Forma'!F39</f>
        <v/>
      </c>
      <c r="G1054" s="1564" t="str">
        <f>'Part VII-Pro Forma'!G39</f>
        <v/>
      </c>
      <c r="H1054" s="1564" t="str">
        <f>'Part VII-Pro Forma'!H39</f>
        <v/>
      </c>
      <c r="I1054" s="1564" t="str">
        <f>'Part VII-Pro Forma'!I39</f>
        <v/>
      </c>
      <c r="J1054" s="1564" t="str">
        <f>'Part VII-Pro Forma'!J39</f>
        <v/>
      </c>
      <c r="K1054" s="1564" t="str">
        <f>'Part VII-Pro Forma'!K39</f>
        <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4080</v>
      </c>
      <c r="B1058" s="1564">
        <f>'Part VII-Pro Forma'!B43</f>
        <v>0</v>
      </c>
      <c r="C1058" s="1564">
        <f>'Part VII-Pro Forma'!C43</f>
        <v>0</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371432.47575008246</v>
      </c>
      <c r="C1061" s="1564">
        <f>'Part VII-Pro Forma'!C46</f>
        <v>378861.12526508403</v>
      </c>
      <c r="D1061" s="1564">
        <f>'Part VII-Pro Forma'!D46</f>
        <v>386438.34777038579</v>
      </c>
      <c r="E1061" s="1564">
        <f>'Part VII-Pro Forma'!E46</f>
        <v>394167.11472579348</v>
      </c>
      <c r="F1061" s="1564">
        <f>'Part VII-Pro Forma'!F46</f>
        <v>402050.4570203094</v>
      </c>
      <c r="G1061" s="1564">
        <f>'Part VII-Pro Forma'!G46</f>
        <v>410091.46616071544</v>
      </c>
      <c r="H1061" s="1564">
        <f>'Part VII-Pro Forma'!H46</f>
        <v>418293.29548392986</v>
      </c>
      <c r="I1061" s="1564">
        <f>'Part VII-Pro Forma'!I46</f>
        <v>426659.16139360849</v>
      </c>
      <c r="J1061" s="1564">
        <f>'Part VII-Pro Forma'!J46</f>
        <v>435192.34462148062</v>
      </c>
      <c r="K1061" s="1564">
        <f>'Part VII-Pro Forma'!K46</f>
        <v>443896.19151391019</v>
      </c>
      <c r="N1061" s="1521">
        <f>'Part VII-Pro Forma'!N46</f>
        <v>0</v>
      </c>
      <c r="O1061" s="1521"/>
    </row>
    <row r="1062" spans="1:15">
      <c r="A1062" s="638" t="s">
        <v>1016</v>
      </c>
      <c r="B1062" s="1564">
        <f>'Part VII-Pro Forma'!B47</f>
        <v>7428.649515001649</v>
      </c>
      <c r="C1062" s="1564">
        <f>'Part VII-Pro Forma'!C47</f>
        <v>7577.2225053016809</v>
      </c>
      <c r="D1062" s="1564">
        <f>'Part VII-Pro Forma'!D47</f>
        <v>7728.7669554077156</v>
      </c>
      <c r="E1062" s="1564">
        <f>'Part VII-Pro Forma'!E47</f>
        <v>7883.34229451587</v>
      </c>
      <c r="F1062" s="1564">
        <f>'Part VII-Pro Forma'!F47</f>
        <v>8041.0091404061877</v>
      </c>
      <c r="G1062" s="1564">
        <f>'Part VII-Pro Forma'!G47</f>
        <v>8201.8293232143096</v>
      </c>
      <c r="H1062" s="1564">
        <f>'Part VII-Pro Forma'!H47</f>
        <v>8365.8659096785977</v>
      </c>
      <c r="I1062" s="1564">
        <f>'Part VII-Pro Forma'!I47</f>
        <v>8533.1832278721704</v>
      </c>
      <c r="J1062" s="1564">
        <f>'Part VII-Pro Forma'!J47</f>
        <v>8703.8468924296121</v>
      </c>
      <c r="K1062" s="1564">
        <f>'Part VII-Pro Forma'!K47</f>
        <v>8877.9238302782032</v>
      </c>
      <c r="N1062" s="1521">
        <f>'Part VII-Pro Forma'!N47</f>
        <v>0</v>
      </c>
      <c r="O1062" s="1521"/>
    </row>
    <row r="1063" spans="1:15">
      <c r="A1063" s="638" t="s">
        <v>2405</v>
      </c>
      <c r="B1063" s="1564">
        <f>'Part VII-Pro Forma'!B48</f>
        <v>-26520.278768555891</v>
      </c>
      <c r="C1063" s="1564">
        <f>'Part VII-Pro Forma'!C48</f>
        <v>-27050.684343927005</v>
      </c>
      <c r="D1063" s="1564">
        <f>'Part VII-Pro Forma'!D48</f>
        <v>-27591.69803080555</v>
      </c>
      <c r="E1063" s="1564">
        <f>'Part VII-Pro Forma'!E48</f>
        <v>-28143.531991421656</v>
      </c>
      <c r="F1063" s="1564">
        <f>'Part VII-Pro Forma'!F48</f>
        <v>-28706.402631250097</v>
      </c>
      <c r="G1063" s="1564">
        <f>'Part VII-Pro Forma'!G48</f>
        <v>-29280.530683875084</v>
      </c>
      <c r="H1063" s="1564">
        <f>'Part VII-Pro Forma'!H48</f>
        <v>-29866.141297552593</v>
      </c>
      <c r="I1063" s="1564">
        <f>'Part VII-Pro Forma'!I48</f>
        <v>-30463.464123503651</v>
      </c>
      <c r="J1063" s="1564">
        <f>'Part VII-Pro Forma'!J48</f>
        <v>-31072.733405973719</v>
      </c>
      <c r="K1063" s="1564">
        <f>'Part VII-Pro Forma'!K48</f>
        <v>-31694.188074093192</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4934</v>
      </c>
      <c r="B1066" s="1564">
        <f>'Part VII-Pro Forma'!B51</f>
        <v>352340.84649652819</v>
      </c>
      <c r="C1066" s="1564">
        <f>'Part VII-Pro Forma'!C51</f>
        <v>359387.66342645872</v>
      </c>
      <c r="D1066" s="1564">
        <f>'Part VII-Pro Forma'!D51</f>
        <v>366575.41669498797</v>
      </c>
      <c r="E1066" s="1564">
        <f>'Part VII-Pro Forma'!E51</f>
        <v>373906.92502888769</v>
      </c>
      <c r="F1066" s="1564">
        <f>'Part VII-Pro Forma'!F51</f>
        <v>381385.06352946552</v>
      </c>
      <c r="G1066" s="1564">
        <f>'Part VII-Pro Forma'!G51</f>
        <v>389012.76480005466</v>
      </c>
      <c r="H1066" s="1564">
        <f>'Part VII-Pro Forma'!H51</f>
        <v>396793.02009605581</v>
      </c>
      <c r="I1066" s="1564">
        <f>'Part VII-Pro Forma'!I51</f>
        <v>404728.88049797702</v>
      </c>
      <c r="J1066" s="1564">
        <f>'Part VII-Pro Forma'!J51</f>
        <v>412823.45810793655</v>
      </c>
      <c r="K1066" s="1564">
        <f>'Part VII-Pro Forma'!K51</f>
        <v>421079.92727009521</v>
      </c>
      <c r="N1066" s="1521">
        <f>'Part VII-Pro Forma'!N51</f>
        <v>0</v>
      </c>
      <c r="O1066" s="1521"/>
    </row>
    <row r="1067" spans="1:15">
      <c r="A1067" s="638" t="s">
        <v>614</v>
      </c>
      <c r="B1067" s="1564">
        <f>'Part VII-Pro Forma'!B52</f>
        <v>-260206.40153585016</v>
      </c>
      <c r="C1067" s="1564">
        <f>'Part VII-Pro Forma'!C52</f>
        <v>-268012.59358192567</v>
      </c>
      <c r="D1067" s="1564">
        <f>'Part VII-Pro Forma'!D52</f>
        <v>-276052.97138938343</v>
      </c>
      <c r="E1067" s="1564">
        <f>'Part VII-Pro Forma'!E52</f>
        <v>-284334.56053106493</v>
      </c>
      <c r="F1067" s="1564">
        <f>'Part VII-Pro Forma'!F52</f>
        <v>-292864.59734699689</v>
      </c>
      <c r="G1067" s="1564">
        <f>'Part VII-Pro Forma'!G52</f>
        <v>-301650.53526740678</v>
      </c>
      <c r="H1067" s="1564">
        <f>'Part VII-Pro Forma'!H52</f>
        <v>-310700.05132542894</v>
      </c>
      <c r="I1067" s="1564">
        <f>'Part VII-Pro Forma'!I52</f>
        <v>-320021.05286519183</v>
      </c>
      <c r="J1067" s="1564">
        <f>'Part VII-Pro Forma'!J52</f>
        <v>-329621.68445114756</v>
      </c>
      <c r="K1067" s="1564">
        <f>'Part VII-Pro Forma'!K52</f>
        <v>-339510.33498468198</v>
      </c>
      <c r="N1067" s="1521">
        <f>'Part VII-Pro Forma'!N52</f>
        <v>0</v>
      </c>
      <c r="O1067" s="1521"/>
    </row>
    <row r="1068" spans="1:15">
      <c r="A1068" s="638" t="s">
        <v>1115</v>
      </c>
      <c r="B1068" s="1564">
        <f>'Part VII-Pro Forma'!B53</f>
        <v>-30964</v>
      </c>
      <c r="C1068" s="1564">
        <f>'Part VII-Pro Forma'!C53</f>
        <v>-31893</v>
      </c>
      <c r="D1068" s="1564">
        <f>'Part VII-Pro Forma'!D53</f>
        <v>-32850</v>
      </c>
      <c r="E1068" s="1564">
        <f>'Part VII-Pro Forma'!E53</f>
        <v>-33835</v>
      </c>
      <c r="F1068" s="1564">
        <f>'Part VII-Pro Forma'!F53</f>
        <v>-34850</v>
      </c>
      <c r="G1068" s="1564">
        <f>'Part VII-Pro Forma'!G53</f>
        <v>-35896</v>
      </c>
      <c r="H1068" s="1564">
        <f>'Part VII-Pro Forma'!H53</f>
        <v>-36972</v>
      </c>
      <c r="I1068" s="1564">
        <f>'Part VII-Pro Forma'!I53</f>
        <v>-38082</v>
      </c>
      <c r="J1068" s="1564">
        <f>'Part VII-Pro Forma'!J53</f>
        <v>-39224</v>
      </c>
      <c r="K1068" s="1564">
        <f>'Part VII-Pro Forma'!K53</f>
        <v>-40401</v>
      </c>
      <c r="N1068" s="1521">
        <f>'Part VII-Pro Forma'!N53</f>
        <v>0</v>
      </c>
      <c r="O1068" s="1521"/>
    </row>
    <row r="1069" spans="1:15">
      <c r="A1069" s="638" t="s">
        <v>1202</v>
      </c>
      <c r="B1069" s="1564">
        <f>'Part VII-Pro Forma'!B54</f>
        <v>-16126.996552129462</v>
      </c>
      <c r="C1069" s="1564">
        <f>'Part VII-Pro Forma'!C54</f>
        <v>-16610.806448693347</v>
      </c>
      <c r="D1069" s="1564">
        <f>'Part VII-Pro Forma'!D54</f>
        <v>-17109.130642154145</v>
      </c>
      <c r="E1069" s="1564">
        <f>'Part VII-Pro Forma'!E54</f>
        <v>-17622.404561418767</v>
      </c>
      <c r="F1069" s="1564">
        <f>'Part VII-Pro Forma'!F54</f>
        <v>-18151.076698261331</v>
      </c>
      <c r="G1069" s="1564">
        <f>'Part VII-Pro Forma'!G54</f>
        <v>-18695.608999209173</v>
      </c>
      <c r="H1069" s="1564">
        <f>'Part VII-Pro Forma'!H54</f>
        <v>-19256.477269185445</v>
      </c>
      <c r="I1069" s="1564">
        <f>'Part VII-Pro Forma'!I54</f>
        <v>-19834.171587261008</v>
      </c>
      <c r="J1069" s="1564">
        <f>'Part VII-Pro Forma'!J54</f>
        <v>-20429.196734878838</v>
      </c>
      <c r="K1069" s="1564">
        <f>'Part VII-Pro Forma'!K54</f>
        <v>-21042.072636925204</v>
      </c>
      <c r="N1069" s="1521">
        <f>'Part VII-Pro Forma'!N54</f>
        <v>0</v>
      </c>
      <c r="O1069" s="1521"/>
    </row>
    <row r="1070" spans="1:15">
      <c r="A1070" s="638" t="s">
        <v>4933</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45043.44840854856</v>
      </c>
      <c r="C1071" s="1564">
        <f t="shared" ref="C1071:J1071" si="366">SUM(C1066:C1070)</f>
        <v>42871.263395839705</v>
      </c>
      <c r="D1071" s="1564">
        <f t="shared" si="366"/>
        <v>40563.314663450401</v>
      </c>
      <c r="E1071" s="1564">
        <f t="shared" si="366"/>
        <v>38114.959936404004</v>
      </c>
      <c r="F1071" s="1564">
        <f t="shared" si="366"/>
        <v>35519.389484207306</v>
      </c>
      <c r="G1071" s="1564">
        <f t="shared" si="366"/>
        <v>32770.620533438705</v>
      </c>
      <c r="H1071" s="1564">
        <f t="shared" si="366"/>
        <v>29864.491501441429</v>
      </c>
      <c r="I1071" s="1564">
        <f t="shared" si="366"/>
        <v>26791.656045524185</v>
      </c>
      <c r="J1071" s="1564">
        <f t="shared" si="366"/>
        <v>23548.576921910142</v>
      </c>
      <c r="K1071" s="1564">
        <f>SUM(K1066:K1070)</f>
        <v>20126.519648488033</v>
      </c>
      <c r="N1071" s="1521">
        <f>'Part VII-Pro Forma'!N56</f>
        <v>0</v>
      </c>
      <c r="O1071" s="1521"/>
    </row>
    <row r="1072" spans="1:15">
      <c r="A1072" s="638" t="str">
        <f>$A1040</f>
        <v>Mortgage A</v>
      </c>
      <c r="B1072" s="1564">
        <f>IF('Part III-Sources of Funds'!$P$38="", 0,-'Part III-Sources of Funds'!$P$38)</f>
        <v>0</v>
      </c>
      <c r="C1072" s="1564">
        <f>IF('Part III-Sources of Funds'!$P$38="", 0,-'Part III-Sources of Funds'!$P$38)</f>
        <v>0</v>
      </c>
      <c r="D1072" s="1564">
        <f>IF('Part III-Sources of Funds'!$P$38="", 0,-'Part III-Sources of Funds'!$P$38)</f>
        <v>0</v>
      </c>
      <c r="E1072" s="1564">
        <f>IF('Part III-Sources of Funds'!$P$38="", 0,-'Part III-Sources of Funds'!$P$38)</f>
        <v>0</v>
      </c>
      <c r="F1072" s="1564">
        <f>IF('Part III-Sources of Funds'!$P$38="", 0,-'Part III-Sources of Funds'!$P$38)</f>
        <v>0</v>
      </c>
      <c r="G1072" s="1564">
        <f>IF('Part III-Sources of Funds'!$P$38="", 0,-'Part III-Sources of Funds'!$P$38)</f>
        <v>0</v>
      </c>
      <c r="H1072" s="1564">
        <f>IF('Part III-Sources of Funds'!$P$38="", 0,-'Part III-Sources of Funds'!$P$38)</f>
        <v>0</v>
      </c>
      <c r="I1072" s="1564">
        <f>IF('Part III-Sources of Funds'!$P$38="", 0,-'Part III-Sources of Funds'!$P$38)</f>
        <v>0</v>
      </c>
      <c r="J1072" s="1564">
        <f>IF('Part III-Sources of Funds'!$P$38="", 0,-'Part III-Sources of Funds'!$P$38)</f>
        <v>0</v>
      </c>
      <c r="K1072" s="1564">
        <f>IF('Part III-Sources of Funds'!$P$38="", 0,-'Part III-Sources of Funds'!$P$38)</f>
        <v>0</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-5000</v>
      </c>
      <c r="C1077" s="1564">
        <f t="shared" ref="C1077:K1077" si="367">+B1077</f>
        <v>-5000</v>
      </c>
      <c r="D1077" s="1564">
        <f t="shared" si="367"/>
        <v>-5000</v>
      </c>
      <c r="E1077" s="1564">
        <f t="shared" si="367"/>
        <v>-5000</v>
      </c>
      <c r="F1077" s="1564">
        <f t="shared" si="367"/>
        <v>-5000</v>
      </c>
      <c r="G1077" s="1564">
        <f t="shared" si="367"/>
        <v>-5000</v>
      </c>
      <c r="H1077" s="1564">
        <f t="shared" si="367"/>
        <v>-5000</v>
      </c>
      <c r="I1077" s="1564">
        <f t="shared" si="367"/>
        <v>-5000</v>
      </c>
      <c r="J1077" s="1564">
        <f t="shared" si="367"/>
        <v>-5000</v>
      </c>
      <c r="K1077" s="1564">
        <f t="shared" si="367"/>
        <v>-5000</v>
      </c>
      <c r="N1077" s="1521">
        <f>'Part VII-Pro Forma'!N62</f>
        <v>0</v>
      </c>
      <c r="O1077" s="1521"/>
    </row>
    <row r="1078" spans="1:15">
      <c r="A1078" s="638" t="s">
        <v>4079</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40043.44840854856</v>
      </c>
      <c r="C1079" s="1564">
        <f>'Part VII-Pro Forma'!C64</f>
        <v>37871.263395839705</v>
      </c>
      <c r="D1079" s="1564">
        <f>'Part VII-Pro Forma'!D64</f>
        <v>35563.314663450401</v>
      </c>
      <c r="E1079" s="1564">
        <f>'Part VII-Pro Forma'!E64</f>
        <v>33114.959936404004</v>
      </c>
      <c r="F1079" s="1564">
        <f>'Part VII-Pro Forma'!F64</f>
        <v>30519.389484207306</v>
      </c>
      <c r="G1079" s="1564">
        <f>'Part VII-Pro Forma'!G64</f>
        <v>27770.620533438705</v>
      </c>
      <c r="H1079" s="1564">
        <f>'Part VII-Pro Forma'!H64</f>
        <v>24864.491501441429</v>
      </c>
      <c r="I1079" s="1564">
        <f>'Part VII-Pro Forma'!I64</f>
        <v>21791.656045524185</v>
      </c>
      <c r="J1079" s="1564">
        <f>'Part VII-Pro Forma'!J64</f>
        <v>18548.576921910142</v>
      </c>
      <c r="K1079" s="1564">
        <f>'Part VII-Pro Forma'!K64</f>
        <v>15126.519648488033</v>
      </c>
      <c r="N1079" s="1521">
        <f>'Part VII-Pro Forma'!N64</f>
        <v>0</v>
      </c>
      <c r="O1079" s="1521"/>
    </row>
    <row r="1080" spans="1:15">
      <c r="A1080" s="638" t="str">
        <f>$A1048</f>
        <v>DCR Mortgage A</v>
      </c>
      <c r="B1080" s="1565" t="str">
        <f>'Part VII-Pro Forma'!B65</f>
        <v/>
      </c>
      <c r="C1080" s="1565" t="str">
        <f>'Part VII-Pro Forma'!C65</f>
        <v/>
      </c>
      <c r="D1080" s="1565" t="str">
        <f>'Part VII-Pro Forma'!D65</f>
        <v/>
      </c>
      <c r="E1080" s="1565" t="str">
        <f>'Part VII-Pro Forma'!E65</f>
        <v/>
      </c>
      <c r="F1080" s="1565" t="str">
        <f>'Part VII-Pro Forma'!F65</f>
        <v/>
      </c>
      <c r="G1080" s="1565" t="str">
        <f>'Part VII-Pro Forma'!G65</f>
        <v/>
      </c>
      <c r="H1080" s="1565" t="str">
        <f>'Part VII-Pro Forma'!H65</f>
        <v/>
      </c>
      <c r="I1080" s="1565" t="str">
        <f>'Part VII-Pro Forma'!I65</f>
        <v/>
      </c>
      <c r="J1080" s="1565" t="str">
        <f>'Part VII-Pro Forma'!J65</f>
        <v/>
      </c>
      <c r="K1080" s="1565" t="str">
        <f>'Part VII-Pro Forma'!K65</f>
        <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3710</v>
      </c>
      <c r="B1084" s="1565" t="str">
        <f>'Part VII-Pro Forma'!B69</f>
        <v/>
      </c>
      <c r="C1084" s="1565" t="str">
        <f>'Part VII-Pro Forma'!C69</f>
        <v/>
      </c>
      <c r="D1084" s="1565" t="str">
        <f>'Part VII-Pro Forma'!D69</f>
        <v/>
      </c>
      <c r="E1084" s="1565" t="str">
        <f>'Part VII-Pro Forma'!E69</f>
        <v/>
      </c>
      <c r="F1084" s="1565" t="str">
        <f>'Part VII-Pro Forma'!F69</f>
        <v/>
      </c>
      <c r="G1084" s="1565" t="str">
        <f>'Part VII-Pro Forma'!G69</f>
        <v/>
      </c>
      <c r="H1084" s="1565" t="str">
        <f>'Part VII-Pro Forma'!H69</f>
        <v/>
      </c>
      <c r="I1084" s="1565" t="str">
        <f>'Part VII-Pro Forma'!I69</f>
        <v/>
      </c>
      <c r="J1084" s="1565" t="str">
        <f>'Part VII-Pro Forma'!J69</f>
        <v/>
      </c>
      <c r="K1084" s="1565" t="str">
        <f>'Part VII-Pro Forma'!K69</f>
        <v/>
      </c>
      <c r="N1084" s="1521">
        <f>'Part VII-Pro Forma'!N69</f>
        <v>0</v>
      </c>
      <c r="O1084" s="1521"/>
    </row>
    <row r="1085" spans="1:15">
      <c r="A1085" s="638" t="s">
        <v>770</v>
      </c>
      <c r="B1085" s="1566">
        <f>'Part VII-Pro Forma'!B70</f>
        <v>1.1465793354867673</v>
      </c>
      <c r="C1085" s="1566">
        <f>'Part VII-Pro Forma'!C70</f>
        <v>1.1354472102920812</v>
      </c>
      <c r="D1085" s="1566">
        <f>'Part VII-Pro Forma'!D70</f>
        <v>1.1244227266738902</v>
      </c>
      <c r="E1085" s="1566">
        <f>'Part VII-Pro Forma'!E70</f>
        <v>1.1135076592017514</v>
      </c>
      <c r="F1085" s="1566">
        <f>'Part VII-Pro Forma'!F70</f>
        <v>1.1026970646400702</v>
      </c>
      <c r="G1085" s="1566">
        <f>'Part VII-Pro Forma'!G70</f>
        <v>1.0919897352428711</v>
      </c>
      <c r="H1085" s="1566">
        <f>'Part VII-Pro Forma'!H70</f>
        <v>1.0813904866318966</v>
      </c>
      <c r="I1085" s="1566">
        <f>'Part VII-Pro Forma'!I70</f>
        <v>1.0708891697142013</v>
      </c>
      <c r="J1085" s="1566">
        <f>'Part VII-Pro Forma'!J70</f>
        <v>1.0604934406508926</v>
      </c>
      <c r="K1085" s="1566">
        <f>'Part VII-Pro Forma'!K70</f>
        <v>1.050196654438917</v>
      </c>
      <c r="N1085" s="1521">
        <f>'Part VII-Pro Forma'!N70</f>
        <v>0</v>
      </c>
      <c r="O1085" s="1521"/>
    </row>
    <row r="1086" spans="1:15">
      <c r="A1086" s="638" t="s">
        <v>2617</v>
      </c>
      <c r="B1086" s="1564" t="str">
        <f>'Part VII-Pro Forma'!B71</f>
        <v/>
      </c>
      <c r="C1086" s="1564" t="str">
        <f>'Part VII-Pro Forma'!C71</f>
        <v/>
      </c>
      <c r="D1086" s="1564" t="str">
        <f>'Part VII-Pro Forma'!D71</f>
        <v/>
      </c>
      <c r="E1086" s="1564" t="str">
        <f>'Part VII-Pro Forma'!E71</f>
        <v/>
      </c>
      <c r="F1086" s="1564" t="str">
        <f>'Part VII-Pro Forma'!F71</f>
        <v/>
      </c>
      <c r="G1086" s="1564" t="str">
        <f>'Part VII-Pro Forma'!G71</f>
        <v/>
      </c>
      <c r="H1086" s="1564" t="str">
        <f>'Part VII-Pro Forma'!H71</f>
        <v/>
      </c>
      <c r="I1086" s="1564" t="str">
        <f>'Part VII-Pro Forma'!I71</f>
        <v/>
      </c>
      <c r="J1086" s="1564" t="str">
        <f>'Part VII-Pro Forma'!J71</f>
        <v/>
      </c>
      <c r="K1086" s="1564" t="str">
        <f>'Part VII-Pro Forma'!K71</f>
        <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4080</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452774.11534418847</v>
      </c>
      <c r="C1093" s="1564">
        <f>'Part VII-Pro Forma'!C78</f>
        <v>461829.5976510722</v>
      </c>
      <c r="D1093" s="1564">
        <f>'Part VII-Pro Forma'!D78</f>
        <v>471066.18960409367</v>
      </c>
      <c r="E1093" s="1564">
        <f>'Part VII-Pro Forma'!E78</f>
        <v>480487.51339617546</v>
      </c>
      <c r="F1093" s="1564">
        <f>'Part VII-Pro Forma'!F78</f>
        <v>490097.26366409898</v>
      </c>
      <c r="G1093" s="1564">
        <f>'Part VII-Pro Forma'!G78</f>
        <v>499899.20893738093</v>
      </c>
      <c r="H1093" s="1564">
        <f>'Part VII-Pro Forma'!H78</f>
        <v>509897.19311612862</v>
      </c>
      <c r="I1093" s="1564">
        <f>'Part VII-Pro Forma'!I78</f>
        <v>520095.1369784511</v>
      </c>
      <c r="J1093" s="1564">
        <f>'Part VII-Pro Forma'!J78</f>
        <v>530497.03971802024</v>
      </c>
      <c r="K1093" s="1564">
        <f>'Part VII-Pro Forma'!K78</f>
        <v>541106.9805123806</v>
      </c>
      <c r="N1093" s="1521">
        <f>'Part VII-Pro Forma'!N78</f>
        <v>0</v>
      </c>
      <c r="O1093" s="1521"/>
    </row>
    <row r="1094" spans="1:15">
      <c r="A1094" s="638" t="s">
        <v>1016</v>
      </c>
      <c r="B1094" s="1564">
        <f>'Part VII-Pro Forma'!B79</f>
        <v>9055.4823068837686</v>
      </c>
      <c r="C1094" s="1564">
        <f>'Part VII-Pro Forma'!C79</f>
        <v>9236.5919530214433</v>
      </c>
      <c r="D1094" s="1564">
        <f>'Part VII-Pro Forma'!D79</f>
        <v>9421.3237920818738</v>
      </c>
      <c r="E1094" s="1564">
        <f>'Part VII-Pro Forma'!E79</f>
        <v>9609.7502679235095</v>
      </c>
      <c r="F1094" s="1564">
        <f>'Part VII-Pro Forma'!F79</f>
        <v>9801.9452732819791</v>
      </c>
      <c r="G1094" s="1564">
        <f>'Part VII-Pro Forma'!G79</f>
        <v>9997.9841787476198</v>
      </c>
      <c r="H1094" s="1564">
        <f>'Part VII-Pro Forma'!H79</f>
        <v>10197.943862322572</v>
      </c>
      <c r="I1094" s="1564">
        <f>'Part VII-Pro Forma'!I79</f>
        <v>10401.902739569023</v>
      </c>
      <c r="J1094" s="1564">
        <f>'Part VII-Pro Forma'!J79</f>
        <v>10609.940794360404</v>
      </c>
      <c r="K1094" s="1564">
        <f>'Part VII-Pro Forma'!K79</f>
        <v>10822.139610247612</v>
      </c>
      <c r="N1094" s="1521">
        <f>'Part VII-Pro Forma'!N79</f>
        <v>0</v>
      </c>
      <c r="O1094" s="1521"/>
    </row>
    <row r="1095" spans="1:15">
      <c r="A1095" s="638" t="s">
        <v>2405</v>
      </c>
      <c r="B1095" s="1564">
        <f>'Part VII-Pro Forma'!B80</f>
        <v>-32328.071835575061</v>
      </c>
      <c r="C1095" s="1564">
        <f>'Part VII-Pro Forma'!C80</f>
        <v>-32974.633272286555</v>
      </c>
      <c r="D1095" s="1564">
        <f>'Part VII-Pro Forma'!D80</f>
        <v>-33634.125937732293</v>
      </c>
      <c r="E1095" s="1564">
        <f>'Part VII-Pro Forma'!E80</f>
        <v>-34306.808456486935</v>
      </c>
      <c r="F1095" s="1564">
        <f>'Part VII-Pro Forma'!F80</f>
        <v>-34992.94462561667</v>
      </c>
      <c r="G1095" s="1564">
        <f>'Part VII-Pro Forma'!G80</f>
        <v>-35692.803518129003</v>
      </c>
      <c r="H1095" s="1564">
        <f>'Part VII-Pro Forma'!H80</f>
        <v>-36406.659588491588</v>
      </c>
      <c r="I1095" s="1564">
        <f>'Part VII-Pro Forma'!I80</f>
        <v>-37134.792780261414</v>
      </c>
      <c r="J1095" s="1564">
        <f>'Part VII-Pro Forma'!J80</f>
        <v>-37877.488635866648</v>
      </c>
      <c r="K1095" s="1564">
        <f>'Part VII-Pro Forma'!K80</f>
        <v>-38635.038408583976</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4934</v>
      </c>
      <c r="B1098" s="1564">
        <f>'Part VII-Pro Forma'!B83</f>
        <v>429501.52581549721</v>
      </c>
      <c r="C1098" s="1564">
        <f>'Part VII-Pro Forma'!C83</f>
        <v>438091.55633180705</v>
      </c>
      <c r="D1098" s="1564">
        <f>'Part VII-Pro Forma'!D83</f>
        <v>446853.38745844323</v>
      </c>
      <c r="E1098" s="1564">
        <f>'Part VII-Pro Forma'!E83</f>
        <v>455790.45520761202</v>
      </c>
      <c r="F1098" s="1564">
        <f>'Part VII-Pro Forma'!F83</f>
        <v>464906.26431176433</v>
      </c>
      <c r="G1098" s="1564">
        <f>'Part VII-Pro Forma'!G83</f>
        <v>474204.38959799957</v>
      </c>
      <c r="H1098" s="1564">
        <f>'Part VII-Pro Forma'!H83</f>
        <v>483688.47738995956</v>
      </c>
      <c r="I1098" s="1564">
        <f>'Part VII-Pro Forma'!I83</f>
        <v>493362.2469377587</v>
      </c>
      <c r="J1098" s="1564">
        <f>'Part VII-Pro Forma'!J83</f>
        <v>503229.49187651393</v>
      </c>
      <c r="K1098" s="1564">
        <f>'Part VII-Pro Forma'!K83</f>
        <v>513294.08171404421</v>
      </c>
      <c r="N1098" s="1521">
        <f>'Part VII-Pro Forma'!N83</f>
        <v>0</v>
      </c>
      <c r="O1098" s="1521"/>
    </row>
    <row r="1099" spans="1:15">
      <c r="A1099" s="638" t="s">
        <v>614</v>
      </c>
      <c r="B1099" s="1564">
        <f>'Part VII-Pro Forma'!B84</f>
        <v>-349695.64503422246</v>
      </c>
      <c r="C1099" s="1564">
        <f>'Part VII-Pro Forma'!C84</f>
        <v>-360186.51438524906</v>
      </c>
      <c r="D1099" s="1564">
        <f>'Part VII-Pro Forma'!D84</f>
        <v>-370992.10981680657</v>
      </c>
      <c r="E1099" s="1564">
        <f>'Part VII-Pro Forma'!E84</f>
        <v>-382121.87311131082</v>
      </c>
      <c r="F1099" s="1564">
        <f>'Part VII-Pro Forma'!F84</f>
        <v>-393585.52930465009</v>
      </c>
      <c r="G1099" s="1564">
        <f>'Part VII-Pro Forma'!G84</f>
        <v>-405393.09518378956</v>
      </c>
      <c r="H1099" s="1564">
        <f>'Part VII-Pro Forma'!H84</f>
        <v>-417554.8880393033</v>
      </c>
      <c r="I1099" s="1564">
        <f>'Part VII-Pro Forma'!I84</f>
        <v>-430081.53468048235</v>
      </c>
      <c r="J1099" s="1564">
        <f>'Part VII-Pro Forma'!J84</f>
        <v>-442983.98072089686</v>
      </c>
      <c r="K1099" s="1564">
        <f>'Part VII-Pro Forma'!K84</f>
        <v>-456273.50014252373</v>
      </c>
      <c r="N1099" s="1521">
        <f>'Part VII-Pro Forma'!N84</f>
        <v>0</v>
      </c>
      <c r="O1099" s="1521"/>
    </row>
    <row r="1100" spans="1:15">
      <c r="A1100" s="638" t="s">
        <v>1115</v>
      </c>
      <c r="B1100" s="1564">
        <f>'Part VII-Pro Forma'!B85</f>
        <v>-41613</v>
      </c>
      <c r="C1100" s="1564">
        <f>'Part VII-Pro Forma'!C85</f>
        <v>-42861</v>
      </c>
      <c r="D1100" s="1564">
        <f>'Part VII-Pro Forma'!D85</f>
        <v>-44147</v>
      </c>
      <c r="E1100" s="1564">
        <f>'Part VII-Pro Forma'!E85</f>
        <v>-45471</v>
      </c>
      <c r="F1100" s="1564">
        <f>'Part VII-Pro Forma'!F85</f>
        <v>-46836</v>
      </c>
      <c r="G1100" s="1564">
        <f>'Part VII-Pro Forma'!G85</f>
        <v>-48241</v>
      </c>
      <c r="H1100" s="1564">
        <f>'Part VII-Pro Forma'!H85</f>
        <v>-49688</v>
      </c>
      <c r="I1100" s="1564">
        <f>'Part VII-Pro Forma'!I85</f>
        <v>-51178</v>
      </c>
      <c r="J1100" s="1564">
        <f>'Part VII-Pro Forma'!J85</f>
        <v>-52714</v>
      </c>
      <c r="K1100" s="1564">
        <f>'Part VII-Pro Forma'!K85</f>
        <v>-54295</v>
      </c>
      <c r="N1100" s="1521">
        <f>'Part VII-Pro Forma'!N85</f>
        <v>0</v>
      </c>
      <c r="O1100" s="1521"/>
    </row>
    <row r="1101" spans="1:15">
      <c r="A1101" s="638" t="s">
        <v>1202</v>
      </c>
      <c r="B1101" s="1564">
        <f>'Part VII-Pro Forma'!B86</f>
        <v>-21673.334816032959</v>
      </c>
      <c r="C1101" s="1564">
        <f>'Part VII-Pro Forma'!C86</f>
        <v>-22323.534860513944</v>
      </c>
      <c r="D1101" s="1564">
        <f>'Part VII-Pro Forma'!D86</f>
        <v>-22993.240906329367</v>
      </c>
      <c r="E1101" s="1564">
        <f>'Part VII-Pro Forma'!E86</f>
        <v>-23683.038133519247</v>
      </c>
      <c r="F1101" s="1564">
        <f>'Part VII-Pro Forma'!F86</f>
        <v>-24393.529277524824</v>
      </c>
      <c r="G1101" s="1564">
        <f>'Part VII-Pro Forma'!G86</f>
        <v>-25125.335155850567</v>
      </c>
      <c r="H1101" s="1564">
        <f>'Part VII-Pro Forma'!H86</f>
        <v>-25879.095210526088</v>
      </c>
      <c r="I1101" s="1564">
        <f>'Part VII-Pro Forma'!I86</f>
        <v>-26655.468066841866</v>
      </c>
      <c r="J1101" s="1564">
        <f>'Part VII-Pro Forma'!J86</f>
        <v>-27455.132108847123</v>
      </c>
      <c r="K1101" s="1564">
        <f>'Part VII-Pro Forma'!K86</f>
        <v>-28278.786072112533</v>
      </c>
      <c r="N1101" s="1521">
        <f>'Part VII-Pro Forma'!N86</f>
        <v>0</v>
      </c>
      <c r="O1101" s="1521"/>
    </row>
    <row r="1102" spans="1:15">
      <c r="A1102" s="638" t="s">
        <v>4933</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16519.545965241796</v>
      </c>
      <c r="C1103" s="1564">
        <f t="shared" ref="C1103:J1103" si="369">SUM(C1098:C1102)</f>
        <v>12720.507086044046</v>
      </c>
      <c r="D1103" s="1564">
        <f t="shared" si="369"/>
        <v>8721.0367353073016</v>
      </c>
      <c r="E1103" s="1564">
        <f t="shared" si="369"/>
        <v>4514.5439627819469</v>
      </c>
      <c r="F1103" s="1564">
        <f t="shared" si="369"/>
        <v>91.205729589419207</v>
      </c>
      <c r="G1103" s="1564">
        <f t="shared" si="369"/>
        <v>-4555.0407416405506</v>
      </c>
      <c r="H1103" s="1564">
        <f t="shared" si="369"/>
        <v>-9433.5058598698306</v>
      </c>
      <c r="I1103" s="1564">
        <f t="shared" si="369"/>
        <v>-14552.755809565519</v>
      </c>
      <c r="J1103" s="1564">
        <f t="shared" si="369"/>
        <v>-19923.620953230049</v>
      </c>
      <c r="K1103" s="1564">
        <f>SUM(K1098:K1102)</f>
        <v>-25553.204500592052</v>
      </c>
      <c r="N1103" s="1521">
        <f>'Part VII-Pro Forma'!N88</f>
        <v>0</v>
      </c>
      <c r="O1103" s="1521"/>
    </row>
    <row r="1104" spans="1:15">
      <c r="A1104" s="638" t="str">
        <f>$A1072</f>
        <v>Mortgage A</v>
      </c>
      <c r="B1104" s="1564">
        <f>IF('Part III-Sources of Funds'!$P$38="", 0,-'Part III-Sources of Funds'!$P$38)</f>
        <v>0</v>
      </c>
      <c r="C1104" s="1564">
        <f>IF('Part III-Sources of Funds'!$P$38="", 0,-'Part III-Sources of Funds'!$P$38)</f>
        <v>0</v>
      </c>
      <c r="D1104" s="1564">
        <f>IF('Part III-Sources of Funds'!$P$38="", 0,-'Part III-Sources of Funds'!$P$38)</f>
        <v>0</v>
      </c>
      <c r="E1104" s="1564">
        <f>IF('Part III-Sources of Funds'!$P$38="", 0,-'Part III-Sources of Funds'!$P$38)</f>
        <v>0</v>
      </c>
      <c r="F1104" s="1564">
        <f>IF('Part III-Sources of Funds'!$P$38="", 0,-'Part III-Sources of Funds'!$P$38)</f>
        <v>0</v>
      </c>
      <c r="G1104" s="1564">
        <f>IF('Part III-Sources of Funds'!$P$38="", 0,-'Part III-Sources of Funds'!$P$38)</f>
        <v>0</v>
      </c>
      <c r="H1104" s="1564">
        <f>IF('Part III-Sources of Funds'!$P$38="", 0,-'Part III-Sources of Funds'!$P$38)</f>
        <v>0</v>
      </c>
      <c r="I1104" s="1564">
        <f>IF('Part III-Sources of Funds'!$P$38="", 0,-'Part III-Sources of Funds'!$P$38)</f>
        <v>0</v>
      </c>
      <c r="J1104" s="1564">
        <f>IF('Part III-Sources of Funds'!$P$38="", 0,-'Part III-Sources of Funds'!$P$38)</f>
        <v>0</v>
      </c>
      <c r="K1104" s="1564">
        <f>IF('Part III-Sources of Funds'!$P$38="", 0,-'Part III-Sources of Funds'!$P$38)</f>
        <v>0</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-5000</v>
      </c>
      <c r="C1109" s="1564">
        <f t="shared" ref="C1109:K1109" si="370">+B1109</f>
        <v>-5000</v>
      </c>
      <c r="D1109" s="1564">
        <f t="shared" si="370"/>
        <v>-5000</v>
      </c>
      <c r="E1109" s="1564">
        <f t="shared" si="370"/>
        <v>-5000</v>
      </c>
      <c r="F1109" s="1564">
        <f t="shared" si="370"/>
        <v>-5000</v>
      </c>
      <c r="G1109" s="1564">
        <f t="shared" si="370"/>
        <v>-5000</v>
      </c>
      <c r="H1109" s="1564">
        <f t="shared" si="370"/>
        <v>-5000</v>
      </c>
      <c r="I1109" s="1564">
        <f t="shared" si="370"/>
        <v>-5000</v>
      </c>
      <c r="J1109" s="1564">
        <f t="shared" si="370"/>
        <v>-5000</v>
      </c>
      <c r="K1109" s="1564">
        <f t="shared" si="370"/>
        <v>-5000</v>
      </c>
      <c r="N1109" s="1521">
        <f>'Part VII-Pro Forma'!N94</f>
        <v>0</v>
      </c>
      <c r="O1109" s="1521"/>
    </row>
    <row r="1110" spans="1:15">
      <c r="A1110" s="638" t="s">
        <v>1164</v>
      </c>
      <c r="B1110" s="1564">
        <f>'Part VII-Pro Forma'!B95</f>
        <v>11519.545965241796</v>
      </c>
      <c r="C1110" s="1564">
        <f>'Part VII-Pro Forma'!C95</f>
        <v>7720.5070860440464</v>
      </c>
      <c r="D1110" s="1564">
        <f>'Part VII-Pro Forma'!D95</f>
        <v>3721.0367353073016</v>
      </c>
      <c r="E1110" s="1564">
        <f>'Part VII-Pro Forma'!E95</f>
        <v>-485.4560372180531</v>
      </c>
      <c r="F1110" s="1564">
        <f>'Part VII-Pro Forma'!F95</f>
        <v>-4908.7942704105808</v>
      </c>
      <c r="G1110" s="1564">
        <f>'Part VII-Pro Forma'!G95</f>
        <v>-9555.0407416405506</v>
      </c>
      <c r="H1110" s="1564">
        <f>'Part VII-Pro Forma'!H95</f>
        <v>-14433.505859869831</v>
      </c>
      <c r="I1110" s="1564">
        <f>'Part VII-Pro Forma'!I95</f>
        <v>-19552.755809565519</v>
      </c>
      <c r="J1110" s="1564">
        <f>'Part VII-Pro Forma'!J95</f>
        <v>-24923.620953230049</v>
      </c>
      <c r="K1110" s="1564">
        <f>'Part VII-Pro Forma'!K95</f>
        <v>-30553.204500592052</v>
      </c>
      <c r="N1110" s="1521">
        <f>'Part VII-Pro Forma'!N95</f>
        <v>0</v>
      </c>
      <c r="O1110" s="1521"/>
    </row>
    <row r="1111" spans="1:15">
      <c r="A1111" s="638" t="str">
        <f>$A1080</f>
        <v>DCR Mortgage A</v>
      </c>
      <c r="B1111" s="1565" t="str">
        <f>'Part VII-Pro Forma'!B96</f>
        <v/>
      </c>
      <c r="C1111" s="1565" t="str">
        <f>'Part VII-Pro Forma'!C96</f>
        <v/>
      </c>
      <c r="D1111" s="1565" t="str">
        <f>'Part VII-Pro Forma'!D96</f>
        <v/>
      </c>
      <c r="E1111" s="1565" t="str">
        <f>'Part VII-Pro Forma'!E96</f>
        <v/>
      </c>
      <c r="F1111" s="1565" t="str">
        <f>'Part VII-Pro Forma'!F96</f>
        <v/>
      </c>
      <c r="G1111" s="1565" t="str">
        <f>'Part VII-Pro Forma'!G96</f>
        <v/>
      </c>
      <c r="H1111" s="1565" t="str">
        <f>'Part VII-Pro Forma'!H96</f>
        <v/>
      </c>
      <c r="I1111" s="1565" t="str">
        <f>'Part VII-Pro Forma'!I96</f>
        <v/>
      </c>
      <c r="J1111" s="1565" t="str">
        <f>'Part VII-Pro Forma'!J96</f>
        <v/>
      </c>
      <c r="K1111" s="1565" t="str">
        <f>'Part VII-Pro Forma'!K96</f>
        <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3710</v>
      </c>
      <c r="B1115" s="1565" t="str">
        <f>'Part VII-Pro Forma'!B100</f>
        <v/>
      </c>
      <c r="C1115" s="1565" t="str">
        <f>'Part VII-Pro Forma'!C100</f>
        <v/>
      </c>
      <c r="D1115" s="1565" t="str">
        <f>'Part VII-Pro Forma'!D100</f>
        <v/>
      </c>
      <c r="E1115" s="1565" t="str">
        <f>'Part VII-Pro Forma'!E100</f>
        <v/>
      </c>
      <c r="F1115" s="1565" t="str">
        <f>'Part VII-Pro Forma'!F100</f>
        <v/>
      </c>
      <c r="G1115" s="1565" t="str">
        <f>'Part VII-Pro Forma'!G100</f>
        <v/>
      </c>
      <c r="H1115" s="1565" t="str">
        <f>'Part VII-Pro Forma'!H100</f>
        <v/>
      </c>
      <c r="I1115" s="1565" t="str">
        <f>'Part VII-Pro Forma'!I100</f>
        <v/>
      </c>
      <c r="J1115" s="1565" t="str">
        <f>'Part VII-Pro Forma'!J100</f>
        <v/>
      </c>
      <c r="K1115" s="1565" t="str">
        <f>'Part VII-Pro Forma'!K100</f>
        <v/>
      </c>
      <c r="N1115" s="1521">
        <f>'Part VII-Pro Forma'!N100</f>
        <v>0</v>
      </c>
      <c r="O1115" s="1521"/>
    </row>
    <row r="1116" spans="1:15">
      <c r="A1116" s="638" t="s">
        <v>770</v>
      </c>
      <c r="B1116" s="1566">
        <f>'Part VII-Pro Forma'!B101</f>
        <v>1.0400006459633704</v>
      </c>
      <c r="C1116" s="1566">
        <f>'Part VII-Pro Forma'!C101</f>
        <v>1.02990449657681</v>
      </c>
      <c r="D1116" s="1566">
        <f>'Part VII-Pro Forma'!D101</f>
        <v>1.019905028060387</v>
      </c>
      <c r="E1116" s="1566">
        <f>'Part VII-Pro Forma'!E101</f>
        <v>1.0100039551198927</v>
      </c>
      <c r="F1116" s="1566">
        <f>'Part VII-Pro Forma'!F101</f>
        <v>1.0001962193950162</v>
      </c>
      <c r="G1116" s="1566">
        <f>'Part VII-Pro Forma'!G101</f>
        <v>0.99048574199695838</v>
      </c>
      <c r="H1116" s="1566">
        <f>'Part VII-Pro Forma'!H101</f>
        <v>0.98086983306300801</v>
      </c>
      <c r="I1116" s="1566">
        <f>'Part VII-Pro Forma'!I101</f>
        <v>0.97134804892383697</v>
      </c>
      <c r="J1116" s="1566">
        <f>'Part VII-Pro Forma'!J101</f>
        <v>0.96191627180527917</v>
      </c>
      <c r="K1116" s="1566">
        <f>'Part VII-Pro Forma'!K101</f>
        <v>0.95257802135350533</v>
      </c>
      <c r="N1116" s="1521">
        <f>'Part VII-Pro Forma'!N101</f>
        <v>0</v>
      </c>
      <c r="O1116" s="1521"/>
    </row>
    <row r="1117" spans="1:15">
      <c r="A1117" s="638" t="s">
        <v>2617</v>
      </c>
      <c r="B1117" s="1564" t="str">
        <f>'Part VII-Pro Forma'!B102</f>
        <v/>
      </c>
      <c r="C1117" s="1564" t="str">
        <f>'Part VII-Pro Forma'!C102</f>
        <v/>
      </c>
      <c r="D1117" s="1564" t="str">
        <f>'Part VII-Pro Forma'!D102</f>
        <v/>
      </c>
      <c r="E1117" s="1564" t="str">
        <f>'Part VII-Pro Forma'!E102</f>
        <v/>
      </c>
      <c r="F1117" s="1564" t="str">
        <f>'Part VII-Pro Forma'!F102</f>
        <v/>
      </c>
      <c r="G1117" s="1564" t="str">
        <f>'Part VII-Pro Forma'!G102</f>
        <v/>
      </c>
      <c r="H1117" s="1564" t="str">
        <f>'Part VII-Pro Forma'!H102</f>
        <v/>
      </c>
      <c r="I1117" s="1564" t="str">
        <f>'Part VII-Pro Forma'!I102</f>
        <v/>
      </c>
      <c r="J1117" s="1564" t="str">
        <f>'Part VII-Pro Forma'!J102</f>
        <v/>
      </c>
      <c r="K1117" s="1564" t="str">
        <f>'Part VII-Pro Forma'!K102</f>
        <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3700</v>
      </c>
      <c r="O1122" s="1794"/>
    </row>
    <row r="1123" spans="1:15">
      <c r="A1123" s="638" t="s">
        <v>2404</v>
      </c>
      <c r="B1123" s="1564">
        <f>'Part VII-Pro Forma'!B108</f>
        <v>551929.12012262817</v>
      </c>
      <c r="C1123" s="1564">
        <f>'Part VII-Pro Forma'!C108</f>
        <v>562967.70252508065</v>
      </c>
      <c r="D1123" s="1564">
        <f>'Part VII-Pro Forma'!D108</f>
        <v>574227.05657558236</v>
      </c>
      <c r="E1123" s="1564">
        <f>'Part VII-Pro Forma'!E108</f>
        <v>585711.59770709404</v>
      </c>
      <c r="F1123" s="1564">
        <f>'Part VII-Pro Forma'!F108</f>
        <v>597425.82966123591</v>
      </c>
      <c r="G1123" s="1564"/>
      <c r="H1123" s="1564"/>
      <c r="I1123" s="1564"/>
      <c r="J1123" s="1564"/>
      <c r="K1123" s="1564"/>
      <c r="N1123" s="1521">
        <f>'Part VII-Pro Forma'!N108</f>
        <v>0</v>
      </c>
      <c r="O1123" s="1521"/>
    </row>
    <row r="1124" spans="1:15">
      <c r="A1124" s="638" t="s">
        <v>1016</v>
      </c>
      <c r="B1124" s="1564">
        <f>'Part VII-Pro Forma'!B109</f>
        <v>11038.582402452565</v>
      </c>
      <c r="C1124" s="1564">
        <f>'Part VII-Pro Forma'!C109</f>
        <v>11259.354050501614</v>
      </c>
      <c r="D1124" s="1564">
        <f>'Part VII-Pro Forma'!D109</f>
        <v>11484.541131511647</v>
      </c>
      <c r="E1124" s="1564">
        <f>'Part VII-Pro Forma'!E109</f>
        <v>11714.231954141882</v>
      </c>
      <c r="F1124" s="1564">
        <f>'Part VII-Pro Forma'!F109</f>
        <v>11948.516593224718</v>
      </c>
      <c r="G1124" s="1564"/>
      <c r="H1124" s="1564"/>
      <c r="I1124" s="1564"/>
      <c r="J1124" s="1564"/>
      <c r="K1124" s="1564"/>
      <c r="N1124" s="1521">
        <f>'Part VII-Pro Forma'!N109</f>
        <v>0</v>
      </c>
      <c r="O1124" s="1521"/>
    </row>
    <row r="1125" spans="1:15">
      <c r="A1125" s="638" t="s">
        <v>2405</v>
      </c>
      <c r="B1125" s="1564">
        <f>'Part VII-Pro Forma'!B110</f>
        <v>-39407.739176755655</v>
      </c>
      <c r="C1125" s="1564">
        <f>'Part VII-Pro Forma'!C110</f>
        <v>-40195.893960290763</v>
      </c>
      <c r="D1125" s="1564">
        <f>'Part VII-Pro Forma'!D110</f>
        <v>-40999.811839496586</v>
      </c>
      <c r="E1125" s="1564">
        <f>'Part VII-Pro Forma'!E110</f>
        <v>-41819.808076286521</v>
      </c>
      <c r="F1125" s="1564">
        <f>'Part VII-Pro Forma'!F110</f>
        <v>-42656.20423781225</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4934</v>
      </c>
      <c r="B1128" s="1564">
        <f>'Part VII-Pro Forma'!B113</f>
        <v>523559.96334832511</v>
      </c>
      <c r="C1128" s="1564">
        <f>'Part VII-Pro Forma'!C113</f>
        <v>534031.16261529154</v>
      </c>
      <c r="D1128" s="1564">
        <f>'Part VII-Pro Forma'!D113</f>
        <v>544711.78586759744</v>
      </c>
      <c r="E1128" s="1564">
        <f>'Part VII-Pro Forma'!E113</f>
        <v>555606.02158494934</v>
      </c>
      <c r="F1128" s="1564">
        <f>'Part VII-Pro Forma'!F113</f>
        <v>566718.14201664843</v>
      </c>
      <c r="G1128" s="1564"/>
      <c r="H1128" s="1564"/>
      <c r="I1128" s="1564"/>
      <c r="J1128" s="1564"/>
      <c r="K1128" s="1564"/>
      <c r="N1128" s="1521">
        <f>'Part VII-Pro Forma'!N113</f>
        <v>0</v>
      </c>
      <c r="O1128" s="1521"/>
    </row>
    <row r="1129" spans="1:15">
      <c r="A1129" s="638" t="s">
        <v>614</v>
      </c>
      <c r="B1129" s="1564">
        <f>'Part VII-Pro Forma'!B114</f>
        <v>-469961.70514679939</v>
      </c>
      <c r="C1129" s="1564">
        <f>'Part VII-Pro Forma'!C114</f>
        <v>-484060.5563012035</v>
      </c>
      <c r="D1129" s="1564">
        <f>'Part VII-Pro Forma'!D114</f>
        <v>-498582.37299023947</v>
      </c>
      <c r="E1129" s="1564">
        <f>'Part VII-Pro Forma'!E114</f>
        <v>-513539.8441799467</v>
      </c>
      <c r="F1129" s="1564">
        <f>'Part VII-Pro Forma'!F114</f>
        <v>-528946.03950534505</v>
      </c>
      <c r="G1129" s="1564"/>
      <c r="H1129" s="1564"/>
      <c r="I1129" s="1564"/>
      <c r="J1129" s="1564"/>
      <c r="K1129" s="1564"/>
      <c r="N1129" s="1521">
        <f>'Part VII-Pro Forma'!N114</f>
        <v>0</v>
      </c>
      <c r="O1129" s="1521"/>
    </row>
    <row r="1130" spans="1:15">
      <c r="A1130" s="638" t="s">
        <v>1115</v>
      </c>
      <c r="B1130" s="1564">
        <f>'Part VII-Pro Forma'!B115</f>
        <v>-55924</v>
      </c>
      <c r="C1130" s="1564">
        <f>'Part VII-Pro Forma'!C115</f>
        <v>-57602</v>
      </c>
      <c r="D1130" s="1564">
        <f>'Part VII-Pro Forma'!D115</f>
        <v>-59330</v>
      </c>
      <c r="E1130" s="1564">
        <f>'Part VII-Pro Forma'!E115</f>
        <v>-61110</v>
      </c>
      <c r="F1130" s="1564">
        <f>'Part VII-Pro Forma'!F115</f>
        <v>-62943</v>
      </c>
      <c r="G1130" s="1564"/>
      <c r="H1130" s="1564"/>
      <c r="I1130" s="1564"/>
      <c r="J1130" s="1564"/>
      <c r="K1130" s="1564"/>
      <c r="N1130" s="1521">
        <f>'Part VII-Pro Forma'!N115</f>
        <v>0</v>
      </c>
      <c r="O1130" s="1521"/>
    </row>
    <row r="1131" spans="1:15">
      <c r="A1131" s="638" t="s">
        <v>1202</v>
      </c>
      <c r="B1131" s="1564">
        <f>'Part VII-Pro Forma'!B116</f>
        <v>-29127.149654275909</v>
      </c>
      <c r="C1131" s="1564">
        <f>'Part VII-Pro Forma'!C116</f>
        <v>-30000.964143904192</v>
      </c>
      <c r="D1131" s="1564">
        <f>'Part VII-Pro Forma'!D116</f>
        <v>-30900.993068221313</v>
      </c>
      <c r="E1131" s="1564">
        <f>'Part VII-Pro Forma'!E116</f>
        <v>-31828.022860267953</v>
      </c>
      <c r="F1131" s="1564">
        <f>'Part VII-Pro Forma'!F116</f>
        <v>-32782.863546075983</v>
      </c>
      <c r="G1131" s="1564"/>
      <c r="H1131" s="1564"/>
      <c r="I1131" s="1564"/>
      <c r="J1131" s="1564"/>
      <c r="K1131" s="1564"/>
      <c r="N1131" s="1521">
        <f>'Part VII-Pro Forma'!N116</f>
        <v>0</v>
      </c>
      <c r="O1131" s="1521"/>
    </row>
    <row r="1132" spans="1:15">
      <c r="A1132" s="638" t="s">
        <v>4933</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SUM(B1128:B1132)</f>
        <v>-31452.891452750187</v>
      </c>
      <c r="C1133" s="1564">
        <f>SUM(C1128:C1132)</f>
        <v>-37632.357829816145</v>
      </c>
      <c r="D1133" s="1564">
        <f>SUM(D1128:D1132)</f>
        <v>-44101.580190863344</v>
      </c>
      <c r="E1133" s="1564">
        <f>SUM(E1128:E1132)</f>
        <v>-50871.845455265313</v>
      </c>
      <c r="F1133" s="1564">
        <f>SUM(F1128:F1132)</f>
        <v>-57953.7610347726</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0</v>
      </c>
      <c r="C1134" s="1564">
        <f>IF('Part III-Sources of Funds'!$P$38="", 0,-'Part III-Sources of Funds'!$P$38)</f>
        <v>0</v>
      </c>
      <c r="D1134" s="1564">
        <f>IF('Part III-Sources of Funds'!$P$38="", 0,-'Part III-Sources of Funds'!$P$38)</f>
        <v>0</v>
      </c>
      <c r="E1134" s="1564">
        <f>IF('Part III-Sources of Funds'!$P$38="", 0,-'Part III-Sources of Funds'!$P$38)</f>
        <v>0</v>
      </c>
      <c r="F1134" s="1564">
        <f>IF('Part III-Sources of Funds'!$P$38="", 0,-'Part III-Sources of Funds'!$P$38)</f>
        <v>0</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1164</v>
      </c>
      <c r="B1140" s="1564">
        <f>'Part VII-Pro Forma'!B125</f>
        <v>-36452.891452750191</v>
      </c>
      <c r="C1140" s="1564">
        <f>'Part VII-Pro Forma'!C125</f>
        <v>-42632.357829816145</v>
      </c>
      <c r="D1140" s="1564">
        <f>'Part VII-Pro Forma'!D125</f>
        <v>-49101.580190863344</v>
      </c>
      <c r="E1140" s="1564">
        <f>'Part VII-Pro Forma'!E125</f>
        <v>-55871.845455265313</v>
      </c>
      <c r="F1140" s="1564">
        <f>'Part VII-Pro Forma'!F125</f>
        <v>-62953.7610347726</v>
      </c>
      <c r="G1140" s="1564"/>
      <c r="H1140" s="1564"/>
      <c r="I1140" s="1564"/>
      <c r="J1140" s="1564"/>
      <c r="K1140" s="1564"/>
      <c r="N1140" s="1521">
        <f>'Part VII-Pro Forma'!N125</f>
        <v>0</v>
      </c>
      <c r="O1140" s="1521"/>
    </row>
    <row r="1141" spans="1:15">
      <c r="A1141" s="638" t="str">
        <f>$A1111</f>
        <v>DCR Mortgage A</v>
      </c>
      <c r="B1141" s="1565" t="str">
        <f>'Part VII-Pro Forma'!B126</f>
        <v/>
      </c>
      <c r="C1141" s="1565" t="str">
        <f>'Part VII-Pro Forma'!C126</f>
        <v/>
      </c>
      <c r="D1141" s="1565" t="str">
        <f>'Part VII-Pro Forma'!D126</f>
        <v/>
      </c>
      <c r="E1141" s="1565" t="str">
        <f>'Part VII-Pro Forma'!E126</f>
        <v/>
      </c>
      <c r="F1141" s="1565" t="str">
        <f>'Part VII-Pro Forma'!F126</f>
        <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3710</v>
      </c>
      <c r="B1145" s="1565" t="str">
        <f>'Part VII-Pro Forma'!B130</f>
        <v/>
      </c>
      <c r="C1145" s="1565" t="str">
        <f>'Part VII-Pro Forma'!C130</f>
        <v/>
      </c>
      <c r="D1145" s="1565" t="str">
        <f>'Part VII-Pro Forma'!D130</f>
        <v/>
      </c>
      <c r="E1145" s="1565" t="str">
        <f>'Part VII-Pro Forma'!E130</f>
        <v/>
      </c>
      <c r="F1145" s="1565" t="str">
        <f>'Part VII-Pro Forma'!F130</f>
        <v/>
      </c>
      <c r="G1145" s="1564"/>
      <c r="H1145" s="1564"/>
      <c r="I1145" s="1564"/>
      <c r="J1145" s="1564"/>
      <c r="K1145" s="1564"/>
      <c r="N1145" s="1521">
        <f>'Part VII-Pro Forma'!N130</f>
        <v>0</v>
      </c>
      <c r="O1145" s="1521"/>
    </row>
    <row r="1146" spans="1:15">
      <c r="A1146" s="638" t="s">
        <v>770</v>
      </c>
      <c r="B1146" s="1566">
        <f>'Part VII-Pro Forma'!B131</f>
        <v>0.94332943610103726</v>
      </c>
      <c r="C1146" s="1566">
        <f>'Part VII-Pro Forma'!C131</f>
        <v>0.93417044033085239</v>
      </c>
      <c r="D1146" s="1566">
        <f>'Part VII-Pro Forma'!D131</f>
        <v>0.92510091867295596</v>
      </c>
      <c r="E1146" s="1566">
        <f>'Part VII-Pro Forma'!E131</f>
        <v>0.91611920530004765</v>
      </c>
      <c r="F1146" s="1566">
        <f>'Part VII-Pro Forma'!F131</f>
        <v>0.90722527978018885</v>
      </c>
      <c r="G1146" s="1564"/>
      <c r="H1146" s="1564"/>
      <c r="I1146" s="1564"/>
      <c r="J1146" s="1564"/>
      <c r="K1146" s="1564"/>
      <c r="N1146" s="1521">
        <f>'Part VII-Pro Forma'!N131</f>
        <v>0</v>
      </c>
      <c r="O1146" s="1521"/>
    </row>
    <row r="1147" spans="1:15">
      <c r="A1147" s="638" t="s">
        <v>2617</v>
      </c>
      <c r="B1147" s="1564" t="str">
        <f>'Part VII-Pro Forma'!B132</f>
        <v/>
      </c>
      <c r="C1147" s="1564" t="str">
        <f>'Part VII-Pro Forma'!C132</f>
        <v/>
      </c>
      <c r="D1147" s="1564" t="str">
        <f>'Part VII-Pro Forma'!D132</f>
        <v/>
      </c>
      <c r="E1147" s="1564" t="str">
        <f>'Part VII-Pro Forma'!E132</f>
        <v/>
      </c>
      <c r="F1147" s="1564" t="str">
        <f>'Part VII-Pro Forma'!F132</f>
        <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No Debt Service indicated</v>
      </c>
      <c r="B1154" s="1391"/>
      <c r="C1154" s="1391"/>
      <c r="D1154" s="1391"/>
      <c r="E1154" s="1391"/>
      <c r="F1154" s="1391"/>
      <c r="G1154" s="1391">
        <f>'Part VII-Pro Forma'!G139</f>
        <v>0</v>
      </c>
      <c r="H1154" s="1391"/>
      <c r="I1154" s="1391"/>
      <c r="J1154" s="1391"/>
      <c r="K1154" s="1391"/>
      <c r="N1154" s="2331" t="s">
        <v>2693</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2019-060 Dulles Park II,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May 2019</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4531</v>
      </c>
      <c r="K1164" s="1570"/>
      <c r="L1164" s="1570"/>
      <c r="M1164" s="1570"/>
      <c r="N1164" s="1570"/>
      <c r="O1164" s="1570"/>
      <c r="P1164" s="2385"/>
      <c r="Q1164" s="2385"/>
      <c r="R1164" s="2356"/>
      <c r="S1164" s="2356"/>
    </row>
    <row r="1165" spans="1:19">
      <c r="A1165" s="1572" t="s">
        <v>3451</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2031</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31" t="s">
        <v>2031</v>
      </c>
      <c r="S1173" s="2331"/>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31" t="s">
        <v>2031</v>
      </c>
      <c r="S1180" s="2331"/>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2651</v>
      </c>
      <c r="C1187" s="1604"/>
      <c r="D1187" s="457"/>
      <c r="E1187" s="457"/>
      <c r="F1187" s="457"/>
      <c r="G1187" s="457"/>
      <c r="I1187" s="1578"/>
      <c r="J1187" s="1578"/>
      <c r="K1187" s="1578"/>
      <c r="L1187" s="1316"/>
      <c r="M1187" s="1316"/>
      <c r="O1187" s="2388" t="s">
        <v>1867</v>
      </c>
      <c r="P1187" s="1317"/>
      <c r="Q1187" s="1317"/>
    </row>
    <row r="1189" spans="1:22" ht="20.399999999999999">
      <c r="B1189" s="1549" t="s">
        <v>3749</v>
      </c>
      <c r="C1189" s="1549"/>
      <c r="D1189" s="1549"/>
      <c r="E1189" s="1549"/>
      <c r="F1189" s="1549"/>
      <c r="G1189" s="1578"/>
      <c r="H1189" s="1578"/>
      <c r="I1189" s="1578"/>
      <c r="J1189" s="1578"/>
      <c r="K1189" s="1316"/>
      <c r="L1189" s="1316"/>
      <c r="M1189" s="1316"/>
      <c r="N1189" s="1316"/>
      <c r="O1189" s="1316"/>
      <c r="P1189" s="1316"/>
      <c r="S1189" s="2389"/>
      <c r="T1189" s="2389"/>
    </row>
    <row r="1190" spans="1:22" ht="409.6">
      <c r="A1190" s="1583" t="str">
        <f>'Part VIII-Threshold Criteria'!A32</f>
        <v>Applicant belives that the proposed project is feasible, viable and in conformance with the plan. The overall development and construction costs are considered reasonable and were evaluated by an experienced General Contractor and Engineer. The Residential Square footages as defined in the Core application and Q&amp;A which include patios and balconies available for the exclusive use of tenants are:  1BR/1BA = 757 Sq.ft.  and 2BR/2BA = 961 Sq. ft.</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380"/>
      <c r="M1194" s="2380"/>
      <c r="N1194" s="2380"/>
      <c r="O1194" s="2388" t="s">
        <v>1867</v>
      </c>
      <c r="P1194" s="1317"/>
      <c r="Q1194" s="1317"/>
    </row>
    <row r="1195" spans="1:22">
      <c r="A1195" s="1585"/>
      <c r="B1195" s="1585"/>
      <c r="C1195" s="1585"/>
      <c r="D1195" s="1585"/>
      <c r="E1195" s="1585"/>
      <c r="F1195" s="1585"/>
      <c r="G1195" s="1335" t="s">
        <v>2715</v>
      </c>
      <c r="H1195" s="1335"/>
      <c r="I1195" s="457"/>
      <c r="J1195" s="1314"/>
      <c r="K1195" s="457" t="s">
        <v>3632</v>
      </c>
      <c r="L1195" s="457"/>
      <c r="M1195" s="457"/>
      <c r="N1195" s="457"/>
    </row>
    <row r="1196" spans="1:22">
      <c r="A1196" s="1585"/>
      <c r="B1196" s="1585"/>
      <c r="C1196" s="1585"/>
      <c r="D1196" s="1585"/>
      <c r="E1196" s="1585"/>
      <c r="F1196" s="1585"/>
      <c r="G1196" s="1335" t="s">
        <v>346</v>
      </c>
      <c r="H1196" s="1335"/>
      <c r="I1196" s="457"/>
      <c r="J1196" s="1314"/>
      <c r="K1196" s="457" t="s">
        <v>3633</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3453</v>
      </c>
      <c r="G1198" s="1587" t="s">
        <v>5035</v>
      </c>
      <c r="H1198" s="1587"/>
      <c r="I1198" s="1587"/>
      <c r="K1198" s="1587" t="s">
        <v>3453</v>
      </c>
      <c r="L1198" s="1587" t="s">
        <v>5034</v>
      </c>
      <c r="M1198" s="1587"/>
      <c r="N1198" s="1587"/>
      <c r="R1198" s="1315"/>
      <c r="V1198" s="1314"/>
    </row>
    <row r="1199" spans="1:22" ht="12.75" customHeight="1">
      <c r="A1199" s="1573" t="s">
        <v>3358</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3886</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Macon</v>
      </c>
      <c r="Q1200" s="2356"/>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IF(K1201="","",K1201*L1201)</f>
        <v/>
      </c>
      <c r="O1201" s="1582"/>
      <c r="P1201" s="2356"/>
      <c r="Q1201" s="2356"/>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IF(F1202="","",F1202*G1202)</f>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IF(K1202="","",K1202*L1202)</f>
        <v/>
      </c>
      <c r="O1202" s="1582"/>
      <c r="P1202" s="1550" t="s">
        <v>5033</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IF(F1203="","",F1203*G1203)</f>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IF(K1203="","",K1203*L1203)</f>
        <v/>
      </c>
      <c r="O1203" s="1582"/>
      <c r="P1203" s="2391">
        <f>'Part IV-A-Uses of Funds'!$G$132</f>
        <v>9013295</v>
      </c>
      <c r="Q1203" s="2391"/>
    </row>
    <row r="1204" spans="1:22">
      <c r="C1204" s="1314"/>
      <c r="D1204" s="1595" t="s">
        <v>3368</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3353</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5310</v>
      </c>
      <c r="T1206" s="1702"/>
      <c r="U1206" s="1702"/>
      <c r="V1206" s="1702"/>
    </row>
    <row r="1207" spans="1:22" ht="12.75" customHeight="1">
      <c r="A1207" s="1573"/>
      <c r="B1207" s="1573"/>
      <c r="C1207" s="1573"/>
      <c r="D1207" s="1589" t="s">
        <v>2440</v>
      </c>
      <c r="E1207" s="1578">
        <v>1</v>
      </c>
      <c r="F1207" s="1590">
        <f>IF('Part VI-Revenues &amp; Expenses'!$K$137 =0,"",'Part VI-Revenues &amp; Expenses'!$K$137)</f>
        <v>8</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8 units = </v>
      </c>
      <c r="I1207" s="1592" t="e">
        <f>IF(F1207="","",F1207*G1207)</f>
        <v>#N/A</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4083</v>
      </c>
      <c r="Q1207" s="1468"/>
      <c r="S1207" s="1702"/>
      <c r="T1207" s="1702"/>
      <c r="U1207" s="1702"/>
      <c r="V1207" s="1702"/>
    </row>
    <row r="1208" spans="1:22" ht="12.75" customHeight="1">
      <c r="A1208" s="1573"/>
      <c r="B1208" s="1573"/>
      <c r="C1208" s="1573"/>
      <c r="D1208" s="1589" t="s">
        <v>2441</v>
      </c>
      <c r="E1208" s="1578">
        <v>2</v>
      </c>
      <c r="F1208" s="1590">
        <f>IF('Part VI-Revenues &amp; Expenses'!$L$137 =0,"",'Part VI-Revenues &amp; Expenses'!$L$137)</f>
        <v>40</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40 units = </v>
      </c>
      <c r="I1208" s="1592" t="e">
        <f>IF(F1208="","",F1208*G1208)</f>
        <v>#N/A</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IF(K1208="","",K1208*L1208)</f>
        <v/>
      </c>
      <c r="O1208" s="1606"/>
      <c r="P1208" s="2393"/>
      <c r="Q1208" s="2393"/>
      <c r="R1208" s="1315"/>
      <c r="S1208" s="1702"/>
      <c r="T1208" s="1702"/>
      <c r="U1208" s="1702"/>
      <c r="V1208" s="1702"/>
    </row>
    <row r="1209" spans="1:22" ht="12.75" customHeight="1">
      <c r="C1209" s="1314"/>
      <c r="D1209" s="1589" t="s">
        <v>2442</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IF(F1209="","",F1209*G1209)</f>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IF(K1209="","",K1209*L1209)</f>
        <v/>
      </c>
      <c r="O1209" s="1606"/>
      <c r="P1209" s="2393"/>
      <c r="Q1209" s="2393"/>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IF(F1210="","",F1210*G1210)</f>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IF(K1210="","",K1210*L1210)</f>
        <v/>
      </c>
      <c r="O1210" s="1606"/>
      <c r="P1210" s="457" t="s">
        <v>3627</v>
      </c>
      <c r="Q1210" s="457"/>
      <c r="S1210" s="1702"/>
      <c r="T1210" s="1702"/>
      <c r="U1210" s="1702"/>
      <c r="V1210" s="1702"/>
    </row>
    <row r="1211" spans="1:22" ht="12.75" customHeight="1">
      <c r="C1211" s="1314"/>
      <c r="D1211" s="1595" t="s">
        <v>3368</v>
      </c>
      <c r="E1211" s="1596"/>
      <c r="F1211" s="1597">
        <f>SUM(F1206:F1210)</f>
        <v>48</v>
      </c>
      <c r="G1211" s="2392"/>
      <c r="H1211" s="1599"/>
      <c r="I1211" s="1600" t="e">
        <f>SUM(I1206:I1210)</f>
        <v>#N/A</v>
      </c>
      <c r="J1211" s="1601"/>
      <c r="K1211" s="1597">
        <f>SUM(K1206:K1210)</f>
        <v>0</v>
      </c>
      <c r="L1211" s="1601"/>
      <c r="M1211" s="1599"/>
      <c r="N1211" s="1600">
        <f>SUM(N1206:N1210)</f>
        <v>0</v>
      </c>
      <c r="O1211" s="1606"/>
      <c r="P1211" s="1504" t="s">
        <v>3246</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3354</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3628</v>
      </c>
      <c r="Q1214" s="457"/>
      <c r="S1214" s="1702"/>
      <c r="T1214" s="1702"/>
      <c r="U1214" s="1702"/>
      <c r="V1214" s="1702"/>
    </row>
    <row r="1215" spans="1:22" ht="12.75" customHeight="1">
      <c r="C1215" s="1314"/>
      <c r="D1215" s="1589" t="s">
        <v>2441</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IF(K1215="","",K1215*L1215)</f>
        <v/>
      </c>
      <c r="P1215" s="1504" t="s">
        <v>3246</v>
      </c>
      <c r="Q1215" s="1504" t="s">
        <v>256</v>
      </c>
      <c r="S1215" s="1702"/>
      <c r="T1215" s="1702"/>
      <c r="U1215" s="1702"/>
      <c r="V1215" s="1702"/>
    </row>
    <row r="1216" spans="1:22" ht="13.5" customHeight="1">
      <c r="C1216" s="1314"/>
      <c r="D1216" s="1589" t="s">
        <v>2442</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IF(F1216="","",F1216*G1216)</f>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IF(K1216="","",K1216*L1216)</f>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IF(F1217="","",F1217*G1217)</f>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IF(K1217="","",K1217*L1217)</f>
        <v/>
      </c>
      <c r="O1217" s="1606"/>
      <c r="P1217" s="2394" t="s">
        <v>2770</v>
      </c>
      <c r="Q1217" s="2394"/>
      <c r="V1217" s="1314"/>
    </row>
    <row r="1218" spans="1:22" ht="12.75" customHeight="1">
      <c r="C1218" s="1314"/>
      <c r="D1218" s="1595" t="s">
        <v>3368</v>
      </c>
      <c r="E1218" s="1596"/>
      <c r="F1218" s="1597">
        <f>SUM(F1213:F1217)</f>
        <v>0</v>
      </c>
      <c r="G1218" s="2392"/>
      <c r="H1218" s="1599"/>
      <c r="I1218" s="1600">
        <f>SUM(I1213:I1217)</f>
        <v>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3355</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2440</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9016824</v>
      </c>
      <c r="Q1221" s="2395"/>
      <c r="R1221" s="1314"/>
      <c r="S1221" s="1314"/>
      <c r="V1221" s="1314"/>
    </row>
    <row r="1222" spans="1:22" ht="12.75" customHeight="1">
      <c r="C1222" s="1314"/>
      <c r="D1222" s="1589" t="s">
        <v>2441</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IF(K1222="","",K1222*L1222)</f>
        <v/>
      </c>
      <c r="P1222" s="2395"/>
      <c r="Q1222" s="2395"/>
      <c r="R1222" s="1314"/>
      <c r="S1222" s="1314"/>
      <c r="V1222" s="1314"/>
    </row>
    <row r="1223" spans="1:22" ht="12.75" customHeight="1">
      <c r="C1223" s="1314"/>
      <c r="D1223" s="1589" t="s">
        <v>2442</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IF(F1223="","",F1223*G1223)</f>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IF(K1223="","",K1223*L1223)</f>
        <v/>
      </c>
      <c r="P1223" s="1585" t="s">
        <v>4533</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IF(F1224="","",F1224*G1224)</f>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IF(K1224="","",K1224*L1224)</f>
        <v/>
      </c>
      <c r="O1224" s="1606"/>
      <c r="P1224" s="1585"/>
      <c r="Q1224" s="1585"/>
      <c r="R1224" s="1315"/>
      <c r="V1224" s="1314"/>
    </row>
    <row r="1225" spans="1:22">
      <c r="C1225" s="1314"/>
      <c r="D1225" s="1595" t="s">
        <v>3368</v>
      </c>
      <c r="E1225" s="1596"/>
      <c r="F1225" s="1597">
        <f>SUM(F1220:F1224)</f>
        <v>0</v>
      </c>
      <c r="G1225" s="2392"/>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3369</v>
      </c>
      <c r="B1227" s="1314"/>
      <c r="C1227" s="1314"/>
      <c r="D1227" s="1314"/>
      <c r="E1227" s="1317"/>
      <c r="F1227" s="2396">
        <f>F1204+F1211+F1218+F1225</f>
        <v>48</v>
      </c>
      <c r="G1227" s="1393"/>
      <c r="H1227" s="1406" t="e">
        <f>I1204+I1211+I1218+I1225</f>
        <v>#N/A</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3749</v>
      </c>
      <c r="D1228" s="1525"/>
      <c r="E1228" s="1525"/>
      <c r="F1228" s="1525"/>
      <c r="G1228" s="1525"/>
      <c r="H1228" s="1524"/>
      <c r="I1228" s="1578"/>
      <c r="J1228" s="1578"/>
      <c r="K1228" s="1580" t="s">
        <v>1866</v>
      </c>
      <c r="L1228" s="1316"/>
      <c r="M1228" s="1316"/>
      <c r="N1228" s="1316"/>
      <c r="O1228" s="1316"/>
      <c r="P1228" s="1585"/>
      <c r="Q1228" s="1585"/>
    </row>
    <row r="1229" spans="1:22" ht="81.599999999999994">
      <c r="A1229" s="1583" t="str">
        <f>'Part VIII-Threshold Criteria'!A71</f>
        <v>The total development cost for the project is below the cost limits for the Macon area.</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HFOP</v>
      </c>
      <c r="K1231" s="457"/>
      <c r="L1231" s="457"/>
      <c r="O1231" s="2388" t="s">
        <v>1867</v>
      </c>
      <c r="P1231" s="1317"/>
      <c r="Q1231" s="1317"/>
    </row>
    <row r="1232" spans="1:22">
      <c r="B1232" s="1525" t="s">
        <v>3749</v>
      </c>
      <c r="D1232" s="1525"/>
      <c r="E1232" s="1525"/>
      <c r="F1232" s="1525"/>
      <c r="G1232" s="1525"/>
      <c r="H1232" s="1524"/>
      <c r="I1232" s="1578"/>
      <c r="J1232" s="1578"/>
      <c r="K1232" s="1580" t="s">
        <v>1866</v>
      </c>
      <c r="L1232" s="1316"/>
      <c r="M1232" s="1316"/>
      <c r="N1232" s="1316"/>
      <c r="O1232" s="1316"/>
      <c r="P1232" s="1316"/>
      <c r="Q1232" s="1316"/>
    </row>
    <row r="1233" spans="1:22" ht="71.400000000000006">
      <c r="A1233" s="1583" t="str">
        <f>'Part VIII-Threshold Criteria'!A75</f>
        <v>The Applicant is targeting a HFOP 55+ tenancy for the proposed project.</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398" t="s">
        <v>4748</v>
      </c>
      <c r="M1235" s="2399" t="s">
        <v>4749</v>
      </c>
      <c r="O1235" s="2388" t="s">
        <v>1867</v>
      </c>
      <c r="P1235" s="1317"/>
      <c r="Q1235" s="1317"/>
    </row>
    <row r="1237" spans="1:22" ht="12.75" customHeight="1">
      <c r="A1237" s="1627" t="s">
        <v>1983</v>
      </c>
      <c r="B1237" s="1583" t="s">
        <v>4740</v>
      </c>
      <c r="C1237" s="1583"/>
      <c r="D1237" s="1583"/>
      <c r="E1237" s="1583"/>
      <c r="F1237" s="1583"/>
      <c r="G1237" s="1583"/>
      <c r="H1237" s="1583"/>
      <c r="I1237" s="1583"/>
      <c r="J1237" s="1583"/>
      <c r="L1237" s="1631" t="s">
        <v>2911</v>
      </c>
      <c r="M1237" s="1626">
        <v>2</v>
      </c>
      <c r="N1237" s="1604" t="s">
        <v>3694</v>
      </c>
      <c r="P1237" s="457" t="str">
        <f>'Part VIII-Threshold Criteria'!P79</f>
        <v>Agree</v>
      </c>
      <c r="Q1237" s="457"/>
    </row>
    <row r="1238" spans="1:22">
      <c r="A1238" s="1627"/>
      <c r="B1238" s="1583"/>
      <c r="C1238" s="1583"/>
      <c r="D1238" s="1583"/>
      <c r="E1238" s="1583"/>
      <c r="F1238" s="1583"/>
      <c r="G1238" s="1583"/>
      <c r="H1238" s="1583"/>
      <c r="I1238" s="1583"/>
      <c r="J1238" s="1583"/>
      <c r="L1238" s="1631" t="s">
        <v>4747</v>
      </c>
      <c r="M1238" s="1631">
        <v>4</v>
      </c>
      <c r="O1238" s="1583"/>
      <c r="P1238" s="457"/>
      <c r="Q1238" s="457"/>
    </row>
    <row r="1239" spans="1:22">
      <c r="A1239" s="1620" t="s">
        <v>1985</v>
      </c>
      <c r="B1239" s="1604" t="s">
        <v>4750</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4754</v>
      </c>
      <c r="D1240" s="1604"/>
      <c r="E1240" s="1604"/>
      <c r="F1240" s="1604"/>
      <c r="G1240" s="1604"/>
      <c r="H1240" s="1604"/>
      <c r="I1240" s="1604"/>
      <c r="J1240" s="1604"/>
      <c r="K1240" s="1583"/>
      <c r="L1240" s="1604"/>
      <c r="N1240" s="1604" t="s">
        <v>3694</v>
      </c>
      <c r="O1240" s="2400"/>
      <c r="P1240" s="1578">
        <f>'Part VIII-Threshold Criteria'!P82</f>
        <v>0</v>
      </c>
      <c r="Q1240" s="1578"/>
    </row>
    <row r="1241" spans="1:22">
      <c r="A1241" s="1620"/>
      <c r="B1241" s="1635" t="s">
        <v>1738</v>
      </c>
      <c r="C1241" s="1604" t="s">
        <v>4751</v>
      </c>
      <c r="D1241" s="1604"/>
      <c r="E1241" s="1604"/>
      <c r="F1241" s="1604"/>
      <c r="G1241" s="1604"/>
      <c r="H1241" s="1604"/>
      <c r="I1241" s="1604"/>
      <c r="J1241" s="1604"/>
      <c r="K1241" s="1583"/>
      <c r="L1241" s="1604"/>
      <c r="N1241" s="1604" t="s">
        <v>3694</v>
      </c>
      <c r="O1241" s="2400"/>
      <c r="P1241" s="1578" t="str">
        <f>'Part VIII-Threshold Criteria'!P83</f>
        <v>Agree</v>
      </c>
      <c r="Q1241" s="1578"/>
    </row>
    <row r="1242" spans="1:22">
      <c r="A1242" s="1627"/>
      <c r="B1242" s="1635" t="s">
        <v>1739</v>
      </c>
      <c r="C1242" s="1604" t="s">
        <v>4752</v>
      </c>
      <c r="E1242" s="1604"/>
      <c r="F1242" s="1604"/>
      <c r="G1242" s="1604"/>
      <c r="H1242" s="1604"/>
      <c r="I1242" s="1604"/>
      <c r="J1242" s="1604"/>
      <c r="K1242" s="1583"/>
      <c r="L1242" s="1604"/>
      <c r="M1242" s="2400"/>
      <c r="N1242" s="1604" t="s">
        <v>3694</v>
      </c>
      <c r="O1242" s="2400"/>
      <c r="P1242" s="1578" t="str">
        <f>'Part VIII-Threshold Criteria'!P84</f>
        <v>Agree</v>
      </c>
      <c r="Q1242" s="1578"/>
    </row>
    <row r="1243" spans="1:22">
      <c r="A1243" s="1762"/>
      <c r="B1243" s="1635" t="s">
        <v>2365</v>
      </c>
      <c r="C1243" s="1635" t="s">
        <v>4755</v>
      </c>
      <c r="D1243" s="1550"/>
      <c r="E1243" s="1550"/>
      <c r="F1243" s="1550"/>
      <c r="G1243" s="1550"/>
      <c r="H1243" s="1550"/>
      <c r="I1243" s="1314"/>
      <c r="J1243" s="1314"/>
      <c r="N1243" s="1604" t="s">
        <v>3694</v>
      </c>
      <c r="O1243" s="2400"/>
      <c r="P1243" s="1578">
        <f>'Part VIII-Threshold Criteria'!P85</f>
        <v>0</v>
      </c>
      <c r="Q1243" s="1578"/>
    </row>
    <row r="1244" spans="1:22">
      <c r="A1244" s="1762"/>
      <c r="B1244" s="1635"/>
      <c r="C1244" s="1604" t="s">
        <v>4756</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4753</v>
      </c>
      <c r="D1245" s="1583"/>
      <c r="E1245" s="1583"/>
      <c r="F1245" s="1583"/>
      <c r="G1245" s="1583"/>
      <c r="H1245" s="1583"/>
      <c r="I1245" s="1583"/>
      <c r="J1245" s="1583"/>
      <c r="K1245" s="1583"/>
      <c r="L1245" s="1583"/>
      <c r="M1245" s="1587"/>
      <c r="N1245" s="1604" t="s">
        <v>3694</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3749</v>
      </c>
      <c r="D1247" s="1525"/>
      <c r="E1247" s="1525"/>
      <c r="F1247" s="1525"/>
      <c r="G1247" s="1525"/>
      <c r="H1247" s="1524"/>
      <c r="I1247" s="1578"/>
      <c r="J1247" s="1578"/>
      <c r="K1247" s="1580" t="s">
        <v>1866</v>
      </c>
      <c r="L1247" s="1316"/>
      <c r="M1247" s="1316"/>
      <c r="N1247" s="1316"/>
      <c r="O1247" s="1316"/>
      <c r="P1247" s="1316"/>
      <c r="Q1247" s="1316"/>
    </row>
    <row r="1248" spans="1:22" ht="112.2">
      <c r="A1248" s="1583" t="str">
        <f>'Part VIII-Threshold Criteria'!A90</f>
        <v>Applicant certifies that they will include the number and kinds of services required in the QAP for the proposed tenancy.</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388"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Novogradac &amp; Company, LLP</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Three to Four Months</v>
      </c>
      <c r="N1253" s="457">
        <f>'Part VIII-Threshold Criteria'!N95</f>
        <v>0</v>
      </c>
      <c r="O1253" s="457">
        <f>'Part VIII-Threshold Criteria'!O95</f>
        <v>0</v>
      </c>
      <c r="P1253" s="1314">
        <f>'Part VIII-Threshold Criteria'!P95</f>
        <v>0</v>
      </c>
      <c r="Q1253" s="1578"/>
    </row>
    <row r="1254" spans="1:22">
      <c r="A1254" s="1620" t="s">
        <v>749</v>
      </c>
      <c r="B1254" s="457" t="s">
        <v>2879</v>
      </c>
      <c r="D1254" s="1550"/>
      <c r="E1254" s="1550"/>
      <c r="F1254" s="1550"/>
      <c r="L1254" s="1620" t="s">
        <v>749</v>
      </c>
      <c r="M1254" s="2401">
        <f>'Part VIII-Threshold Criteria'!M96</f>
        <v>0.96199999999999997</v>
      </c>
      <c r="N1254" s="2401">
        <f>'Part VIII-Threshold Criteria'!N96</f>
        <v>0</v>
      </c>
      <c r="O1254" s="2401">
        <f>'Part VIII-Threshold Criteria'!O96</f>
        <v>0</v>
      </c>
      <c r="P1254" s="1843">
        <f>'Part VIII-Threshold Criteria'!P96</f>
        <v>0</v>
      </c>
      <c r="Q1254" s="1578"/>
    </row>
    <row r="1255" spans="1:22">
      <c r="A1255" s="1620" t="s">
        <v>2115</v>
      </c>
      <c r="B1255" s="457" t="s">
        <v>3890</v>
      </c>
      <c r="D1255" s="1550"/>
      <c r="E1255" s="1550"/>
      <c r="F1255" s="1550"/>
      <c r="L1255" s="1620" t="s">
        <v>3891</v>
      </c>
      <c r="M1255" s="2402">
        <f>'Part VIII-Threshold Criteria'!M97</f>
        <v>0.17100000000000001</v>
      </c>
      <c r="N1255" s="2401"/>
      <c r="O1255" s="1623" t="s">
        <v>4122</v>
      </c>
      <c r="P1255" s="1766" t="str">
        <f>'Part VIII-Threshold Criteria'!P97</f>
        <v>N/A</v>
      </c>
      <c r="Q1255" s="1578"/>
    </row>
    <row r="1256" spans="1:22">
      <c r="A1256" s="1627" t="s">
        <v>1735</v>
      </c>
      <c r="B1256" s="1604" t="s">
        <v>3889</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2014-018</v>
      </c>
      <c r="E1258" s="457" t="str">
        <f>'Part VIII-Threshold Criteria'!E100</f>
        <v>Water Tower Park</v>
      </c>
      <c r="F1258" s="457">
        <f>'Part VIII-Threshold Criteria'!F100</f>
        <v>0</v>
      </c>
      <c r="G1258" s="457">
        <f>'Part VIII-Threshold Criteria'!G100</f>
        <v>0</v>
      </c>
      <c r="H1258" s="1620" t="s">
        <v>1739</v>
      </c>
      <c r="I1258" s="1578" t="str">
        <f>'Part VIII-Threshold Criteria'!I100</f>
        <v>2008-049</v>
      </c>
      <c r="J1258" s="457" t="str">
        <f>'Part VIII-Threshold Criteria'!J100</f>
        <v>Baldwin Park</v>
      </c>
      <c r="K1258" s="457">
        <f>'Part VIII-Threshold Criteria'!K100</f>
        <v>0</v>
      </c>
      <c r="L1258" s="457">
        <f>'Part VIII-Threshold Criteria'!L100</f>
        <v>0</v>
      </c>
      <c r="M1258" s="1620" t="s">
        <v>1549</v>
      </c>
      <c r="N1258" s="1578" t="str">
        <f>'Part VIII-Threshold Criteria'!N100</f>
        <v>2004-010</v>
      </c>
      <c r="O1258" s="457" t="str">
        <f>'Part VIII-Threshold Criteria'!O100</f>
        <v>Riverbend Apartments</v>
      </c>
      <c r="P1258" s="457">
        <f>'Part VIII-Threshold Criteria'!P100</f>
        <v>0</v>
      </c>
      <c r="Q1258" s="457">
        <f>'Part VIII-Threshold Criteria'!Q100</f>
        <v>0</v>
      </c>
    </row>
    <row r="1259" spans="1:22">
      <c r="C1259" s="1620" t="s">
        <v>1738</v>
      </c>
      <c r="D1259" s="1578" t="str">
        <f>'Part VIII-Threshold Criteria'!D101</f>
        <v>2011-020</v>
      </c>
      <c r="E1259" s="457" t="str">
        <f>'Part VIII-Threshold Criteria'!E101</f>
        <v>Heritage Vista Apartments</v>
      </c>
      <c r="F1259" s="457">
        <f>'Part VIII-Threshold Criteria'!F101</f>
        <v>0</v>
      </c>
      <c r="G1259" s="457">
        <f>'Part VIII-Threshold Criteria'!G101</f>
        <v>0</v>
      </c>
      <c r="H1259" s="1620" t="s">
        <v>2365</v>
      </c>
      <c r="I1259" s="1578" t="str">
        <f>'Part VIII-Threshold Criteria'!I101</f>
        <v>2004-031</v>
      </c>
      <c r="J1259" s="457" t="str">
        <f>'Part VIII-Threshold Criteria'!J101</f>
        <v>Pecan Hills of Milledgeville</v>
      </c>
      <c r="K1259" s="457">
        <f>'Part VIII-Threshold Criteria'!K101</f>
        <v>0</v>
      </c>
      <c r="L1259" s="457">
        <f>'Part VIII-Threshold Criteria'!L101</f>
        <v>0</v>
      </c>
      <c r="M1259" s="1620" t="s">
        <v>1550</v>
      </c>
      <c r="N1259" s="1578" t="str">
        <f>'Part VIII-Threshold Criteria'!N101</f>
        <v>2003-049</v>
      </c>
      <c r="O1259" s="457" t="str">
        <f>'Part VIII-Threshold Criteria'!O101</f>
        <v>Dulles Park</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3749</v>
      </c>
      <c r="D1261" s="1525"/>
      <c r="E1261" s="1525"/>
      <c r="F1261" s="1525"/>
      <c r="G1261" s="1525"/>
      <c r="H1261" s="1524"/>
      <c r="I1261" s="1578"/>
      <c r="J1261" s="1578"/>
      <c r="K1261" s="1578"/>
      <c r="L1261" s="1316"/>
      <c r="M1261" s="1316"/>
      <c r="N1261" s="1316"/>
      <c r="O1261" s="1316"/>
      <c r="P1261" s="1316"/>
      <c r="Q1261" s="1316"/>
    </row>
    <row r="1262" spans="1:22" ht="409.6">
      <c r="A1262" s="1583" t="str">
        <f>'Part VIII-Threshold Criteria'!A104</f>
        <v>The LIHTC comparables are experiencing a weighted average vacancy rate of 2.7 percent and three of the six LIHTC properties report vacancy levels under 2 percent. Futhermore, all but one of the comparable senior LIHTC properties maintain waiting lists, ranging from six to 40 households. Please see Tab 5 of the Application for the Market Study.
Additional DCA funded project in the PMA: 2001-009 Waterford Place Apartments</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388" t="s">
        <v>1867</v>
      </c>
      <c r="P1265" s="1317"/>
      <c r="Q1265" s="1317"/>
    </row>
    <row r="1267" spans="1:22">
      <c r="B1267" s="1051" t="s">
        <v>4932</v>
      </c>
      <c r="P1267" s="1578">
        <f>'Part VIII-Threshold Criteria'!P109</f>
        <v>0</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4757</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3471</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3472</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2880</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t="str">
        <f>'Part VIII-Threshold Criteria'!P118</f>
        <v>No</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Yes</v>
      </c>
      <c r="Q1278" s="1578"/>
    </row>
    <row r="1279" spans="1:22">
      <c r="B1279" s="1524" t="s">
        <v>1738</v>
      </c>
      <c r="C1279" s="457" t="s">
        <v>1430</v>
      </c>
      <c r="E1279" s="457"/>
      <c r="F1279" s="457"/>
      <c r="G1279" s="457"/>
      <c r="H1279" s="457"/>
      <c r="I1279" s="457"/>
      <c r="J1279" s="457"/>
      <c r="K1279" s="457"/>
      <c r="L1279" s="1524"/>
      <c r="M1279" s="1524"/>
      <c r="O1279" s="1620" t="s">
        <v>1738</v>
      </c>
      <c r="P1279" s="1578">
        <f>'Part VIII-Threshold Criteria'!P121</f>
        <v>0</v>
      </c>
      <c r="Q1279" s="1578"/>
    </row>
    <row r="1280" spans="1:22">
      <c r="B1280" s="1524" t="s">
        <v>1739</v>
      </c>
      <c r="C1280" s="457" t="s">
        <v>1431</v>
      </c>
      <c r="E1280" s="457"/>
      <c r="F1280" s="457"/>
      <c r="G1280" s="457"/>
      <c r="H1280" s="457"/>
      <c r="I1280" s="457"/>
      <c r="J1280" s="457"/>
      <c r="K1280" s="457"/>
      <c r="L1280" s="1524"/>
      <c r="M1280" s="1524"/>
      <c r="O1280" s="1620" t="s">
        <v>1739</v>
      </c>
      <c r="P1280" s="1578">
        <f>'Part VIII-Threshold Criteria'!P122</f>
        <v>0</v>
      </c>
      <c r="Q1280" s="1578"/>
    </row>
    <row r="1281" spans="1:22">
      <c r="B1281" s="1525" t="s">
        <v>3749</v>
      </c>
      <c r="D1281" s="1525"/>
      <c r="E1281" s="1525"/>
      <c r="F1281" s="1525"/>
      <c r="G1281" s="1525"/>
      <c r="H1281" s="1524"/>
      <c r="I1281" s="1578"/>
      <c r="J1281" s="1578"/>
      <c r="K1281" s="1578"/>
      <c r="L1281" s="1316"/>
      <c r="M1281" s="1316"/>
      <c r="N1281" s="1316"/>
      <c r="O1281" s="1316"/>
      <c r="P1281" s="1316"/>
      <c r="Q1281" s="1316"/>
    </row>
    <row r="1282" spans="1:22" ht="102">
      <c r="A1282" s="1583" t="str">
        <f>'Part VIII-Threshold Criteria'!A124</f>
        <v>There is not an identity of interest between the buyer and seller. An appraisal is not included in the application.</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388" t="s">
        <v>1867</v>
      </c>
      <c r="P1285" s="1317"/>
      <c r="Q1285" s="1317"/>
    </row>
    <row r="1287" spans="1:22">
      <c r="A1287" s="1620" t="s">
        <v>1983</v>
      </c>
      <c r="B1287" s="457" t="s">
        <v>3634</v>
      </c>
      <c r="D1287" s="1550"/>
      <c r="E1287" s="1550"/>
      <c r="F1287" s="1550"/>
      <c r="G1287" s="1550"/>
      <c r="H1287" s="1550"/>
      <c r="I1287" s="1314"/>
      <c r="J1287" s="1314"/>
      <c r="K1287" s="1620" t="s">
        <v>1983</v>
      </c>
      <c r="L1287" s="1317" t="str">
        <f>'Part VIII-Threshold Criteria'!L129</f>
        <v>Geotechnical &amp; Environmental Consultants,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Geotechnical &amp; Environmental Consultants, Inc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3473</v>
      </c>
      <c r="E1291" s="1314"/>
      <c r="F1291" s="1314"/>
      <c r="G1291" s="1314"/>
      <c r="H1291" s="457"/>
      <c r="I1291" s="1314"/>
      <c r="J1291" s="1314"/>
      <c r="K1291" s="1550"/>
      <c r="L1291" s="1517"/>
      <c r="M1291" s="1517"/>
      <c r="O1291" s="1620" t="s">
        <v>1738</v>
      </c>
      <c r="P1291" s="1578">
        <f>'Part VIII-Threshold Criteria'!P133</f>
        <v>56.6</v>
      </c>
      <c r="Q1291" s="1578"/>
    </row>
    <row r="1292" spans="1:22">
      <c r="A1292" s="1511"/>
      <c r="B1292" s="1524" t="s">
        <v>1739</v>
      </c>
      <c r="C1292" s="457" t="s">
        <v>4741</v>
      </c>
      <c r="E1292" s="1314"/>
      <c r="F1292" s="1314"/>
      <c r="G1292" s="1314"/>
      <c r="H1292" s="457"/>
      <c r="I1292" s="1314"/>
      <c r="J1292" s="1314"/>
      <c r="K1292" s="1550"/>
      <c r="L1292" s="1517"/>
      <c r="M1292" s="1517"/>
      <c r="O1292" s="1620" t="s">
        <v>1739</v>
      </c>
      <c r="P1292" s="1578" t="str">
        <f>'Part VIII-Threshold Criteria'!P134</f>
        <v>N/A</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03">
        <f>'Part VIII-Threshold Criteria'!P138</f>
        <v>0</v>
      </c>
      <c r="Q1296" s="2403"/>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Yes</v>
      </c>
      <c r="Q1299" s="1578"/>
    </row>
    <row r="1300" spans="1:17">
      <c r="A1300" s="1620"/>
      <c r="B1300" s="1620"/>
      <c r="C1300" s="457" t="s">
        <v>2632</v>
      </c>
      <c r="E1300" s="1620" t="s">
        <v>2435</v>
      </c>
      <c r="F1300" s="457" t="s">
        <v>2636</v>
      </c>
      <c r="G1300" s="1314"/>
      <c r="H1300" s="457"/>
      <c r="I1300" s="1314"/>
      <c r="J1300" s="1314"/>
      <c r="K1300" s="1550"/>
      <c r="L1300" s="1517"/>
      <c r="O1300" s="1620" t="s">
        <v>2435</v>
      </c>
      <c r="P1300" s="2403">
        <f>'Part VIII-Threshold Criteria'!P142</f>
        <v>0.1198</v>
      </c>
      <c r="Q1300" s="2403"/>
    </row>
    <row r="1301" spans="1:17">
      <c r="A1301" s="1620"/>
      <c r="B1301" s="1620"/>
      <c r="E1301" s="1620" t="s">
        <v>2436</v>
      </c>
      <c r="F1301" s="457" t="s">
        <v>2637</v>
      </c>
      <c r="G1301" s="1314"/>
      <c r="H1301" s="457"/>
      <c r="I1301" s="1314"/>
      <c r="J1301" s="1314"/>
      <c r="O1301" s="1620" t="s">
        <v>2436</v>
      </c>
      <c r="P1301" s="1578" t="str">
        <f>'Part VIII-Threshold Criteria'!P143</f>
        <v>Yes</v>
      </c>
      <c r="Q1301" s="1578"/>
    </row>
    <row r="1302" spans="1:17">
      <c r="A1302" s="1620"/>
      <c r="B1302" s="1620"/>
      <c r="E1302" s="1620" t="s">
        <v>2437</v>
      </c>
      <c r="F1302" s="457" t="s">
        <v>2635</v>
      </c>
      <c r="G1302" s="1314"/>
      <c r="H1302" s="457"/>
      <c r="I1302" s="1314"/>
      <c r="J1302" s="1314"/>
      <c r="O1302" s="1620" t="s">
        <v>2437</v>
      </c>
      <c r="P1302" s="1578" t="str">
        <f>'Part VIII-Threshold Criteria'!P144</f>
        <v>Yes</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4976</v>
      </c>
      <c r="I1304" s="1051" t="s">
        <v>2640</v>
      </c>
      <c r="L1304" s="1578" t="str">
        <f>'Part VIII-Threshold Criteria'!L146</f>
        <v>No</v>
      </c>
      <c r="M1304" s="1578"/>
      <c r="N1304" s="1620" t="s">
        <v>4980</v>
      </c>
      <c r="O1304" s="457" t="s">
        <v>1552</v>
      </c>
      <c r="P1304" s="1578" t="str">
        <f>'Part VIII-Threshold Criteria'!P146</f>
        <v>No</v>
      </c>
      <c r="Q1304" s="1578"/>
    </row>
    <row r="1305" spans="1:17">
      <c r="A1305" s="457"/>
      <c r="B1305" s="1524" t="s">
        <v>1738</v>
      </c>
      <c r="C1305" s="457" t="s">
        <v>2803</v>
      </c>
      <c r="E1305" s="1550"/>
      <c r="F1305" s="1578" t="str">
        <f>'Part VIII-Threshold Criteria'!F147</f>
        <v>No</v>
      </c>
      <c r="G1305" s="1578"/>
      <c r="H1305" s="1620" t="s">
        <v>4977</v>
      </c>
      <c r="I1305" s="1051" t="s">
        <v>2641</v>
      </c>
      <c r="L1305" s="1578" t="str">
        <f>'Part VIII-Threshold Criteria'!L147</f>
        <v>No</v>
      </c>
      <c r="M1305" s="1578"/>
      <c r="N1305" s="1620" t="s">
        <v>4981</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4978</v>
      </c>
      <c r="I1306" s="1051" t="s">
        <v>3841</v>
      </c>
      <c r="L1306" s="1578" t="str">
        <f>'Part VIII-Threshold Criteria'!L148</f>
        <v>No</v>
      </c>
      <c r="M1306" s="1578"/>
      <c r="N1306" s="1620" t="s">
        <v>4982</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4979</v>
      </c>
      <c r="I1307" s="457" t="s">
        <v>2802</v>
      </c>
      <c r="L1307" s="1578" t="str">
        <f>'Part VIII-Threshold Criteria'!L149</f>
        <v>No</v>
      </c>
      <c r="M1307" s="1578"/>
      <c r="O1307" s="1620"/>
    </row>
    <row r="1308" spans="1:17">
      <c r="A1308" s="457"/>
      <c r="B1308" s="1524" t="s">
        <v>2894</v>
      </c>
      <c r="C1308" s="457" t="s">
        <v>2804</v>
      </c>
      <c r="E1308" s="1550"/>
      <c r="F1308" s="1550"/>
      <c r="G1308" s="1550"/>
      <c r="H1308" s="1550"/>
      <c r="I1308" s="1550"/>
      <c r="J1308" s="1550"/>
      <c r="K1308" s="1550"/>
      <c r="L1308" s="1550"/>
      <c r="M1308" s="457"/>
      <c r="O1308" s="1620"/>
      <c r="P1308" s="1620"/>
    </row>
    <row r="1309" spans="1:17" ht="91.8">
      <c r="A1309" s="457"/>
      <c r="C1309" s="1550" t="str">
        <f>'Part VIII-Threshold Criteria'!C151</f>
        <v>There will be a crossing over wetlands but the disturbance is not expected to exceed 0.1 acres</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3570</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4958</v>
      </c>
      <c r="E1314" s="457"/>
      <c r="F1314" s="457"/>
      <c r="G1314" s="457"/>
      <c r="H1314" s="457"/>
      <c r="I1314" s="1314"/>
      <c r="J1314" s="1314"/>
      <c r="K1314" s="457"/>
      <c r="L1314" s="457"/>
      <c r="M1314" s="457"/>
      <c r="O1314" s="1620" t="s">
        <v>1739</v>
      </c>
      <c r="P1314" s="1578">
        <f>'Part VIII-Threshold Criteria'!P156</f>
        <v>0</v>
      </c>
      <c r="Q1314" s="1578"/>
    </row>
    <row r="1315" spans="1:22">
      <c r="A1315" s="1051" t="s">
        <v>3463</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4534</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3749</v>
      </c>
      <c r="D1317" s="1525"/>
      <c r="E1317" s="1525"/>
      <c r="F1317" s="1525"/>
      <c r="G1317" s="1525"/>
      <c r="H1317" s="1524"/>
      <c r="I1317" s="1578"/>
      <c r="J1317" s="1578"/>
      <c r="K1317" s="1578"/>
      <c r="L1317" s="1316"/>
      <c r="M1317" s="1316"/>
      <c r="N1317" s="1316"/>
      <c r="O1317" s="1316"/>
      <c r="P1317" s="1316"/>
      <c r="Q1317" s="1316"/>
    </row>
    <row r="1318" spans="1:22" ht="40.799999999999997">
      <c r="A1318" s="1583" t="str">
        <f>'Part VIII-Threshold Criteria'!A160</f>
        <v>Project did not receive HOME Funds.</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388" t="s">
        <v>1867</v>
      </c>
      <c r="P1323" s="1317"/>
      <c r="Q1323" s="1317"/>
    </row>
    <row r="1324" spans="1:22">
      <c r="A1324" s="1620" t="s">
        <v>1983</v>
      </c>
      <c r="B1324" s="457" t="s">
        <v>5082</v>
      </c>
      <c r="D1324" s="457"/>
      <c r="E1324" s="457"/>
      <c r="F1324" s="457"/>
      <c r="G1324" s="457"/>
      <c r="H1324" s="457" t="s">
        <v>2707</v>
      </c>
      <c r="K1324" s="2404" t="str">
        <f>'Part VIII-Threshold Criteria'!K166</f>
        <v>12.31.2019</v>
      </c>
      <c r="L1324" s="2404">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Dulles Park II,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3749</v>
      </c>
      <c r="D1327" s="1525"/>
      <c r="E1327" s="1525"/>
      <c r="F1327" s="1525"/>
      <c r="G1327" s="1525"/>
      <c r="H1327" s="1524"/>
      <c r="I1327" s="1578"/>
      <c r="J1327" s="1578"/>
      <c r="K1327" s="1578"/>
      <c r="L1327" s="1316"/>
      <c r="M1327" s="1316"/>
      <c r="N1327" s="1316"/>
      <c r="O1327" s="1316"/>
      <c r="P1327" s="1316"/>
      <c r="Q1327" s="1316"/>
    </row>
    <row r="1328" spans="1:22" ht="61.2">
      <c r="A1328" s="1583" t="str">
        <f>'Part VIII-Threshold Criteria'!A170</f>
        <v>Please see Tab 08 for site control through November 30, 2019.</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388" t="s">
        <v>1867</v>
      </c>
      <c r="P1332" s="1317"/>
      <c r="Q1332" s="1317"/>
    </row>
    <row r="1333" spans="1:22" ht="12.75" customHeight="1">
      <c r="A1333" s="1627" t="s">
        <v>1983</v>
      </c>
      <c r="B1333" s="1583" t="s">
        <v>3740</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4758</v>
      </c>
      <c r="C1334" s="1583"/>
      <c r="D1334" s="1583"/>
      <c r="E1334" s="1583"/>
      <c r="F1334" s="1583"/>
      <c r="G1334" s="1583"/>
      <c r="H1334" s="1583"/>
      <c r="I1334" s="1583"/>
      <c r="J1334" s="1583"/>
      <c r="K1334" s="1583"/>
      <c r="L1334" s="1583"/>
      <c r="M1334" s="1583"/>
      <c r="N1334" s="1583"/>
      <c r="O1334" s="1627" t="s">
        <v>1985</v>
      </c>
      <c r="P1334" s="1631" t="str">
        <f>'Part VIII-Threshold Criteria'!P176</f>
        <v>N/Ap</v>
      </c>
      <c r="Q1334" s="1631"/>
    </row>
    <row r="1335" spans="1:22" ht="12.75" customHeight="1">
      <c r="A1335" s="1627" t="s">
        <v>749</v>
      </c>
      <c r="B1335" s="1583" t="s">
        <v>3741</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2115</v>
      </c>
      <c r="B1336" s="1583" t="s">
        <v>4902</v>
      </c>
      <c r="C1336" s="1583"/>
      <c r="D1336" s="1583"/>
      <c r="E1336" s="1583"/>
      <c r="F1336" s="1583"/>
      <c r="G1336" s="1583"/>
      <c r="H1336" s="1583"/>
      <c r="I1336" s="1583"/>
      <c r="J1336" s="1583"/>
      <c r="K1336" s="1583"/>
      <c r="L1336" s="1583"/>
      <c r="M1336" s="1583"/>
      <c r="N1336" s="1583"/>
      <c r="O1336" s="1627" t="s">
        <v>2115</v>
      </c>
      <c r="P1336" s="1631" t="str">
        <f>'Part VIII-Threshold Criteria'!P178</f>
        <v>N/Ap</v>
      </c>
      <c r="Q1336" s="1631"/>
    </row>
    <row r="1337" spans="1:22">
      <c r="B1337" s="1525" t="s">
        <v>3749</v>
      </c>
      <c r="D1337" s="1525"/>
      <c r="E1337" s="1525"/>
      <c r="F1337" s="1525"/>
      <c r="G1337" s="1525"/>
      <c r="H1337" s="1524"/>
      <c r="I1337" s="1578"/>
      <c r="J1337" s="1578"/>
      <c r="K1337" s="1578"/>
      <c r="L1337" s="1316"/>
      <c r="M1337" s="1316"/>
      <c r="N1337" s="1316"/>
      <c r="O1337" s="1316"/>
      <c r="P1337" s="1316"/>
      <c r="Q1337" s="1316"/>
    </row>
    <row r="1338" spans="1:22" ht="255">
      <c r="A1338" s="1583" t="str">
        <f>'Part VIII-Threshold Criteria'!A180</f>
        <v>The site is legally accessible by paved roads and documentation reflecting this is included in the application.  There is both an entry through Dulles Park that is documented via an easement in tab 9 and an alternate access directly to Old Clinton Rd.</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388"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4919</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4536</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3742</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3892</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3749</v>
      </c>
      <c r="D1354" s="1525"/>
      <c r="E1354" s="1525"/>
      <c r="F1354" s="1525"/>
      <c r="G1354" s="1525"/>
      <c r="H1354" s="1524"/>
      <c r="I1354" s="1578"/>
      <c r="J1354" s="1578"/>
      <c r="K1354" s="1578"/>
      <c r="L1354" s="1316"/>
      <c r="M1354" s="1316"/>
      <c r="N1354" s="1316"/>
      <c r="O1354" s="1316"/>
      <c r="P1354" s="1316"/>
      <c r="Q1354" s="1316"/>
    </row>
    <row r="1355" spans="1:22" ht="71.400000000000006">
      <c r="A1355" s="1583" t="str">
        <f>'Part VIII-Threshold Criteria'!A197</f>
        <v>Please see Tab 10 for evidence the propject is in compliance with zoning regulations.</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388" t="s">
        <v>1867</v>
      </c>
      <c r="P1359" s="1317"/>
      <c r="Q1359" s="1317"/>
    </row>
    <row r="1360" spans="1:22" ht="12.75" customHeight="1">
      <c r="A1360" s="1550" t="s">
        <v>5073</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620" t="s">
        <v>1737</v>
      </c>
      <c r="P1361" s="1578">
        <f>'Part VIII-Threshold Criteria'!P203</f>
        <v>0</v>
      </c>
      <c r="Q1361" s="1578"/>
    </row>
    <row r="1362" spans="1:22">
      <c r="A1362" s="1511"/>
      <c r="B1362" s="1525" t="s">
        <v>3749</v>
      </c>
      <c r="C1362" s="1521"/>
      <c r="D1362" s="1521"/>
      <c r="E1362" s="1521"/>
      <c r="F1362" s="1521"/>
      <c r="H1362" s="1620" t="s">
        <v>1738</v>
      </c>
      <c r="I1362" s="457" t="s">
        <v>1596</v>
      </c>
      <c r="J1362" s="457" t="str">
        <f>'Part VIII-Threshold Criteria'!J204</f>
        <v>Georgia Power Company</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51">
      <c r="A1363" s="1583" t="str">
        <f>'Part VIII-Threshold Criteria'!A205</f>
        <v>Operating Utiities Confirmed by Georgia Power</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388"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City of Gray</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Gray</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3898</v>
      </c>
      <c r="C1370" s="1794"/>
      <c r="D1370" s="457"/>
      <c r="E1370" s="457"/>
      <c r="F1370" s="457"/>
      <c r="G1370" s="457"/>
      <c r="H1370" s="457"/>
      <c r="I1370" s="457"/>
      <c r="J1370" s="457"/>
      <c r="K1370" s="1314"/>
      <c r="L1370" s="457"/>
      <c r="M1370" s="457"/>
      <c r="N1370" s="1794"/>
      <c r="O1370" s="1620" t="s">
        <v>1985</v>
      </c>
      <c r="P1370" s="1578" t="str">
        <f>'Part VIII-Threshold Criteria'!P212</f>
        <v>No</v>
      </c>
      <c r="Q1370" s="1578"/>
    </row>
    <row r="1371" spans="1:22">
      <c r="A1371" s="1620" t="s">
        <v>749</v>
      </c>
      <c r="B1371" s="457" t="s">
        <v>3899</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3749</v>
      </c>
      <c r="D1372" s="1525"/>
      <c r="E1372" s="1525"/>
      <c r="F1372" s="1525"/>
      <c r="G1372" s="1525"/>
      <c r="H1372" s="1524"/>
      <c r="I1372" s="1578"/>
      <c r="J1372" s="1578"/>
      <c r="K1372" s="1578"/>
      <c r="L1372" s="1316"/>
      <c r="M1372" s="1316"/>
      <c r="N1372" s="1316"/>
      <c r="O1372" s="1316"/>
      <c r="P1372" s="1316"/>
      <c r="Q1372" s="1316"/>
    </row>
    <row r="1373" spans="1:22" ht="71.400000000000006">
      <c r="A1373" s="1583" t="str">
        <f>'Part VIII-Threshold Criteria'!A215</f>
        <v>Water and Sewer Availability and Capacity conefirmed by the City of Gray</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388" t="s">
        <v>1867</v>
      </c>
      <c r="P1377" s="1317"/>
      <c r="Q1377" s="1317"/>
    </row>
    <row r="1378" spans="1:22">
      <c r="B1378" s="1051" t="s">
        <v>1192</v>
      </c>
      <c r="N1378" s="1320"/>
      <c r="P1378" s="457" t="str">
        <f>'Part VIII-Threshold Criteria'!P220</f>
        <v>No</v>
      </c>
      <c r="Q1378" s="457"/>
    </row>
    <row r="1379" spans="1:22">
      <c r="A1379" s="1620" t="s">
        <v>1983</v>
      </c>
      <c r="B1379" s="457" t="s">
        <v>4537</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Building</v>
      </c>
      <c r="L1380" s="457">
        <f>'Part VIII-Threshold Criteria'!L222</f>
        <v>0</v>
      </c>
      <c r="Q1380" s="1578"/>
    </row>
    <row r="1381" spans="1:22">
      <c r="A1381" s="1620"/>
      <c r="B1381" s="1524" t="s">
        <v>1738</v>
      </c>
      <c r="C1381" s="1524" t="s">
        <v>4743</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4746</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4745</v>
      </c>
      <c r="E1383" s="1524"/>
      <c r="F1383" s="1524"/>
      <c r="G1383" s="1524"/>
      <c r="H1383" s="1524"/>
      <c r="I1383" s="1314"/>
      <c r="J1383" s="1620" t="s">
        <v>4744</v>
      </c>
      <c r="K1383" s="457" t="str">
        <f>'Part VIII-Threshold Criteria'!K225</f>
        <v>W&amp;D installed in each unit</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5106</v>
      </c>
      <c r="D1385" s="457"/>
      <c r="E1385" s="457"/>
      <c r="F1385" s="457"/>
      <c r="G1385" s="457"/>
      <c r="H1385" s="457"/>
      <c r="I1385" s="457"/>
      <c r="J1385" s="457"/>
      <c r="K1385" s="1314"/>
      <c r="L1385" s="1314"/>
      <c r="M1385" s="1314"/>
      <c r="N1385" s="1620" t="s">
        <v>3603</v>
      </c>
      <c r="O1385" s="2405">
        <f>'Part VI-Revenues &amp; Expenses'!$O$67</f>
        <v>48</v>
      </c>
      <c r="P1385" s="1638" t="s">
        <v>4973</v>
      </c>
      <c r="Q1385" s="1638"/>
    </row>
    <row r="1386" spans="1:22">
      <c r="A1386" s="1620"/>
      <c r="B1386" s="1524" t="s">
        <v>1737</v>
      </c>
      <c r="C1386" s="457" t="s">
        <v>4974</v>
      </c>
      <c r="D1386" s="457"/>
      <c r="E1386" s="457"/>
      <c r="F1386" s="457"/>
      <c r="H1386" s="1620" t="s">
        <v>4975</v>
      </c>
      <c r="I1386" s="457" t="s">
        <v>5311</v>
      </c>
      <c r="M1386" s="1314"/>
      <c r="N1386" s="1314"/>
      <c r="O1386" s="1639"/>
      <c r="P1386" s="1781" t="s">
        <v>773</v>
      </c>
      <c r="Q1386" s="1781" t="s">
        <v>4972</v>
      </c>
    </row>
    <row r="1387" spans="1:22" ht="15" customHeight="1">
      <c r="A1387" s="1578"/>
      <c r="B1387" s="1620" t="s">
        <v>2116</v>
      </c>
      <c r="C1387" s="1583" t="str">
        <f>'Part VIII-Threshold Criteria'!C229</f>
        <v xml:space="preserve">Equipped Computer Center and WiFi </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Furnished Exercise /Fitness Center</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Wellness Center</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4983</v>
      </c>
      <c r="C1390" s="1583">
        <f>'Part VIII-Threshold Criteria'!C232</f>
        <v>0</v>
      </c>
      <c r="D1390" s="1583">
        <f>'Part VIII-Threshold Criteria'!D232</f>
        <v>0</v>
      </c>
      <c r="E1390" s="1583">
        <f>'Part VIII-Threshold Criteria'!E232</f>
        <v>0</v>
      </c>
      <c r="F1390" s="1583">
        <f>'Part VIII-Threshold Criteria'!F232</f>
        <v>0</v>
      </c>
      <c r="G1390" s="1583">
        <f>'Part VIII-Threshold Criteria'!G232</f>
        <v>0</v>
      </c>
      <c r="H1390" s="1620" t="s">
        <v>4983</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3465</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f>'Part VIII-Threshold Criteria'!P240</f>
        <v>0</v>
      </c>
      <c r="Q1398" s="1578"/>
    </row>
    <row r="1399" spans="1:22">
      <c r="A1399" s="1620" t="s">
        <v>2115</v>
      </c>
      <c r="B1399" s="457" t="s">
        <v>3660</v>
      </c>
      <c r="C1399" s="457"/>
      <c r="E1399" s="457"/>
      <c r="F1399" s="457"/>
      <c r="G1399" s="457"/>
      <c r="H1399" s="457"/>
      <c r="I1399" s="457"/>
      <c r="J1399" s="457"/>
      <c r="K1399" s="1314"/>
      <c r="M1399" s="1620" t="s">
        <v>4828</v>
      </c>
      <c r="N1399" s="1524" t="str">
        <f>'Part I-Project Information'!$H$82</f>
        <v>HFOP</v>
      </c>
      <c r="O1399" s="1620" t="s">
        <v>2115</v>
      </c>
      <c r="P1399" s="1578" t="str">
        <f>'Part VIII-Threshold Criteria'!P241</f>
        <v>Agree</v>
      </c>
      <c r="Q1399" s="1578"/>
    </row>
    <row r="1400" spans="1:22">
      <c r="B1400" s="1620" t="s">
        <v>1737</v>
      </c>
      <c r="C1400" s="457" t="s">
        <v>1255</v>
      </c>
      <c r="E1400" s="1314"/>
      <c r="F1400" s="1314"/>
      <c r="G1400" s="457"/>
      <c r="H1400" s="1524"/>
      <c r="I1400" s="1314"/>
      <c r="J1400" s="1524"/>
      <c r="K1400" s="1314"/>
      <c r="L1400" s="1524"/>
      <c r="M1400" s="1524"/>
      <c r="O1400" s="1620" t="s">
        <v>1737</v>
      </c>
      <c r="P1400" s="1578" t="str">
        <f>'Part VIII-Threshold Criteria'!P242</f>
        <v>No</v>
      </c>
      <c r="Q1400" s="1578"/>
    </row>
    <row r="1401" spans="1:22">
      <c r="B1401" s="1620" t="s">
        <v>1738</v>
      </c>
      <c r="C1401" s="457" t="s">
        <v>4759</v>
      </c>
      <c r="E1401" s="1314"/>
      <c r="F1401" s="1314"/>
      <c r="G1401" s="1524"/>
      <c r="H1401" s="1524"/>
      <c r="I1401" s="1314"/>
      <c r="J1401" s="1524"/>
      <c r="K1401" s="1314"/>
      <c r="L1401" s="1524"/>
      <c r="M1401" s="1524"/>
      <c r="O1401" s="1620" t="s">
        <v>1738</v>
      </c>
      <c r="P1401" s="1578" t="str">
        <f>'Part VIII-Threshold Criteria'!P243</f>
        <v>No</v>
      </c>
      <c r="Q1401" s="1578"/>
    </row>
    <row r="1402" spans="1:22">
      <c r="B1402" s="1525" t="s">
        <v>3749</v>
      </c>
      <c r="D1402" s="1525"/>
      <c r="E1402" s="1525"/>
      <c r="F1402" s="1525"/>
      <c r="G1402" s="1525"/>
      <c r="H1402" s="1524"/>
      <c r="I1402" s="1578"/>
      <c r="J1402" s="1578"/>
      <c r="K1402" s="1578"/>
      <c r="L1402" s="1316"/>
      <c r="M1402" s="1316"/>
      <c r="N1402" s="1316"/>
      <c r="O1402" s="1316"/>
      <c r="P1402" s="1316"/>
      <c r="Q1402" s="1316"/>
    </row>
    <row r="1403" spans="1:22" ht="132.6">
      <c r="A1403" s="1583" t="str">
        <f>'Part VIII-Threshold Criteria'!A245</f>
        <v>Applicant agrees to provide the above required amenities in conformance with DCA Amentities Guidebook. All  buildings will be single-story.</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2406"/>
      <c r="O1407" s="2388"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4903</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4765</v>
      </c>
      <c r="D1413" s="457"/>
      <c r="E1413" s="457"/>
      <c r="F1413" s="457"/>
    </row>
    <row r="1414" spans="1:17">
      <c r="A1414" s="1620"/>
      <c r="C1414" s="457" t="s">
        <v>4762</v>
      </c>
      <c r="D1414" s="457"/>
      <c r="E1414" s="457"/>
      <c r="F1414" s="457"/>
      <c r="K1414" s="457" t="s">
        <v>4761</v>
      </c>
      <c r="L1414" s="2401">
        <f>'Part VIII-Threshold Criteria'!L256</f>
        <v>0</v>
      </c>
      <c r="M1414" s="457"/>
      <c r="N1414" s="2408"/>
      <c r="O1414" s="2408"/>
      <c r="P1414" s="457">
        <f>'Part VIII-Threshold Criteria'!P256</f>
        <v>0</v>
      </c>
      <c r="Q1414" s="457"/>
    </row>
    <row r="1415" spans="1:17">
      <c r="A1415" s="1620"/>
      <c r="B1415" s="457"/>
      <c r="C1415" s="1051" t="s">
        <v>4763</v>
      </c>
      <c r="D1415" s="457"/>
      <c r="E1415" s="457"/>
      <c r="F1415" s="457"/>
      <c r="K1415" s="1620" t="s">
        <v>4764</v>
      </c>
      <c r="L1415" s="2409">
        <f>'Part VIII-Threshold Criteria'!L257</f>
        <v>0</v>
      </c>
      <c r="M1415" s="457"/>
      <c r="N1415" s="1640"/>
      <c r="O1415" s="1640"/>
      <c r="P1415" s="1578">
        <f>'Part VIII-Threshold Criteria'!P257</f>
        <v>0</v>
      </c>
      <c r="Q1415" s="1578"/>
    </row>
    <row r="1416" spans="1:17">
      <c r="A1416" s="1620"/>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3901</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3757</v>
      </c>
      <c r="C1418" s="1583"/>
      <c r="D1418" s="1583"/>
      <c r="E1418" s="1583"/>
      <c r="F1418" s="1583"/>
      <c r="G1418" s="1583"/>
      <c r="H1418" s="1051" t="s">
        <v>4110</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4111</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4112</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4113</v>
      </c>
      <c r="K1421" s="1314"/>
      <c r="M1421" s="457"/>
      <c r="N1421" s="1640"/>
      <c r="O1421" s="1620" t="s">
        <v>2365</v>
      </c>
      <c r="P1421" s="1578">
        <f>'Part VIII-Threshold Criteria'!P263</f>
        <v>0</v>
      </c>
      <c r="Q1421" s="1578"/>
    </row>
    <row r="1422" spans="1:17" ht="12.75" customHeight="1">
      <c r="B1422" s="1583" t="s">
        <v>5312</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5313</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5107</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5074</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3859</v>
      </c>
      <c r="E1426" s="457">
        <f>'Part VIII-Threshold Criteria'!E268</f>
        <v>0</v>
      </c>
      <c r="F1426" s="457">
        <f>'Part VIII-Threshold Criteria'!F268</f>
        <v>0</v>
      </c>
      <c r="G1426" s="457">
        <f>'Part VIII-Threshold Criteria'!G268</f>
        <v>0</v>
      </c>
      <c r="H1426" s="457" t="s">
        <v>4944</v>
      </c>
      <c r="I1426" s="457" t="str">
        <f>'Part VIII-Threshold Criteria'!I268</f>
        <v>&lt;&lt; Select Entity Type &gt;&gt;</v>
      </c>
      <c r="J1426" s="457">
        <f>'Part VIII-Threshold Criteria'!J268</f>
        <v>0</v>
      </c>
      <c r="K1426" s="457">
        <f>'Part VIII-Threshold Criteria'!K268</f>
        <v>0</v>
      </c>
      <c r="L1426" s="457" t="s">
        <v>4946</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5075</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3749</v>
      </c>
      <c r="D1429" s="1525"/>
      <c r="E1429" s="1525"/>
      <c r="F1429" s="1525"/>
      <c r="G1429" s="1525"/>
      <c r="H1429" s="1524"/>
      <c r="I1429" s="1578"/>
      <c r="J1429" s="1578"/>
      <c r="K1429" s="1578"/>
      <c r="L1429" s="1316"/>
      <c r="M1429" s="1316"/>
      <c r="N1429" s="1316"/>
      <c r="O1429" s="1316"/>
      <c r="P1429" s="1316"/>
      <c r="Q1429" s="1316"/>
    </row>
    <row r="1430" spans="1:22" ht="15">
      <c r="A1430" s="1583" t="str">
        <f>'Part VIII-Threshold Criteria'!A272</f>
        <v>N/A</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4957</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3752</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3753</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4114</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3754</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4960</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3749</v>
      </c>
      <c r="D1441" s="1525"/>
      <c r="E1441" s="1525"/>
      <c r="F1441" s="1525"/>
      <c r="G1441" s="1525"/>
      <c r="H1441" s="1524"/>
      <c r="I1441" s="1578"/>
      <c r="J1441" s="1578"/>
      <c r="K1441" s="1578"/>
      <c r="L1441" s="1316"/>
      <c r="M1441" s="1316"/>
      <c r="N1441" s="1316"/>
      <c r="O1441" s="1316"/>
      <c r="P1441" s="1316"/>
      <c r="Q1441" s="1316"/>
    </row>
    <row r="1442" spans="1:22" ht="51">
      <c r="A1442" s="1583" t="str">
        <f>'Part VIII-Threshold Criteria'!A284</f>
        <v>All site relevant site information available in tab 15</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4096</v>
      </c>
      <c r="B1446" s="1630" t="s">
        <v>2664</v>
      </c>
      <c r="C1446" s="1630"/>
      <c r="D1446" s="1582"/>
      <c r="E1446" s="1582"/>
      <c r="F1446" s="1582"/>
      <c r="G1446" s="1582"/>
      <c r="H1446" s="1582"/>
      <c r="I1446" s="1582"/>
      <c r="J1446" s="1582"/>
      <c r="K1446" s="1582"/>
      <c r="L1446" s="1582"/>
      <c r="M1446" s="1582"/>
      <c r="O1446" s="2388" t="s">
        <v>1867</v>
      </c>
      <c r="P1446" s="1317"/>
      <c r="Q1446" s="1317"/>
    </row>
    <row r="1447" spans="1:22" ht="12.75" customHeight="1">
      <c r="A1447" s="1604" t="s">
        <v>1983</v>
      </c>
      <c r="B1447" s="1583" t="s">
        <v>4959</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1985</v>
      </c>
      <c r="B1449" s="1317" t="s">
        <v>310</v>
      </c>
      <c r="D1449" s="1314"/>
      <c r="E1449" s="1314"/>
      <c r="J1449" s="1636" t="s">
        <v>4780</v>
      </c>
      <c r="K1449" s="1393" t="str">
        <f>'Part VIII-Threshold Criteria'!K291</f>
        <v>Earth Craft House Multifamily</v>
      </c>
      <c r="L1449" s="1393">
        <f>'Part VIII-Threshold Criteria'!L291</f>
        <v>0</v>
      </c>
      <c r="M1449" s="1393">
        <f>'Part VIII-Threshold Criteria'!M291</f>
        <v>0</v>
      </c>
      <c r="N1449" s="1393">
        <f>'Part VIII-Threshold Criteria'!N291</f>
        <v>0</v>
      </c>
      <c r="O1449" s="1620" t="s">
        <v>1985</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4961</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3749</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132.6">
      <c r="A1452" s="1583" t="str">
        <f>'Part VIII-Threshold Criteria'!A294</f>
        <v>Applicant Wosksheet exceeds requirements for Earthcraft MF designation and applicant has attended the appropriate Earthcraft Training</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4.4">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4097</v>
      </c>
      <c r="B1456" s="1630" t="s">
        <v>2665</v>
      </c>
      <c r="C1456" s="1637"/>
      <c r="D1456" s="1582"/>
      <c r="E1456" s="1582"/>
      <c r="F1456" s="1582"/>
      <c r="G1456" s="1582"/>
      <c r="H1456" s="1582"/>
      <c r="I1456" s="1582"/>
      <c r="J1456" s="1582"/>
      <c r="K1456" s="1582"/>
      <c r="L1456" s="1582"/>
      <c r="M1456" s="1582"/>
      <c r="O1456" s="2388" t="s">
        <v>1867</v>
      </c>
      <c r="P1456" s="1317"/>
      <c r="Q1456" s="1317"/>
    </row>
    <row r="1457" spans="1:22">
      <c r="A1457" s="1314" t="s">
        <v>1983</v>
      </c>
      <c r="B1457" s="1314" t="s">
        <v>4540</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3905</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3906</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3904</v>
      </c>
      <c r="D1460" s="1583"/>
      <c r="E1460" s="1583"/>
      <c r="F1460" s="1583"/>
      <c r="G1460" s="1583"/>
      <c r="H1460" s="1583"/>
      <c r="I1460" s="1583"/>
      <c r="J1460" s="1583"/>
      <c r="K1460" s="1583"/>
      <c r="L1460" s="1583"/>
      <c r="M1460" s="1583"/>
      <c r="N1460" s="1583"/>
      <c r="O1460" s="1627" t="s">
        <v>1739</v>
      </c>
      <c r="P1460" s="1631" t="str">
        <f>'Part VIII-Threshold Criteria'!P302</f>
        <v>Yes</v>
      </c>
      <c r="Q1460" s="1631"/>
      <c r="R1460" s="1596"/>
      <c r="S1460" s="1596"/>
      <c r="T1460" s="1596"/>
      <c r="U1460" s="1596"/>
      <c r="V1460" s="1596"/>
    </row>
    <row r="1461" spans="1:22">
      <c r="A1461" s="1624" t="s">
        <v>1985</v>
      </c>
      <c r="B1461" s="1630" t="s">
        <v>3872</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5108</v>
      </c>
      <c r="D1462" s="1583"/>
      <c r="E1462" s="1583"/>
      <c r="F1462" s="1583"/>
      <c r="G1462" s="1583"/>
      <c r="H1462" s="1583"/>
      <c r="I1462" s="1604"/>
      <c r="J1462" s="1587" t="s">
        <v>3789</v>
      </c>
      <c r="K1462" s="1638"/>
      <c r="L1462" s="1638"/>
      <c r="M1462" s="1644" t="s">
        <v>3759</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3760</v>
      </c>
      <c r="N1463" s="457" t="s">
        <v>3788</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4117</v>
      </c>
      <c r="J1464" s="1330"/>
      <c r="K1464" s="1846">
        <f>'Part VIII-Threshold Criteria'!K306</f>
        <v>3</v>
      </c>
      <c r="L1464" s="1337" t="str">
        <f>IF(K1464&lt;M1464,"Check!!!","")</f>
        <v/>
      </c>
      <c r="M1464" s="1692">
        <f>ROUNDUP('Part VI-Revenues &amp; Expenses'!$O$67*'Part VIII-Threshold Criteria'!N1464,0)</f>
        <v>0</v>
      </c>
      <c r="N1464" s="2412">
        <f>'DCA Underwriting Assumptions'!$Q$139</f>
        <v>0.05</v>
      </c>
      <c r="O1464" s="1620" t="s">
        <v>3636</v>
      </c>
      <c r="P1464" s="1578" t="str">
        <f>'Part VIII-Threshold Criteria'!P306</f>
        <v>Yes</v>
      </c>
      <c r="Q1464" s="1578"/>
      <c r="R1464" s="1330"/>
      <c r="S1464" s="1330"/>
      <c r="T1464" s="1330"/>
      <c r="U1464" s="1330"/>
      <c r="V1464" s="457"/>
    </row>
    <row r="1465" spans="1:22" ht="12.75" customHeight="1">
      <c r="A1465" s="1627"/>
      <c r="B1465" s="1635"/>
      <c r="C1465" s="1583" t="s">
        <v>5109</v>
      </c>
      <c r="D1465" s="1583"/>
      <c r="E1465" s="1583"/>
      <c r="F1465" s="1583"/>
      <c r="G1465" s="1583"/>
      <c r="H1465" s="1583"/>
      <c r="I1465" s="1647" t="s">
        <v>4118</v>
      </c>
      <c r="J1465" s="1330"/>
      <c r="K1465" s="2413">
        <f>'Part VIII-Threshold Criteria'!K307</f>
        <v>2</v>
      </c>
      <c r="L1465" s="1330" t="str">
        <f>IF(K1465&lt;M1465,"Check!!!","")</f>
        <v/>
      </c>
      <c r="M1465" s="2414">
        <f>ROUNDUP(K1464*'Part VIII-Threshold Criteria'!N1465,0)</f>
        <v>0</v>
      </c>
      <c r="N1465" s="2415">
        <f>'DCA Underwriting Assumptions'!$Q$140</f>
        <v>0.4</v>
      </c>
      <c r="O1465" s="1620" t="s">
        <v>2117</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5110</v>
      </c>
      <c r="D1467" s="1583"/>
      <c r="E1467" s="1583"/>
      <c r="F1467" s="1583"/>
      <c r="G1467" s="1583"/>
      <c r="H1467" s="1583"/>
      <c r="I1467" s="457" t="s">
        <v>4119</v>
      </c>
      <c r="J1467" s="1330"/>
      <c r="K1467" s="1846">
        <f>'Part VIII-Threshold Criteria'!K309</f>
        <v>1</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3873</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3638</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3639</v>
      </c>
      <c r="C1472" s="1314"/>
      <c r="D1472" s="1604"/>
      <c r="E1472" s="1604"/>
      <c r="F1472" s="1604"/>
      <c r="G1472" s="1604"/>
      <c r="H1472" s="1604"/>
      <c r="I1472" s="1604" t="s">
        <v>3758</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3637</v>
      </c>
      <c r="D1473" s="1583"/>
      <c r="E1473" s="1583"/>
      <c r="F1473" s="1583"/>
      <c r="G1473" s="1583"/>
      <c r="H1473" s="1583"/>
      <c r="I1473" s="1583"/>
      <c r="J1473" s="1583"/>
      <c r="K1473" s="1583"/>
      <c r="L1473" s="1583"/>
      <c r="M1473" s="1583"/>
      <c r="N1473" s="1583"/>
      <c r="O1473" s="1627" t="s">
        <v>3642</v>
      </c>
      <c r="P1473" s="1631" t="str">
        <f>'Part VIII-Threshold Criteria'!P315</f>
        <v>Yes</v>
      </c>
      <c r="Q1473" s="1631"/>
      <c r="R1473" s="1596"/>
      <c r="S1473" s="1596"/>
      <c r="T1473" s="1596"/>
      <c r="U1473" s="1596"/>
      <c r="V1473" s="1596"/>
    </row>
    <row r="1474" spans="1:22" ht="12.75" customHeight="1">
      <c r="A1474" s="1596"/>
      <c r="B1474" s="1604" t="s">
        <v>1738</v>
      </c>
      <c r="C1474" s="1583" t="s">
        <v>4904</v>
      </c>
      <c r="D1474" s="1583"/>
      <c r="E1474" s="1583"/>
      <c r="F1474" s="1583"/>
      <c r="G1474" s="1583"/>
      <c r="H1474" s="1583"/>
      <c r="I1474" s="1583"/>
      <c r="J1474" s="1583"/>
      <c r="K1474" s="1583"/>
      <c r="L1474" s="1583"/>
      <c r="M1474" s="1583"/>
      <c r="N1474" s="1583"/>
      <c r="O1474" s="1627" t="s">
        <v>3643</v>
      </c>
      <c r="P1474" s="1631" t="str">
        <f>'Part VIII-Threshold Criteria'!P316</f>
        <v>Yes</v>
      </c>
      <c r="Q1474" s="1631"/>
      <c r="R1474" s="1596"/>
      <c r="S1474" s="1596"/>
      <c r="T1474" s="1596"/>
      <c r="U1474" s="1596"/>
      <c r="V1474" s="1596"/>
    </row>
    <row r="1475" spans="1:22" ht="12.75" customHeight="1">
      <c r="A1475" s="1596"/>
      <c r="B1475" s="1635" t="s">
        <v>1739</v>
      </c>
      <c r="C1475" s="1583" t="s">
        <v>3640</v>
      </c>
      <c r="D1475" s="1583"/>
      <c r="E1475" s="1583"/>
      <c r="F1475" s="1583"/>
      <c r="G1475" s="1583"/>
      <c r="H1475" s="1583"/>
      <c r="I1475" s="1583"/>
      <c r="J1475" s="1583"/>
      <c r="K1475" s="1583"/>
      <c r="L1475" s="1583"/>
      <c r="M1475" s="1583"/>
      <c r="N1475" s="1583"/>
      <c r="O1475" s="1604" t="s">
        <v>3644</v>
      </c>
      <c r="P1475" s="1631" t="str">
        <f>'Part VIII-Threshold Criteria'!P317</f>
        <v>Yes</v>
      </c>
      <c r="Q1475" s="1631"/>
      <c r="R1475" s="1596"/>
      <c r="S1475" s="1596"/>
      <c r="T1475" s="1596"/>
      <c r="U1475" s="1596"/>
      <c r="V1475" s="1596"/>
    </row>
    <row r="1476" spans="1:22" ht="12.75" customHeight="1">
      <c r="A1476" s="1596"/>
      <c r="B1476" s="1635" t="s">
        <v>2365</v>
      </c>
      <c r="C1476" s="1583" t="s">
        <v>3641</v>
      </c>
      <c r="D1476" s="1583"/>
      <c r="E1476" s="1583"/>
      <c r="F1476" s="1583"/>
      <c r="G1476" s="1583"/>
      <c r="H1476" s="1583"/>
      <c r="I1476" s="1583"/>
      <c r="J1476" s="1583"/>
      <c r="K1476" s="1583"/>
      <c r="L1476" s="1583"/>
      <c r="M1476" s="1583"/>
      <c r="N1476" s="1583"/>
      <c r="O1476" s="1627" t="s">
        <v>3645</v>
      </c>
      <c r="P1476" s="1631" t="str">
        <f>'Part VIII-Threshold Criteria'!P318</f>
        <v>Yes</v>
      </c>
      <c r="Q1476" s="1631"/>
      <c r="R1476" s="1596"/>
      <c r="S1476" s="1596"/>
      <c r="T1476" s="1596"/>
      <c r="U1476" s="1596"/>
      <c r="V1476" s="1596"/>
    </row>
    <row r="1477" spans="1:22">
      <c r="B1477" s="1525" t="s">
        <v>3749</v>
      </c>
      <c r="C1477" s="1794"/>
      <c r="D1477" s="1549"/>
      <c r="E1477" s="1549"/>
      <c r="F1477" s="1549"/>
      <c r="G1477" s="1549"/>
      <c r="H1477" s="457"/>
      <c r="I1477" s="457"/>
      <c r="J1477" s="457"/>
      <c r="K1477" s="457"/>
      <c r="L1477" s="1317"/>
      <c r="M1477" s="1317"/>
      <c r="N1477" s="1317"/>
      <c r="O1477" s="1316"/>
      <c r="P1477" s="1316"/>
      <c r="Q1477" s="1316"/>
    </row>
    <row r="1478" spans="1:22" ht="204">
      <c r="A1478" s="1583" t="str">
        <f>'Part VIII-Threshold Criteria'!A320</f>
        <v>Applicant agrees to retain a DCA qualified consultant to monitor the project for accessibility compliance who will not be a member of the project team nor have an identity of interest with any members of the project team.</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4095</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5111</v>
      </c>
      <c r="D1484" s="1524"/>
      <c r="E1484" s="1524"/>
      <c r="F1484" s="1524"/>
      <c r="G1484" s="1524"/>
      <c r="H1484" s="1524"/>
      <c r="I1484" s="1524"/>
      <c r="J1484" s="1524"/>
      <c r="K1484" s="1524"/>
      <c r="L1484" s="1524"/>
      <c r="M1484" s="1524"/>
      <c r="N1484" s="1627"/>
      <c r="P1484" s="1794"/>
      <c r="Q1484" s="1794"/>
    </row>
    <row r="1485" spans="1:22" ht="12.75" customHeight="1">
      <c r="B1485" s="1583" t="s">
        <v>2881</v>
      </c>
      <c r="C1485" s="1583"/>
      <c r="D1485" s="1583"/>
      <c r="E1485" s="1583"/>
      <c r="F1485" s="1583"/>
      <c r="G1485" s="1583"/>
      <c r="H1485" s="1583"/>
      <c r="I1485" s="1583"/>
      <c r="J1485" s="1583"/>
      <c r="K1485" s="1583"/>
      <c r="L1485" s="1583"/>
      <c r="M1485" s="1583"/>
      <c r="N1485" s="1583"/>
      <c r="O1485" s="1627" t="s">
        <v>1983</v>
      </c>
      <c r="P1485" s="1631">
        <f>'Part VIII-Threshold Criteria'!P327</f>
        <v>0</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5112</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3749</v>
      </c>
      <c r="C1494" s="1794"/>
      <c r="D1494" s="1549"/>
      <c r="E1494" s="1549"/>
      <c r="F1494" s="1549"/>
      <c r="G1494" s="1549"/>
      <c r="H1494" s="457"/>
      <c r="I1494" s="457"/>
      <c r="J1494" s="457"/>
      <c r="K1494" s="457"/>
      <c r="L1494" s="1317"/>
      <c r="M1494" s="1317"/>
      <c r="N1494" s="1317"/>
      <c r="O1494" s="1316"/>
      <c r="P1494" s="1316"/>
      <c r="Q1494" s="1316"/>
    </row>
    <row r="1495" spans="1:22" ht="81.599999999999994">
      <c r="A1495" s="1583" t="str">
        <f>'Part VIII-Threshold Criteria'!A337</f>
        <v>Applicant agrees to meet all DCA requirements per the 2019 QAP and Architectural Standards</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4098</v>
      </c>
      <c r="B1498" s="1314" t="s">
        <v>4136</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4991</v>
      </c>
      <c r="O1499" s="1627" t="s">
        <v>1983</v>
      </c>
      <c r="P1499" s="1578" t="str">
        <f>'Part VIII-Threshold Criteria'!P341</f>
        <v>Yes</v>
      </c>
      <c r="Q1499" s="1578"/>
    </row>
    <row r="1500" spans="1:22">
      <c r="A1500" s="1604" t="s">
        <v>1985</v>
      </c>
      <c r="B1500" s="1638" t="s">
        <v>4084</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3837</v>
      </c>
      <c r="O1502" s="1620" t="s">
        <v>2115</v>
      </c>
      <c r="P1502" s="1578" t="str">
        <f>'Part VIII-Threshold Criteria'!P344</f>
        <v>No</v>
      </c>
      <c r="Q1502" s="1578"/>
    </row>
    <row r="1503" spans="1:22">
      <c r="A1503" s="1627" t="s">
        <v>1735</v>
      </c>
      <c r="B1503" s="1051" t="s">
        <v>2884</v>
      </c>
      <c r="N1503" s="1627" t="s">
        <v>1735</v>
      </c>
      <c r="O1503" s="1534" t="str">
        <f>'Part VIII-Threshold Criteria'!O345</f>
        <v>Probationary Certifying GP/Dev</v>
      </c>
      <c r="P1503" s="1534">
        <f>'Part VIII-Threshold Criteria'!P345</f>
        <v>0</v>
      </c>
      <c r="Q1503" s="1534">
        <f>'Part VIII-Threshold Criteria'!Q345</f>
        <v>0</v>
      </c>
    </row>
    <row r="1504" spans="1:22">
      <c r="A1504" s="1627" t="s">
        <v>1736</v>
      </c>
      <c r="B1504" s="1051" t="s">
        <v>2351</v>
      </c>
      <c r="N1504" s="1627" t="s">
        <v>1736</v>
      </c>
      <c r="O1504" s="1534" t="s">
        <v>2885</v>
      </c>
      <c r="P1504" s="1534"/>
      <c r="Q1504" s="1534"/>
    </row>
    <row r="1505" spans="1:22">
      <c r="B1505" s="1525" t="s">
        <v>3749</v>
      </c>
      <c r="D1505" s="1525"/>
      <c r="E1505" s="1525"/>
      <c r="F1505" s="1525"/>
      <c r="G1505" s="1525"/>
      <c r="H1505" s="1524"/>
      <c r="I1505" s="1578"/>
      <c r="J1505" s="1578"/>
      <c r="K1505" s="1578"/>
      <c r="L1505" s="1316"/>
      <c r="M1505" s="1316"/>
      <c r="N1505" s="1316"/>
      <c r="O1505" s="1316"/>
      <c r="P1505" s="1316"/>
      <c r="Q1505" s="1316"/>
    </row>
    <row r="1506" spans="1:22" ht="173.4">
      <c r="A1506" s="1583" t="str">
        <f>'Part VIII-Threshold Criteria'!A348</f>
        <v>Applicant's QD was for up to 80 Affordable New Construction units at a TBD location.  The project team has not changed since application and the proposed project is for 48 units.</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4099</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3654</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3846</v>
      </c>
      <c r="C1511" s="1794"/>
      <c r="D1511" s="1604"/>
      <c r="E1511" s="1604"/>
      <c r="F1511" s="1604"/>
      <c r="G1511" s="1604"/>
      <c r="H1511" s="1604"/>
      <c r="I1511" s="1604"/>
      <c r="J1511" s="1604"/>
      <c r="K1511" s="1604"/>
      <c r="L1511" s="1604"/>
      <c r="M1511" s="1604"/>
      <c r="N1511" s="1604"/>
      <c r="O1511" s="1604" t="s">
        <v>1985</v>
      </c>
      <c r="P1511" s="457" t="str">
        <f>'Part VIII-Threshold Criteria'!P353</f>
        <v>No</v>
      </c>
      <c r="Q1511" s="457"/>
    </row>
    <row r="1512" spans="1:22" ht="12.75" customHeight="1">
      <c r="A1512" s="1627" t="s">
        <v>749</v>
      </c>
      <c r="B1512" s="1583" t="s">
        <v>4085</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3749</v>
      </c>
      <c r="D1513" s="1525"/>
      <c r="E1513" s="1525"/>
      <c r="F1513" s="1525"/>
      <c r="G1513" s="1525"/>
      <c r="H1513" s="1524"/>
      <c r="I1513" s="1578"/>
      <c r="J1513" s="1578"/>
      <c r="K1513" s="1578"/>
      <c r="L1513" s="1316"/>
      <c r="M1513" s="1316"/>
      <c r="N1513" s="1316"/>
      <c r="O1513" s="1316"/>
      <c r="P1513" s="1316"/>
      <c r="Q1513" s="1316"/>
    </row>
    <row r="1514" spans="1:22" ht="71.400000000000006">
      <c r="A1514" s="1583" t="str">
        <f>'Part VIII-Threshold Criteria'!A356</f>
        <v>No Changes since pre-application other than the TBD site has been defined.</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4102</v>
      </c>
      <c r="B1518" s="1314" t="s">
        <v>4075</v>
      </c>
      <c r="C1518" s="1314"/>
      <c r="D1518" s="1314"/>
      <c r="E1518" s="1314"/>
      <c r="F1518" s="1314"/>
      <c r="G1518" s="1314"/>
      <c r="H1518" s="1582"/>
      <c r="I1518" s="1582"/>
      <c r="J1518" s="1582"/>
      <c r="K1518" s="1582"/>
      <c r="L1518" s="1582"/>
      <c r="M1518" s="1582"/>
      <c r="O1518" s="2388" t="s">
        <v>1867</v>
      </c>
      <c r="P1518" s="1317"/>
      <c r="Q1518" s="1317"/>
    </row>
    <row r="1519" spans="1:22">
      <c r="A1519" s="457" t="s">
        <v>1983</v>
      </c>
      <c r="B1519" s="457" t="s">
        <v>4076</v>
      </c>
      <c r="C1519" s="1794"/>
      <c r="D1519" s="1319"/>
      <c r="E1519" s="1319"/>
      <c r="F1519" s="1319"/>
      <c r="G1519" s="1319"/>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4077</v>
      </c>
      <c r="D1520" s="1319"/>
      <c r="E1520" s="1319"/>
      <c r="F1520" s="1319"/>
      <c r="G1520" s="1319"/>
      <c r="H1520" s="1627"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4067</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2115</v>
      </c>
      <c r="B1522" s="1583" t="s">
        <v>4068</v>
      </c>
      <c r="C1522" s="1583"/>
      <c r="D1522" s="1583"/>
      <c r="E1522" s="1583"/>
      <c r="F1522" s="1583"/>
      <c r="G1522" s="1583"/>
      <c r="H1522" s="1583"/>
      <c r="I1522" s="1583"/>
      <c r="J1522" s="1583"/>
      <c r="K1522" s="1583"/>
      <c r="L1522" s="1583"/>
      <c r="M1522" s="1583"/>
      <c r="N1522" s="1583"/>
      <c r="O1522" s="457" t="s">
        <v>2115</v>
      </c>
      <c r="P1522" s="1604">
        <f>'Part VIII-Threshold Criteria'!P364</f>
        <v>0</v>
      </c>
      <c r="Q1522" s="1631"/>
    </row>
    <row r="1523" spans="1:22">
      <c r="A1523" s="1627" t="s">
        <v>1735</v>
      </c>
      <c r="B1523" s="457" t="s">
        <v>4069</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4070</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1947</v>
      </c>
      <c r="B1525" s="1604" t="s">
        <v>4071</v>
      </c>
      <c r="C1525" s="1596"/>
      <c r="D1525" s="1583"/>
      <c r="E1525" s="1583"/>
      <c r="F1525" s="1583"/>
      <c r="G1525" s="1583"/>
      <c r="H1525" s="1583"/>
      <c r="I1525" s="1583"/>
      <c r="J1525" s="1583"/>
      <c r="K1525" s="1583"/>
      <c r="L1525" s="1583"/>
      <c r="M1525" s="1583"/>
      <c r="N1525" s="1583"/>
      <c r="O1525" s="1627" t="s">
        <v>1947</v>
      </c>
      <c r="P1525" s="1631">
        <f>'Part VIII-Threshold Criteria'!P367</f>
        <v>0</v>
      </c>
      <c r="Q1525" s="1631"/>
      <c r="R1525" s="1596"/>
      <c r="S1525" s="1596"/>
      <c r="T1525" s="1596"/>
      <c r="U1525" s="1596"/>
      <c r="V1525" s="1596"/>
    </row>
    <row r="1526" spans="1:22">
      <c r="A1526" s="1596"/>
      <c r="B1526" s="1596"/>
      <c r="C1526" s="1635" t="s">
        <v>4546</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3370</v>
      </c>
      <c r="B1527" s="1583" t="s">
        <v>4072</v>
      </c>
      <c r="C1527" s="1583"/>
      <c r="D1527" s="1583"/>
      <c r="E1527" s="1583"/>
      <c r="F1527" s="1583"/>
      <c r="G1527" s="1583"/>
      <c r="H1527" s="1583"/>
      <c r="I1527" s="1583"/>
      <c r="J1527" s="1583"/>
      <c r="K1527" s="1583"/>
      <c r="L1527" s="1583"/>
      <c r="M1527" s="1583"/>
      <c r="N1527" s="1583"/>
      <c r="O1527" s="1627" t="s">
        <v>3370</v>
      </c>
      <c r="P1527" s="1631">
        <f>'Part VIII-Threshold Criteria'!P369</f>
        <v>0</v>
      </c>
      <c r="Q1527" s="1631"/>
    </row>
    <row r="1528" spans="1:22" ht="12.75" customHeight="1">
      <c r="A1528" s="1627" t="s">
        <v>616</v>
      </c>
      <c r="B1528" s="1583" t="s">
        <v>4073</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3749</v>
      </c>
      <c r="D1529" s="1525"/>
      <c r="E1529" s="1525"/>
      <c r="F1529" s="1525"/>
      <c r="G1529" s="1525"/>
      <c r="H1529" s="1524"/>
      <c r="I1529" s="1578"/>
      <c r="J1529" s="1578"/>
      <c r="K1529" s="1578"/>
      <c r="L1529" s="1316"/>
      <c r="M1529" s="1316"/>
      <c r="N1529" s="1316"/>
      <c r="O1529" s="1316"/>
      <c r="P1529" s="1316"/>
      <c r="Q1529" s="1316"/>
    </row>
    <row r="1530" spans="1:22">
      <c r="A1530" s="1583" t="str">
        <f>'Part VIII-Threshold Criteria'!A372</f>
        <v>N/A</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4103</v>
      </c>
      <c r="B1534" s="1314" t="s">
        <v>3909</v>
      </c>
      <c r="C1534" s="1314"/>
      <c r="D1534" s="1314"/>
      <c r="E1534" s="1314"/>
      <c r="F1534" s="1314"/>
      <c r="G1534" s="1314"/>
      <c r="H1534" s="1582"/>
      <c r="I1534" s="1582"/>
      <c r="J1534" s="1582"/>
      <c r="O1534" s="2388" t="s">
        <v>1867</v>
      </c>
      <c r="P1534" s="1317"/>
      <c r="Q1534" s="1317"/>
    </row>
    <row r="1535" spans="1:22">
      <c r="A1535" s="457" t="s">
        <v>1983</v>
      </c>
      <c r="B1535" s="457" t="s">
        <v>3911</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4916</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3910</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4909</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3912</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3913</v>
      </c>
      <c r="D1539" s="1314"/>
      <c r="E1539" s="1550"/>
      <c r="F1539" s="1314"/>
      <c r="G1539" s="1314"/>
      <c r="H1539" s="1314"/>
      <c r="I1539" s="1550"/>
      <c r="J1539" s="1550">
        <f>'Part I-Project Information'!K1198</f>
        <v>0</v>
      </c>
      <c r="K1539" s="1550"/>
      <c r="L1539" s="1550" t="s">
        <v>3914</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4905</v>
      </c>
      <c r="D1540" s="1314"/>
      <c r="E1540" s="1550"/>
      <c r="F1540" s="1550"/>
      <c r="G1540" s="1550"/>
      <c r="H1540" s="457" t="s">
        <v>4906</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4907</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3916</v>
      </c>
      <c r="D1542" s="1314"/>
      <c r="E1542" s="457"/>
      <c r="F1542" s="1757">
        <f>'Part IV-A-Uses of Funds'!J1331</f>
        <v>0</v>
      </c>
      <c r="G1542" s="1757"/>
      <c r="H1542" s="457" t="s">
        <v>3917</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3919</v>
      </c>
      <c r="D1543" s="1314"/>
      <c r="E1543" s="457"/>
      <c r="F1543" s="457"/>
      <c r="G1543" s="457"/>
      <c r="H1543" s="457" t="s">
        <v>4908</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3921</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3922</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4962</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3927</v>
      </c>
      <c r="K1547" s="457"/>
      <c r="L1547" s="457"/>
      <c r="M1547" s="457"/>
      <c r="N1547" s="1550" t="s">
        <v>3924</v>
      </c>
      <c r="O1547" s="1550"/>
      <c r="P1547" s="1314"/>
      <c r="Q1547" s="1314"/>
      <c r="R1547" s="1314"/>
      <c r="S1547" s="1314"/>
      <c r="T1547" s="1314"/>
      <c r="U1547" s="1314"/>
      <c r="V1547" s="1314"/>
    </row>
    <row r="1548" spans="1:22">
      <c r="A1548" s="1319"/>
      <c r="B1548" s="1524" t="s">
        <v>1738</v>
      </c>
      <c r="C1548" s="1524" t="s">
        <v>3923</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3926</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3928</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3749</v>
      </c>
      <c r="D1551" s="1525"/>
      <c r="E1551" s="1525"/>
      <c r="F1551" s="1525"/>
      <c r="G1551" s="1525"/>
      <c r="H1551" s="1524"/>
      <c r="I1551" s="1578"/>
      <c r="J1551" s="457"/>
      <c r="K1551" s="457"/>
      <c r="L1551" s="1317"/>
      <c r="M1551" s="1317"/>
      <c r="N1551" s="1317"/>
      <c r="O1551" s="1317"/>
      <c r="P1551" s="1316"/>
      <c r="Q1551" s="1316"/>
    </row>
    <row r="1552" spans="1:22">
      <c r="A1552" s="1583" t="str">
        <f>'Part VIII-Threshold Criteria'!A394</f>
        <v>N/A</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4104</v>
      </c>
      <c r="B1557" s="1314" t="s">
        <v>2684</v>
      </c>
      <c r="C1557" s="1314"/>
      <c r="D1557" s="1314"/>
      <c r="E1557" s="1314"/>
      <c r="F1557" s="1314"/>
      <c r="G1557" s="1314"/>
      <c r="H1557" s="1582"/>
      <c r="I1557" s="1582"/>
      <c r="J1557" s="1582"/>
      <c r="O1557" s="2388"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3464</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3474</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3695</v>
      </c>
      <c r="G1561" s="1517"/>
      <c r="H1561" s="1517"/>
      <c r="I1561" s="1517"/>
      <c r="J1561" s="1524" t="s">
        <v>3696</v>
      </c>
      <c r="L1561" s="1517"/>
      <c r="M1561" s="2417">
        <f>'Part III-Sources of Funds'!H1163</f>
        <v>0</v>
      </c>
      <c r="N1561" s="2417"/>
      <c r="O1561" s="1620" t="s">
        <v>2115</v>
      </c>
      <c r="P1561" s="457">
        <f>'Part VIII-Threshold Criteria'!P403</f>
        <v>0</v>
      </c>
      <c r="Q1561" s="457"/>
    </row>
    <row r="1562" spans="1:22">
      <c r="B1562" s="1525" t="s">
        <v>3749</v>
      </c>
      <c r="D1562" s="1525"/>
      <c r="E1562" s="1549"/>
      <c r="F1562" s="1549"/>
      <c r="G1562" s="1549"/>
      <c r="H1562" s="457"/>
      <c r="I1562" s="457"/>
      <c r="J1562" s="457"/>
      <c r="K1562" s="457"/>
      <c r="L1562" s="1317"/>
      <c r="M1562" s="1317"/>
      <c r="N1562" s="1317"/>
      <c r="O1562" s="1317"/>
      <c r="P1562" s="1317"/>
      <c r="Q1562" s="1317"/>
    </row>
    <row r="1563" spans="1:22">
      <c r="A1563" s="1583" t="str">
        <f>'Part VIII-Threshold Criteria'!A405</f>
        <v>N/A</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4105</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f>'Part VIII-Threshold Criteria'!P410</f>
        <v>0</v>
      </c>
      <c r="Q1568" s="1578"/>
    </row>
    <row r="1569" spans="1:22">
      <c r="A1569" s="457" t="s">
        <v>1985</v>
      </c>
      <c r="B1569" s="457" t="s">
        <v>3582</v>
      </c>
      <c r="C1569" s="1794"/>
      <c r="D1569" s="1583"/>
      <c r="E1569" s="1583"/>
      <c r="F1569" s="1794"/>
      <c r="G1569" s="1794"/>
      <c r="H1569" s="1794"/>
      <c r="I1569" s="1794"/>
      <c r="J1569" s="1794"/>
      <c r="K1569" s="1794"/>
      <c r="L1569" s="1794"/>
      <c r="M1569" s="1794"/>
      <c r="N1569" s="1794"/>
      <c r="O1569" s="457" t="s">
        <v>1985</v>
      </c>
      <c r="P1569" s="457">
        <f>'Part VIII-Threshold Criteria'!P411</f>
        <v>0</v>
      </c>
      <c r="Q1569" s="457"/>
    </row>
    <row r="1570" spans="1:22">
      <c r="A1570" s="1620" t="s">
        <v>749</v>
      </c>
      <c r="B1570" s="457" t="s">
        <v>4074</v>
      </c>
      <c r="D1570" s="1583"/>
      <c r="E1570" s="1583"/>
      <c r="O1570" s="1620" t="s">
        <v>749</v>
      </c>
      <c r="P1570" s="1578">
        <f>'Part VIII-Threshold Criteria'!P412</f>
        <v>0</v>
      </c>
      <c r="Q1570" s="1578"/>
    </row>
    <row r="1571" spans="1:22">
      <c r="A1571" s="1620" t="s">
        <v>2115</v>
      </c>
      <c r="B1571" s="457" t="s">
        <v>3583</v>
      </c>
      <c r="E1571" s="1604"/>
      <c r="O1571" s="1620" t="s">
        <v>2115</v>
      </c>
      <c r="P1571" s="457">
        <f>'Part VIII-Threshold Criteria'!P413</f>
        <v>0</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3749</v>
      </c>
      <c r="D1573" s="1525"/>
      <c r="E1573" s="1525"/>
      <c r="F1573" s="1525"/>
      <c r="G1573" s="1525"/>
      <c r="H1573" s="1524"/>
      <c r="I1573" s="1578"/>
      <c r="J1573" s="1578"/>
      <c r="K1573" s="1578"/>
      <c r="L1573" s="1316"/>
      <c r="M1573" s="1316"/>
      <c r="N1573" s="1316"/>
      <c r="O1573" s="1316"/>
      <c r="P1573" s="1316"/>
      <c r="Q1573" s="1316"/>
    </row>
    <row r="1574" spans="1:22">
      <c r="A1574" s="1583" t="str">
        <f>'Part VIII-Threshold Criteria'!A416</f>
        <v>N/A</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4106</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3476</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3475</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3571</v>
      </c>
      <c r="C1583" s="457" t="s">
        <v>3572</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4923</v>
      </c>
      <c r="C1588" s="1524"/>
      <c r="E1588" s="1524"/>
      <c r="F1588" s="1524"/>
      <c r="G1588" s="1524"/>
      <c r="J1588" s="1314"/>
      <c r="K1588" s="1524"/>
      <c r="L1588" s="1524"/>
      <c r="M1588" s="1314"/>
      <c r="N1588" s="1620"/>
      <c r="P1588" s="1620"/>
      <c r="Q1588" s="1620"/>
    </row>
    <row r="1589" spans="1:22">
      <c r="A1589" s="1620"/>
      <c r="B1589" s="1638" t="s">
        <v>1737</v>
      </c>
      <c r="C1589" s="457" t="s">
        <v>4774</v>
      </c>
      <c r="D1589" s="1794"/>
      <c r="E1589" s="457"/>
      <c r="G1589" s="1051" t="s">
        <v>4769</v>
      </c>
      <c r="H1589" s="1524"/>
      <c r="I1589" s="1524"/>
      <c r="J1589" s="1578">
        <f>'Part VIII-Threshold Criteria'!J431</f>
        <v>0</v>
      </c>
      <c r="K1589" s="1578"/>
      <c r="L1589" s="1524"/>
      <c r="M1589" s="1051" t="s">
        <v>4772</v>
      </c>
    </row>
    <row r="1590" spans="1:22">
      <c r="A1590" s="1314"/>
      <c r="B1590" s="1794"/>
      <c r="C1590" s="1794"/>
      <c r="D1590" s="1794"/>
      <c r="E1590" s="1794"/>
      <c r="G1590" s="1051" t="s">
        <v>4770</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4771</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4773</v>
      </c>
      <c r="E1592" s="1524"/>
      <c r="F1592" s="1524"/>
      <c r="L1592" s="1524"/>
      <c r="M1592" s="1524"/>
      <c r="O1592" s="1620" t="s">
        <v>1738</v>
      </c>
      <c r="P1592" s="1578" t="str">
        <f>'Part VIII-Threshold Criteria'!P434</f>
        <v>&lt;&lt;Select&gt;&gt;</v>
      </c>
      <c r="Q1592" s="1578" t="s">
        <v>1771</v>
      </c>
    </row>
    <row r="1593" spans="1:22">
      <c r="A1593" s="1314"/>
      <c r="C1593" s="1051" t="s">
        <v>2435</v>
      </c>
      <c r="D1593" s="1051" t="s">
        <v>4781</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4782</v>
      </c>
      <c r="E1594" s="1524"/>
      <c r="F1594" s="1636"/>
      <c r="G1594" s="457" t="str">
        <f>'Part VIII-Threshold Criteria'!G436</f>
        <v>&lt;&lt; Select &gt;&gt;</v>
      </c>
      <c r="H1594" s="457">
        <f>'Part VIII-Threshold Criteria'!H436</f>
        <v>0</v>
      </c>
      <c r="I1594" s="457">
        <f>'Part VIII-Threshold Criteria'!I436</f>
        <v>0</v>
      </c>
      <c r="J1594" s="1051"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4985</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4775</v>
      </c>
      <c r="U1596" s="1317"/>
      <c r="V1596" s="1317"/>
    </row>
    <row r="1597" spans="1:22">
      <c r="B1597" s="1525" t="s">
        <v>3749</v>
      </c>
      <c r="D1597" s="1525"/>
      <c r="E1597" s="1525"/>
      <c r="F1597" s="1525"/>
      <c r="G1597" s="1549"/>
      <c r="H1597" s="457"/>
      <c r="I1597" s="457"/>
      <c r="J1597" s="457"/>
      <c r="K1597" s="457"/>
    </row>
    <row r="1598" spans="1:22">
      <c r="A1598" s="1583" t="str">
        <f>'Part VIII-Threshold Criteria'!A440</f>
        <v>N/A</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4107</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5042</v>
      </c>
      <c r="C1603" s="1314"/>
      <c r="D1603" s="457"/>
      <c r="E1603" s="1582"/>
      <c r="F1603" s="1582"/>
      <c r="G1603" s="1582"/>
      <c r="H1603" s="1582"/>
    </row>
    <row r="1604" spans="1:22" ht="12.75" customHeight="1">
      <c r="A1604" s="1604" t="s">
        <v>1983</v>
      </c>
      <c r="B1604" s="1583" t="s">
        <v>3932</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3930</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4986</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4987</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4988</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4989</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3936</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3937</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3938</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3477</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3749</v>
      </c>
      <c r="C1614" s="1794"/>
      <c r="D1614" s="1549"/>
      <c r="E1614" s="1549"/>
      <c r="F1614" s="1549"/>
      <c r="G1614" s="1549"/>
      <c r="H1614" s="457"/>
      <c r="I1614" s="457"/>
      <c r="J1614" s="457"/>
      <c r="K1614" s="457"/>
      <c r="L1614" s="1317"/>
      <c r="M1614" s="1317"/>
      <c r="N1614" s="1317"/>
      <c r="O1614" s="1316"/>
      <c r="P1614" s="1316"/>
      <c r="Q1614" s="1316"/>
    </row>
    <row r="1615" spans="1:22" ht="81.599999999999994">
      <c r="A1615" s="1583" t="str">
        <f>'Part VIII-Threshold Criteria'!A457</f>
        <v>Applicant will prepare and submit an AFFH Marketing plan if selected for funding.</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4784</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4792</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4793</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4.4">
      <c r="A1622" s="1620" t="s">
        <v>1983</v>
      </c>
      <c r="B1622" s="457" t="s">
        <v>4785</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4910</v>
      </c>
      <c r="D1623" s="1583"/>
      <c r="E1623" s="1583"/>
      <c r="F1623" s="1583"/>
      <c r="G1623" s="1583"/>
      <c r="H1623" s="1583"/>
      <c r="I1623" s="1583"/>
      <c r="J1623" s="1583"/>
      <c r="K1623" s="1550" t="s">
        <v>5037</v>
      </c>
      <c r="L1623" s="1524" t="s">
        <v>4787</v>
      </c>
      <c r="M1623" s="1676"/>
      <c r="N1623" s="1506">
        <f>ROUNDUP('Part VI-Revenues &amp; Expenses'!$O$63*0.1,0)</f>
        <v>5</v>
      </c>
      <c r="O1623" s="1684" t="s">
        <v>1986</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5038</v>
      </c>
      <c r="M1624" s="1676"/>
      <c r="N1624" s="1506">
        <f>'Part VI-Revenues &amp; Expenses'!$O$63</f>
        <v>48</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0</v>
      </c>
      <c r="L1625" s="1524" t="s">
        <v>4789</v>
      </c>
      <c r="M1625" s="1676"/>
      <c r="N1625" s="1506">
        <f>'Part VI-Revenues &amp; Expenses'!$O$67</f>
        <v>48</v>
      </c>
      <c r="O1625" s="1711"/>
      <c r="P1625" s="1604">
        <f>'Part VIII-Threshold Criteria'!P467</f>
        <v>0</v>
      </c>
      <c r="Q1625" s="1604"/>
      <c r="R1625" s="1711"/>
      <c r="S1625" s="1711"/>
      <c r="T1625" s="1711"/>
      <c r="U1625" s="1711"/>
      <c r="V1625" s="1711"/>
    </row>
    <row r="1626" spans="1:22" ht="12.75" customHeight="1">
      <c r="A1626" s="1638"/>
      <c r="B1626" s="1704" t="s">
        <v>1988</v>
      </c>
      <c r="C1626" s="1583" t="s">
        <v>4911</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4912</v>
      </c>
      <c r="D1627" s="1583"/>
      <c r="E1627" s="1583"/>
      <c r="F1627" s="1583"/>
      <c r="G1627" s="1583"/>
      <c r="H1627" s="1583"/>
      <c r="I1627" s="1583"/>
      <c r="J1627" s="1550" t="s">
        <v>4790</v>
      </c>
      <c r="K1627" s="2419">
        <f>'Part VI-Revenues &amp; Expenses'!$O$103</f>
        <v>48</v>
      </c>
      <c r="L1627" s="1524" t="s">
        <v>4788</v>
      </c>
      <c r="M1627" s="1676"/>
      <c r="N1627" s="1506">
        <f>ROUNDUP(N1625*0.1,0)</f>
        <v>5</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4791</v>
      </c>
      <c r="K1628" s="2420">
        <f>IF(N1625=0,"",K1627/N1625)</f>
        <v>1</v>
      </c>
      <c r="L1628" s="1524" t="s">
        <v>5036</v>
      </c>
      <c r="M1628" s="457"/>
      <c r="N1628" s="1507">
        <f>'Part VI-Revenues &amp; Expenses'!$K$67/'Part VI-Revenues &amp; Expenses'!$O$67</f>
        <v>0.16666666666666666</v>
      </c>
      <c r="O1628" s="1684" t="str">
        <f>IF(AND(N1628&lt;0.1,P1627="Yes"), "Check!","")</f>
        <v/>
      </c>
      <c r="P1628" s="1604">
        <f>'Part VIII-Threshold Criteria'!P470</f>
        <v>0</v>
      </c>
      <c r="Q1628" s="1604"/>
      <c r="R1628" s="1468"/>
      <c r="S1628" s="1468"/>
      <c r="T1628" s="1604"/>
      <c r="U1628" s="1604"/>
      <c r="V1628" s="1604"/>
    </row>
    <row r="1629" spans="1:22" ht="14.4">
      <c r="A1629" s="1620" t="s">
        <v>1985</v>
      </c>
      <c r="B1629" s="457" t="s">
        <v>4913</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4914</v>
      </c>
      <c r="C1630" s="1583"/>
      <c r="D1630" s="1583"/>
      <c r="E1630" s="1583"/>
      <c r="F1630" s="1583"/>
      <c r="G1630" s="1583"/>
      <c r="H1630" s="1583"/>
      <c r="I1630" s="1583"/>
      <c r="J1630" s="1583"/>
      <c r="K1630" s="1583"/>
      <c r="L1630" s="1583"/>
      <c r="M1630" s="1583"/>
      <c r="N1630" s="1583"/>
      <c r="O1630" s="1627" t="s">
        <v>1985</v>
      </c>
      <c r="P1630" s="1631">
        <f>'Part VIII-Threshold Criteria'!P472</f>
        <v>0</v>
      </c>
      <c r="Q1630" s="1631"/>
      <c r="R1630" s="2422"/>
      <c r="S1630" s="1711"/>
      <c r="T1630" s="1711"/>
      <c r="U1630" s="1711"/>
      <c r="V1630" s="1711"/>
    </row>
    <row r="1631" spans="1:22" ht="14.4">
      <c r="A1631" s="1314"/>
      <c r="B1631" s="1525" t="s">
        <v>3749</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102">
      <c r="A1632" s="1583" t="str">
        <f>'Part VIII-Threshold Criteria'!A474</f>
        <v>Applicant agrees to accept 811 PBRA or other DCA sponsored RA for 10% of the total restricted units.</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4.4">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4786</v>
      </c>
      <c r="B1636" s="1314"/>
      <c r="C1636" s="1314" t="s">
        <v>2670</v>
      </c>
      <c r="D1636" s="457"/>
      <c r="E1636" s="1582"/>
      <c r="F1636" s="1582"/>
      <c r="G1636" s="1582"/>
      <c r="H1636" s="1582"/>
      <c r="I1636" s="1582"/>
      <c r="J1636" s="1582"/>
      <c r="K1636" s="1582"/>
      <c r="L1636" s="1582"/>
      <c r="M1636" s="1582"/>
      <c r="O1636" s="2388" t="s">
        <v>1867</v>
      </c>
      <c r="P1636" s="1317"/>
      <c r="Q1636" s="1317"/>
    </row>
    <row r="1637" spans="1:22">
      <c r="A1637" s="1314"/>
      <c r="B1637" s="1549" t="s">
        <v>3749</v>
      </c>
      <c r="C1637" s="1794"/>
      <c r="D1637" s="1549"/>
      <c r="E1637" s="1549"/>
      <c r="F1637" s="1549"/>
      <c r="G1637" s="1549"/>
      <c r="H1637" s="457"/>
      <c r="I1637" s="457"/>
      <c r="J1637" s="457"/>
      <c r="K1637" s="457"/>
      <c r="L1637" s="1317"/>
      <c r="M1637" s="1317"/>
      <c r="N1637" s="1317"/>
      <c r="O1637" s="1317"/>
      <c r="P1637" s="1317"/>
      <c r="Q1637" s="1317"/>
    </row>
    <row r="1638" spans="1:22" ht="173.4">
      <c r="A1638" s="1583" t="str">
        <f>'Part VIII-Threshold Criteria'!A480</f>
        <v>The Applicant believes the project as proposed is an optimal utilization of DCA resources and will provide much desired housing to the City of Gray and the surrounding area.</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4794</v>
      </c>
      <c r="B1643" s="1314"/>
      <c r="C1643" s="1314" t="s">
        <v>4963</v>
      </c>
      <c r="D1643" s="457"/>
      <c r="E1643" s="1583"/>
      <c r="F1643" s="1583"/>
      <c r="G1643" s="1583"/>
      <c r="H1643" s="1583"/>
      <c r="I1643" s="1583"/>
      <c r="J1643" s="1583"/>
      <c r="K1643" s="1583"/>
      <c r="L1643" s="1583"/>
      <c r="M1643" s="1583"/>
      <c r="N1643" s="1794"/>
      <c r="O1643" s="1583" t="s">
        <v>1867</v>
      </c>
      <c r="P1643" s="1317"/>
      <c r="Q1643" s="1317"/>
    </row>
    <row r="1644" spans="1:22" ht="18">
      <c r="A1644" s="1676"/>
      <c r="B1644" s="1723" t="s">
        <v>4795</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4915</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2019-060 Dulles Park II,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5314</v>
      </c>
      <c r="B1651" s="1468"/>
      <c r="C1651" s="1468"/>
      <c r="D1651" s="1468"/>
      <c r="E1651" s="1468"/>
      <c r="F1651" s="1468"/>
      <c r="G1651" s="1468"/>
      <c r="H1651" s="1468"/>
      <c r="I1651" s="1468"/>
      <c r="J1651" s="1468"/>
      <c r="K1651" s="1468"/>
      <c r="L1651" s="1468"/>
      <c r="M1651" s="1606" t="s">
        <v>2219</v>
      </c>
      <c r="N1651" s="1313"/>
      <c r="O1651" s="1313" t="s">
        <v>2218</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May 2019</v>
      </c>
      <c r="C1654" s="2330"/>
      <c r="D1654" s="2330"/>
      <c r="E1654" s="2330"/>
      <c r="F1654" s="2330"/>
      <c r="G1654" s="1314"/>
      <c r="H1654" s="1314"/>
      <c r="I1654" s="1314"/>
      <c r="J1654" s="1314"/>
      <c r="K1654" s="1655"/>
      <c r="L1654" s="2426" t="s">
        <v>1226</v>
      </c>
      <c r="M1654" s="1546">
        <f>M2096</f>
        <v>92</v>
      </c>
      <c r="N1654" s="1546"/>
      <c r="O1654" s="1546">
        <f>O2096</f>
        <v>54</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4804</v>
      </c>
      <c r="B1656" s="1314"/>
      <c r="C1656" s="1314"/>
      <c r="D1656" s="457"/>
      <c r="E1656" s="457"/>
      <c r="F1656" s="457"/>
      <c r="G1656" s="1549"/>
      <c r="H1656" s="1335" t="s">
        <v>5315</v>
      </c>
      <c r="I1656" s="1549"/>
      <c r="J1656" s="1549"/>
      <c r="K1656" s="1549"/>
      <c r="L1656" s="1549"/>
      <c r="M1656" s="2427" t="s">
        <v>5316</v>
      </c>
      <c r="N1656" s="1549"/>
      <c r="O1656" s="1607">
        <f>'Part IX Scoring Criteria'!O8</f>
        <v>0</v>
      </c>
      <c r="P1656" s="1313">
        <f>IF(P1658&lt;2,0,IF(AND(P1658&gt;1,P1658&lt;5),1,IF(P1658&gt;4,P1658-3)))</f>
        <v>0</v>
      </c>
      <c r="Q1656" s="457" t="s">
        <v>5317</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4141</v>
      </c>
      <c r="B1658" s="1738" t="s">
        <v>4142</v>
      </c>
      <c r="C1658" s="457"/>
      <c r="D1658" s="457"/>
      <c r="E1658" s="1738" t="s">
        <v>4169</v>
      </c>
      <c r="F1658" s="1738" t="s">
        <v>4168</v>
      </c>
      <c r="G1658" s="1738"/>
      <c r="H1658" s="1738"/>
      <c r="I1658" s="1738"/>
      <c r="J1658" s="1738"/>
      <c r="K1658" s="1738"/>
      <c r="L1658" s="1738"/>
      <c r="M1658" s="1738"/>
      <c r="N1658" s="1738"/>
      <c r="O1658" s="2429" t="s">
        <v>4802</v>
      </c>
      <c r="P1658" s="1578">
        <f>SUM(P1659:P1668)</f>
        <v>0</v>
      </c>
      <c r="Q1658" s="1550" t="s">
        <v>5318</v>
      </c>
      <c r="R1658" s="1550"/>
      <c r="S1658" s="1550"/>
      <c r="T1658" s="1550"/>
      <c r="U1658" s="1550"/>
      <c r="V1658" s="1550"/>
      <c r="W1658" s="1314"/>
      <c r="X1658" s="1314"/>
    </row>
    <row r="1659" spans="1:24">
      <c r="A1659" s="1673" t="s">
        <v>742</v>
      </c>
      <c r="B1659" s="1053" t="s">
        <v>4143</v>
      </c>
      <c r="C1659" s="1573"/>
      <c r="D1659" s="1573"/>
      <c r="E1659" s="2430" t="str">
        <f>$O$61</f>
        <v>13169030301</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4145</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4146</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4147</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3785</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4893</v>
      </c>
      <c r="B1664" s="1053" t="s">
        <v>4452</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2782</v>
      </c>
      <c r="B1665" s="1053" t="s">
        <v>4148</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2251</v>
      </c>
      <c r="B1666" s="1053" t="s">
        <v>4149</v>
      </c>
      <c r="C1666" s="1573"/>
      <c r="D1666" s="1573"/>
      <c r="E1666" s="2430">
        <f>O2017</f>
        <v>1</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4096</v>
      </c>
      <c r="B1667" s="1053" t="s">
        <v>4150</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4097</v>
      </c>
      <c r="B1668" s="1053" t="s">
        <v>4152</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2784</v>
      </c>
      <c r="C1670" s="1314"/>
      <c r="D1670" s="1314"/>
      <c r="E1670" s="1314"/>
      <c r="F1670" s="1578"/>
      <c r="G1670" s="1314"/>
      <c r="H1670" s="1335" t="s">
        <v>5319</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4797</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4.4">
      <c r="A1673" s="1511"/>
      <c r="B1673" s="2433" t="s">
        <v>1986</v>
      </c>
      <c r="C1673" s="1317" t="s">
        <v>4800</v>
      </c>
      <c r="D1673" s="1317"/>
      <c r="E1673" s="1317"/>
      <c r="F1673" s="1578"/>
      <c r="G1673" s="1659"/>
      <c r="H1673" s="1335" t="s">
        <v>3646</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4.4">
      <c r="A1674" s="1511"/>
      <c r="B1674" s="2433" t="s">
        <v>1988</v>
      </c>
      <c r="C1674" s="1317" t="s">
        <v>5320</v>
      </c>
      <c r="D1674" s="1317"/>
      <c r="E1674" s="1317"/>
      <c r="F1674" s="1578"/>
      <c r="G1674" s="1659"/>
      <c r="H1674" s="1335" t="s">
        <v>4798</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4.4">
      <c r="A1675" s="1511"/>
      <c r="B1675" s="2433" t="s">
        <v>2534</v>
      </c>
      <c r="C1675" s="1317" t="s">
        <v>4799</v>
      </c>
      <c r="D1675" s="1317"/>
      <c r="E1675" s="1317"/>
      <c r="F1675" s="1578"/>
      <c r="G1675" s="1659"/>
      <c r="H1675" s="1335" t="s">
        <v>4803</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5113</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4549</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5009</v>
      </c>
      <c r="B1680" s="1342"/>
      <c r="C1680" s="1342"/>
      <c r="D1680" s="1342"/>
      <c r="E1680" s="1342"/>
      <c r="F1680" s="1639" t="s">
        <v>4140</v>
      </c>
      <c r="G1680" s="1550" t="s">
        <v>5010</v>
      </c>
      <c r="H1680" s="1550"/>
      <c r="I1680" s="1550"/>
      <c r="J1680" s="1639" t="s">
        <v>4140</v>
      </c>
      <c r="K1680" s="1638" t="s">
        <v>4796</v>
      </c>
      <c r="L1680" s="1638"/>
      <c r="M1680" s="1638"/>
      <c r="N1680" s="1638"/>
      <c r="O1680" s="1335" t="s">
        <v>4140</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2905</v>
      </c>
      <c r="K1684" s="1573">
        <v>3</v>
      </c>
      <c r="L1684" s="1573"/>
      <c r="M1684" s="1573"/>
      <c r="N1684" s="1573"/>
      <c r="O1684" s="1583" t="s">
        <v>2905</v>
      </c>
      <c r="P1684" s="1583"/>
      <c r="Q1684" s="1319" t="s">
        <v>5321</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2905</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3585</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3586</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3587</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3588</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740</v>
      </c>
      <c r="B1695" s="2368" t="s">
        <v>3589</v>
      </c>
      <c r="C1695" s="1676"/>
      <c r="D1695" s="1676"/>
      <c r="E1695" s="457"/>
      <c r="F1695" s="1676"/>
      <c r="G1695" s="457"/>
      <c r="H1695" s="457"/>
      <c r="I1695" s="1549" t="s">
        <v>3489</v>
      </c>
      <c r="J1695" s="1676"/>
      <c r="K1695" s="1676"/>
      <c r="L1695" s="1676"/>
      <c r="M1695" s="1313">
        <v>3</v>
      </c>
      <c r="N1695" s="1313"/>
      <c r="O1695" s="1546">
        <f>'Part IX Scoring Criteria'!O47</f>
        <v>2</v>
      </c>
      <c r="P1695" s="1546">
        <f>IF(AND(P1699&gt;0,P1703&gt;0),"AorB?",MIN($M$47,P1699+P1703))</f>
        <v>0</v>
      </c>
      <c r="Q1695" s="1313" t="s">
        <v>441</v>
      </c>
      <c r="R1695" s="2421" t="str">
        <f>IF(OR($O1695=$M1695,$O1695=0,$O1695=""),"","* * Check Score! * *")</f>
        <v>* * Check Score! * *</v>
      </c>
      <c r="S1695" s="1676"/>
      <c r="T1695" s="1676"/>
      <c r="U1695" s="1676"/>
      <c r="V1695" s="1676"/>
      <c r="W1695" s="1676"/>
      <c r="X1695" s="1676"/>
    </row>
    <row r="1696" spans="1:24" ht="14.4">
      <c r="A1696" s="2436"/>
      <c r="B1696" s="2437"/>
      <c r="C1696" s="1659"/>
      <c r="D1696" s="1659"/>
      <c r="E1696" s="457"/>
      <c r="F1696" s="1659" t="s">
        <v>4811</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1983</v>
      </c>
      <c r="B1697" s="1723" t="s">
        <v>2625</v>
      </c>
      <c r="C1697" s="1659"/>
      <c r="D1697" s="1659"/>
      <c r="E1697" s="457"/>
      <c r="F1697" s="1659"/>
      <c r="G1697" s="1638"/>
      <c r="H1697" s="1051" t="s">
        <v>5011</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4805</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4.4">
      <c r="A1700" s="1511"/>
      <c r="B1700" s="2440" t="s">
        <v>1986</v>
      </c>
      <c r="C1700" s="2441" t="s">
        <v>4806</v>
      </c>
      <c r="D1700" s="457"/>
      <c r="E1700" s="1676"/>
      <c r="F1700" s="1676"/>
      <c r="G1700" s="1676"/>
      <c r="H1700" s="457" t="s">
        <v>4807</v>
      </c>
      <c r="I1700" s="1335"/>
      <c r="J1700" s="1676"/>
      <c r="K1700" s="2442">
        <f>'Part VI-Revenues &amp; Expenses'!B1697</f>
        <v>0</v>
      </c>
      <c r="L1700" s="1342" t="str">
        <f>IF(AND(O1700&gt;0,O1701&gt;0), "CHOOSE EITHER A OR B, NOT BOTH!", "")</f>
        <v/>
      </c>
      <c r="M1700" s="1316">
        <v>2</v>
      </c>
      <c r="N1700" s="1696" t="s">
        <v>1986</v>
      </c>
      <c r="O1700" s="1546">
        <f>'Part IX Scoring Criteria'!O52</f>
        <v>0</v>
      </c>
      <c r="P1700" s="1546"/>
      <c r="Q1700" s="2443" t="str">
        <f>IF(OR($O1700=$M1700,$O1700=0,$O1700=""),"","*CHECK!*")</f>
        <v/>
      </c>
      <c r="R1700" s="1335" t="s">
        <v>2706</v>
      </c>
      <c r="S1700" s="1676"/>
      <c r="T1700" s="1676"/>
      <c r="U1700" s="1676"/>
      <c r="V1700" s="1676"/>
      <c r="W1700" s="1676"/>
      <c r="X1700" s="1676"/>
    </row>
    <row r="1701" spans="1:24" ht="14.4">
      <c r="A1701" s="1620" t="s">
        <v>3344</v>
      </c>
      <c r="B1701" s="2440" t="s">
        <v>1988</v>
      </c>
      <c r="C1701" s="2441" t="s">
        <v>4808</v>
      </c>
      <c r="D1701" s="457"/>
      <c r="E1701" s="1676"/>
      <c r="F1701" s="1676"/>
      <c r="G1701" s="1676"/>
      <c r="H1701" s="1676"/>
      <c r="I1701" s="1335"/>
      <c r="J1701" s="1676"/>
      <c r="K1701" s="457"/>
      <c r="L1701" s="1342"/>
      <c r="M1701" s="1316">
        <v>2</v>
      </c>
      <c r="N1701" s="1696" t="s">
        <v>1988</v>
      </c>
      <c r="O1701" s="1546">
        <f>'Part IX Scoring Criteria'!O53</f>
        <v>2</v>
      </c>
      <c r="P1701" s="1546"/>
      <c r="Q1701" s="2443" t="str">
        <f>IF(OR($O1701=$M1701,$O1701=0,$O1701=""),"","*CHECK!*")</f>
        <v/>
      </c>
      <c r="R1701" s="1335" t="s">
        <v>2706</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1985</v>
      </c>
      <c r="B1703" s="1723" t="s">
        <v>5322</v>
      </c>
      <c r="C1703" s="1689"/>
      <c r="D1703" s="1689"/>
      <c r="E1703" s="1638"/>
      <c r="F1703" s="1689"/>
      <c r="G1703" s="1689"/>
      <c r="H1703" s="1335" t="s">
        <v>4809</v>
      </c>
      <c r="I1703" s="1335"/>
      <c r="J1703" s="2444" t="s">
        <v>4810</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4.4">
      <c r="A1704" s="2445"/>
      <c r="B1704" s="2440" t="s">
        <v>1986</v>
      </c>
      <c r="C1704" s="2446">
        <v>0.3</v>
      </c>
      <c r="D1704" s="1053" t="s">
        <v>3649</v>
      </c>
      <c r="E1704" s="1638"/>
      <c r="F1704" s="1647"/>
      <c r="G1704" s="1689"/>
      <c r="H1704" s="2447">
        <f>'Part IX Scoring Criteria'!H56</f>
        <v>0</v>
      </c>
      <c r="I1704" s="2447"/>
      <c r="J1704" s="244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40" t="s">
        <v>1988</v>
      </c>
      <c r="C1705" s="1532" t="s">
        <v>3951</v>
      </c>
      <c r="D1705" s="1689"/>
      <c r="E1705" s="2449"/>
      <c r="F1705" s="1647"/>
      <c r="G1705" s="1689"/>
      <c r="H1705" s="1689"/>
      <c r="I1705" s="1654"/>
      <c r="J1705" s="1654"/>
      <c r="K1705" s="1654"/>
      <c r="L1705" s="1654"/>
      <c r="M1705" s="1654"/>
      <c r="N1705" s="1684" t="s">
        <v>1988</v>
      </c>
      <c r="O1705" s="1578">
        <f>'Part IX Scoring Criteria'!O57</f>
        <v>0</v>
      </c>
      <c r="P1705" s="1578"/>
      <c r="Q1705" s="1689"/>
      <c r="R1705" s="1689"/>
      <c r="S1705" s="1689"/>
      <c r="T1705" s="1689"/>
      <c r="U1705" s="1689"/>
      <c r="V1705" s="1689"/>
      <c r="W1705" s="1689"/>
      <c r="X1705" s="1689"/>
    </row>
    <row r="1706" spans="1:24" ht="14.4">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4091</v>
      </c>
      <c r="C1709" s="1659"/>
      <c r="D1709" s="1695"/>
      <c r="E1709" s="1659"/>
      <c r="F1709" s="1659"/>
      <c r="G1709" s="1659"/>
      <c r="H1709" s="1659"/>
      <c r="I1709" s="1468" t="s">
        <v>3765</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3850</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5323</v>
      </c>
      <c r="J1712" s="1468"/>
      <c r="K1712" s="1468"/>
      <c r="L1712" s="1468"/>
      <c r="M1712" s="1313">
        <v>10</v>
      </c>
      <c r="N1712" s="1696" t="s">
        <v>1983</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1985</v>
      </c>
      <c r="B1713" s="1317" t="s">
        <v>3839</v>
      </c>
      <c r="C1713" s="1676"/>
      <c r="D1713" s="1724"/>
      <c r="E1713" s="1676"/>
      <c r="F1713" s="2335"/>
      <c r="G1713" s="1676"/>
      <c r="H1713" s="1377" t="s">
        <v>3980</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4.4">
      <c r="A1714" s="1314"/>
      <c r="B1714" s="1549" t="s">
        <v>3750</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234.6">
      <c r="A1715" s="1583" t="str">
        <f>'Part IX Scoring Criteria'!A67</f>
        <v>The project is within 2 miles of numerous desirables, including but not limited to, grocery store, public school, restaurants, pharmacy, place of worship, bank and others. The project is eligible for 10 points in this scoring section and there are no undesirables.</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4.4">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2631</v>
      </c>
      <c r="C1719" s="1659"/>
      <c r="D1719" s="1695"/>
      <c r="E1719" s="1659"/>
      <c r="F1719" s="1659"/>
      <c r="G1719" s="1659"/>
      <c r="H1719" s="1659"/>
      <c r="I1719" s="1659"/>
      <c r="J1719" s="1659"/>
      <c r="K1719" s="1701" t="s">
        <v>1879</v>
      </c>
      <c r="L1719" s="1659"/>
      <c r="M1719" s="1313">
        <v>6</v>
      </c>
      <c r="N1719" s="1620"/>
      <c r="O1719" s="1546">
        <f>'Part IX Scoring Criteria'!O71</f>
        <v>2</v>
      </c>
      <c r="P1719" s="1546">
        <f>IF($J$72="Flexible",MIN($M1719,MAX(P1734,P1740)),IF(AND($J$72="Rural",P1748&gt;0),MIN($M1748,P1748),0))</f>
        <v>0</v>
      </c>
      <c r="Q1719" s="1313" t="s">
        <v>441</v>
      </c>
      <c r="R1719" s="1702" t="s">
        <v>5324</v>
      </c>
      <c r="S1719" s="1702"/>
      <c r="T1719" s="1702"/>
      <c r="U1719" s="1702"/>
      <c r="V1719" s="1659"/>
      <c r="W1719" s="1659"/>
      <c r="X1719" s="1659"/>
    </row>
    <row r="1720" spans="1:24" ht="14.4">
      <c r="A1720" s="2432"/>
      <c r="B1720" s="1317" t="s">
        <v>3954</v>
      </c>
      <c r="C1720" s="1659"/>
      <c r="D1720" s="1695"/>
      <c r="E1720" s="1659"/>
      <c r="F1720" s="1659"/>
      <c r="G1720" s="1659"/>
      <c r="H1720" s="1317" t="s">
        <v>2794</v>
      </c>
      <c r="I1720" s="1204"/>
      <c r="J1720" s="1317" t="str">
        <f>'Part I-Project Information'!$H$105</f>
        <v>Rural</v>
      </c>
      <c r="K1720" s="1317"/>
      <c r="L1720" s="1659"/>
      <c r="M1720" s="1313"/>
      <c r="N1720" s="1620"/>
      <c r="O1720" s="1703" t="s">
        <v>3595</v>
      </c>
      <c r="P1720" s="1703" t="s">
        <v>3596</v>
      </c>
      <c r="Q1720" s="1313"/>
      <c r="R1720" s="1702"/>
      <c r="S1720" s="1702"/>
      <c r="T1720" s="1702"/>
      <c r="U1720" s="1702"/>
      <c r="V1720" s="1659"/>
      <c r="W1720" s="1659"/>
      <c r="X1720" s="1659"/>
    </row>
    <row r="1721" spans="1:24" ht="14.4">
      <c r="A1721" s="2432"/>
      <c r="B1721" s="1776" t="s">
        <v>1986</v>
      </c>
      <c r="C1721" s="457" t="s">
        <v>4816</v>
      </c>
      <c r="D1721" s="1724"/>
      <c r="E1721" s="1676"/>
      <c r="F1721" s="1676"/>
      <c r="G1721" s="1676"/>
      <c r="H1721" s="1549"/>
      <c r="I1721" s="1549"/>
      <c r="J1721" s="1317"/>
      <c r="K1721" s="1317"/>
      <c r="L1721" s="1676"/>
      <c r="M1721" s="1313"/>
      <c r="N1721" s="1620"/>
      <c r="O1721" s="1578">
        <f>'Part IX Scoring Criteria'!O73</f>
        <v>0</v>
      </c>
      <c r="P1721" s="1578"/>
      <c r="Q1721" s="1313"/>
      <c r="R1721" s="1702"/>
      <c r="S1721" s="1702"/>
      <c r="T1721" s="1702"/>
      <c r="U1721" s="1702"/>
      <c r="V1721" s="1659"/>
      <c r="W1721" s="1659"/>
      <c r="X1721" s="1659"/>
    </row>
    <row r="1722" spans="1:24" ht="14.4">
      <c r="A1722" s="2432"/>
      <c r="B1722" s="1776" t="s">
        <v>1988</v>
      </c>
      <c r="C1722" s="457" t="s">
        <v>4817</v>
      </c>
      <c r="D1722" s="1724"/>
      <c r="E1722" s="1676"/>
      <c r="F1722" s="1676"/>
      <c r="G1722" s="1676"/>
      <c r="H1722" s="1549"/>
      <c r="I1722" s="1549"/>
      <c r="J1722" s="1317"/>
      <c r="K1722" s="1317"/>
      <c r="L1722" s="1676"/>
      <c r="M1722" s="1676"/>
      <c r="N1722" s="1620"/>
      <c r="O1722" s="1578">
        <f>'Part IX Scoring Criteria'!O74</f>
        <v>0</v>
      </c>
      <c r="P1722" s="1578"/>
      <c r="Q1722" s="1313"/>
      <c r="R1722" s="1702"/>
      <c r="S1722" s="1702"/>
      <c r="T1722" s="1702"/>
      <c r="U1722" s="1702"/>
      <c r="V1722" s="1659"/>
      <c r="W1722" s="1659"/>
      <c r="X1722" s="1659"/>
    </row>
    <row r="1723" spans="1:24" ht="14.4">
      <c r="A1723" s="2432"/>
      <c r="B1723" s="1776" t="s">
        <v>2534</v>
      </c>
      <c r="C1723" s="457" t="s">
        <v>5325</v>
      </c>
      <c r="D1723" s="1724"/>
      <c r="E1723" s="1676"/>
      <c r="F1723" s="1676"/>
      <c r="G1723" s="1676"/>
      <c r="H1723" s="1549"/>
      <c r="I1723" s="1549"/>
      <c r="J1723" s="1317"/>
      <c r="K1723" s="1317"/>
      <c r="L1723" s="1676"/>
      <c r="M1723" s="1676"/>
      <c r="N1723" s="1620"/>
      <c r="O1723" s="1578">
        <f>'Part IX Scoring Criteria'!O75</f>
        <v>0</v>
      </c>
      <c r="P1723" s="1578"/>
      <c r="Q1723" s="1313"/>
      <c r="R1723" s="1702"/>
      <c r="S1723" s="1702"/>
      <c r="T1723" s="1702"/>
      <c r="U1723" s="1702"/>
      <c r="V1723" s="1659"/>
      <c r="W1723" s="1659"/>
      <c r="X1723" s="1659"/>
    </row>
    <row r="1724" spans="1:24" ht="14.4">
      <c r="A1724" s="2432"/>
      <c r="B1724" s="1776" t="s">
        <v>1224</v>
      </c>
      <c r="C1724" s="457" t="s">
        <v>4812</v>
      </c>
      <c r="D1724" s="1724"/>
      <c r="E1724" s="1676"/>
      <c r="F1724" s="1676"/>
      <c r="G1724" s="1676"/>
      <c r="H1724" s="1549"/>
      <c r="I1724" s="1549"/>
      <c r="J1724" s="1317"/>
      <c r="K1724" s="1317"/>
      <c r="L1724" s="1676"/>
      <c r="M1724" s="1676"/>
      <c r="N1724" s="1620"/>
      <c r="O1724" s="1578">
        <f>'Part IX Scoring Criteria'!O76</f>
        <v>0</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3960</v>
      </c>
      <c r="C1726" s="1659"/>
      <c r="D1726" s="1695"/>
      <c r="E1726" s="1659"/>
      <c r="F1726" s="1317" t="s">
        <v>3714</v>
      </c>
      <c r="G1726" s="1317"/>
      <c r="H1726" s="1317"/>
      <c r="I1726" s="1317"/>
      <c r="J1726" s="1317" t="s">
        <v>3715</v>
      </c>
      <c r="K1726" s="1317"/>
      <c r="L1726" s="1317"/>
      <c r="M1726" s="1317"/>
      <c r="N1726" s="1620"/>
      <c r="O1726" s="2450" t="s">
        <v>5326</v>
      </c>
      <c r="P1726" s="2450"/>
      <c r="Q1726" s="1313"/>
      <c r="R1726" s="1702"/>
      <c r="S1726" s="1702"/>
      <c r="T1726" s="1702"/>
      <c r="U1726" s="1702"/>
      <c r="V1726" s="1659"/>
      <c r="W1726" s="1659"/>
      <c r="X1726" s="1659"/>
    </row>
    <row r="1727" spans="1:24" ht="14.4">
      <c r="A1727" s="2432"/>
      <c r="B1727" s="1659"/>
      <c r="C1727" s="1317" t="s">
        <v>3959</v>
      </c>
      <c r="D1727" s="1394"/>
      <c r="E1727" s="1393"/>
      <c r="F1727" s="1706">
        <f>'Part IX Scoring Criteria'!F79</f>
        <v>33.00714</v>
      </c>
      <c r="G1727" s="1706">
        <f>'Part IX Scoring Criteria'!G79</f>
        <v>0</v>
      </c>
      <c r="H1727" s="1706"/>
      <c r="I1727" s="1706"/>
      <c r="J1727" s="1706">
        <f>'Part IX Scoring Criteria'!J79</f>
        <v>-83.544801000000007</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4137</v>
      </c>
      <c r="B1728" s="2451"/>
      <c r="C1728" s="1659"/>
      <c r="D1728" s="457" t="s">
        <v>3961</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4.4">
      <c r="A1729" s="2451"/>
      <c r="B1729" s="2451"/>
      <c r="C1729" s="1317" t="s">
        <v>4089</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4088</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2785</v>
      </c>
      <c r="B1732" s="2368"/>
      <c r="C1732" s="1659"/>
      <c r="D1732" s="1695"/>
      <c r="E1732" s="1659"/>
      <c r="F1732" s="1525" t="s">
        <v>5327</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1983</v>
      </c>
      <c r="B1734" s="1317" t="s">
        <v>3743</v>
      </c>
      <c r="C1734" s="1659"/>
      <c r="D1734" s="1695"/>
      <c r="E1734" s="1659"/>
      <c r="F1734" s="1549" t="s">
        <v>5328</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5329</v>
      </c>
      <c r="D1735" s="1583"/>
      <c r="E1735" s="1583"/>
      <c r="F1735" s="1583"/>
      <c r="G1735" s="1583"/>
      <c r="H1735" s="1583"/>
      <c r="I1735" s="1710" t="s">
        <v>5330</v>
      </c>
      <c r="J1735" s="1710"/>
      <c r="K1735" s="1710"/>
      <c r="L1735" s="1710"/>
      <c r="M1735" s="1713">
        <v>5</v>
      </c>
      <c r="N1735" s="1704" t="s">
        <v>1986</v>
      </c>
      <c r="O1735" s="2410">
        <f>'Part IX Scoring Criteria'!O87</f>
        <v>0</v>
      </c>
      <c r="P1735" s="2410"/>
      <c r="Q1735" s="2443" t="str">
        <f>IF(OR($O1735=$M1735,$O1735=0,$O1735=""),"","*CHECK!*")</f>
        <v/>
      </c>
      <c r="R1735" s="1335" t="s">
        <v>2706</v>
      </c>
      <c r="S1735" s="1711"/>
      <c r="T1735" s="1711"/>
      <c r="U1735" s="1711"/>
      <c r="V1735" s="1711"/>
      <c r="W1735" s="1711"/>
      <c r="X1735" s="1711"/>
    </row>
    <row r="1736" spans="1:24" ht="15" customHeight="1">
      <c r="A1736" s="1578" t="s">
        <v>1353</v>
      </c>
      <c r="B1736" s="1704" t="s">
        <v>1988</v>
      </c>
      <c r="C1736" s="1604" t="s">
        <v>5331</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43" t="str">
        <f>IF(OR($O1736=$M1736,$O1736=0,$O1736=""),"","*CHECK!*")</f>
        <v/>
      </c>
      <c r="R1736" s="1335" t="s">
        <v>2706</v>
      </c>
      <c r="S1736" s="1711"/>
      <c r="T1736" s="1711"/>
      <c r="U1736" s="1711"/>
      <c r="V1736" s="1711"/>
      <c r="W1736" s="1711"/>
      <c r="X1736" s="1711"/>
    </row>
    <row r="1737" spans="1:24" ht="15" customHeight="1">
      <c r="A1737" s="1711"/>
      <c r="B1737" s="1704" t="s">
        <v>2534</v>
      </c>
      <c r="C1737" s="1604" t="s">
        <v>3744</v>
      </c>
      <c r="D1737" s="1604"/>
      <c r="E1737" s="1604"/>
      <c r="F1737" s="1604"/>
      <c r="G1737" s="1711"/>
      <c r="H1737" s="1711"/>
      <c r="I1737" s="1710"/>
      <c r="J1737" s="1710"/>
      <c r="K1737" s="1710"/>
      <c r="L1737" s="1710"/>
      <c r="M1737" s="1313">
        <v>1</v>
      </c>
      <c r="N1737" s="1776" t="s">
        <v>2534</v>
      </c>
      <c r="O1737" s="1546">
        <f>'Part IX Scoring Criteria'!O89</f>
        <v>0</v>
      </c>
      <c r="P1737" s="1546"/>
      <c r="Q1737" s="2443" t="str">
        <f>IF(OR($O1737=$M1737,$O1737=0,$O1737=""),"","*CHECK!*")</f>
        <v/>
      </c>
      <c r="R1737" s="1335" t="s">
        <v>2706</v>
      </c>
      <c r="S1737" s="1711"/>
      <c r="T1737" s="1711"/>
      <c r="U1737" s="1711"/>
      <c r="V1737" s="1711"/>
      <c r="W1737" s="1711"/>
      <c r="X1737" s="1711"/>
    </row>
    <row r="1738" spans="1:24" ht="15" customHeight="1">
      <c r="A1738" s="1711"/>
      <c r="B1738" s="1704"/>
      <c r="C1738" s="1377" t="s">
        <v>4087</v>
      </c>
      <c r="D1738" s="1604"/>
      <c r="E1738" s="1604"/>
      <c r="F1738" s="1372" t="str">
        <f>'Part I-Project Information'!$H$82</f>
        <v>HFOP</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1985</v>
      </c>
      <c r="B1740" s="1202" t="s">
        <v>3745</v>
      </c>
      <c r="C1740" s="1202"/>
      <c r="D1740" s="1202"/>
      <c r="E1740" s="1202"/>
      <c r="F1740" s="1580" t="s">
        <v>5332</v>
      </c>
      <c r="G1740" s="1711"/>
      <c r="H1740" s="1711"/>
      <c r="I1740" s="1573" t="str">
        <f>'Part IX Scoring Criteria'!I92</f>
        <v>Jones County Transit</v>
      </c>
      <c r="J1740" s="1573"/>
      <c r="K1740" s="1573"/>
      <c r="L1740" s="1848">
        <f>'Part IX Scoring Criteria'!L92</f>
        <v>4789866432</v>
      </c>
      <c r="M1740" s="1313">
        <v>3</v>
      </c>
      <c r="N1740" s="1620" t="s">
        <v>1985</v>
      </c>
      <c r="O1740" s="1546">
        <f>'Part IX Scoring Criteria'!O92</f>
        <v>0</v>
      </c>
      <c r="P1740" s="1546">
        <f>IF($J$72="Flexible",MIN($M1740,P1743+P1744+P1745),0)</f>
        <v>0</v>
      </c>
      <c r="Q1740" s="2422"/>
      <c r="R1740" s="1528"/>
      <c r="S1740" s="1711"/>
      <c r="T1740" s="1711"/>
      <c r="U1740" s="1711"/>
      <c r="V1740" s="1711"/>
      <c r="W1740" s="1711"/>
      <c r="X1740" s="1711"/>
    </row>
    <row r="1741" spans="1:24" ht="14.4">
      <c r="A1741" s="2432"/>
      <c r="B1741" s="1620" t="s">
        <v>3776</v>
      </c>
      <c r="C1741" s="1335" t="s">
        <v>4815</v>
      </c>
      <c r="D1741" s="1724"/>
      <c r="E1741" s="1676"/>
      <c r="F1741" s="1676"/>
      <c r="G1741" s="1676"/>
      <c r="H1741" s="1549"/>
      <c r="I1741" s="1573"/>
      <c r="J1741" s="1573"/>
      <c r="K1741" s="1573"/>
      <c r="L1741" s="1848"/>
      <c r="M1741" s="1676"/>
      <c r="N1741" s="1620" t="s">
        <v>3776</v>
      </c>
      <c r="O1741" s="1578">
        <f>'Part IX Scoring Criteria'!O93</f>
        <v>0</v>
      </c>
      <c r="P1741" s="1578"/>
      <c r="Q1741" s="1313"/>
      <c r="R1741" s="1528"/>
      <c r="S1741" s="1711"/>
      <c r="T1741" s="1711"/>
      <c r="U1741" s="1711"/>
      <c r="V1741" s="1659"/>
      <c r="W1741" s="1659"/>
      <c r="X1741" s="1659"/>
    </row>
    <row r="1742" spans="1:24" ht="15" customHeight="1">
      <c r="A1742" s="2432"/>
      <c r="B1742" s="1620" t="s">
        <v>3777</v>
      </c>
      <c r="C1742" s="1335" t="s">
        <v>4814</v>
      </c>
      <c r="D1742" s="1724"/>
      <c r="E1742" s="1676"/>
      <c r="F1742" s="1676"/>
      <c r="G1742" s="1676"/>
      <c r="H1742" s="1549"/>
      <c r="I1742" s="1573" t="str">
        <f>'Part IX Scoring Criteria'!I94</f>
        <v>jonestransit@mgcaa.org</v>
      </c>
      <c r="J1742" s="1573"/>
      <c r="K1742" s="1573"/>
      <c r="L1742" s="1573"/>
      <c r="M1742" s="1676"/>
      <c r="N1742" s="1620" t="s">
        <v>3777</v>
      </c>
      <c r="O1742" s="1578">
        <f>'Part IX Scoring Criteria'!O94</f>
        <v>0</v>
      </c>
      <c r="P1742" s="1578"/>
      <c r="Q1742" s="1313"/>
      <c r="R1742" s="1528"/>
      <c r="S1742" s="1711"/>
      <c r="T1742" s="1711"/>
      <c r="U1742" s="1711"/>
      <c r="V1742" s="1659"/>
      <c r="W1742" s="1659"/>
      <c r="X1742" s="1659"/>
    </row>
    <row r="1743" spans="1:24" ht="15" customHeight="1">
      <c r="A1743" s="1511"/>
      <c r="B1743" s="2453" t="s">
        <v>1986</v>
      </c>
      <c r="C1743" s="1550" t="s">
        <v>5333</v>
      </c>
      <c r="D1743" s="1550"/>
      <c r="E1743" s="1550"/>
      <c r="F1743" s="1550"/>
      <c r="G1743" s="1550"/>
      <c r="H1743" s="1550"/>
      <c r="I1743" s="1573"/>
      <c r="J1743" s="1573"/>
      <c r="K1743" s="1573"/>
      <c r="L1743" s="1573"/>
      <c r="M1743" s="1313">
        <v>3</v>
      </c>
      <c r="N1743" s="1776" t="s">
        <v>1986</v>
      </c>
      <c r="O1743" s="1546">
        <f>'Part IX Scoring Criteria'!O95</f>
        <v>0</v>
      </c>
      <c r="P1743" s="1546"/>
      <c r="Q1743" s="2411" t="str">
        <f>IF(OR($O1743=$M1743,$O1743=0,$O1743=""),"","*CHECK!*")</f>
        <v/>
      </c>
      <c r="R1743" s="1528" t="s">
        <v>2706</v>
      </c>
      <c r="S1743" s="1711"/>
      <c r="T1743" s="1711"/>
      <c r="U1743" s="1711"/>
      <c r="V1743" s="1711"/>
      <c r="W1743" s="1711"/>
      <c r="X1743" s="1711"/>
    </row>
    <row r="1744" spans="1:24" ht="15" customHeight="1">
      <c r="A1744" s="1578" t="s">
        <v>1353</v>
      </c>
      <c r="B1744" s="2453" t="s">
        <v>1988</v>
      </c>
      <c r="C1744" s="1550" t="s">
        <v>5334</v>
      </c>
      <c r="D1744" s="1550"/>
      <c r="E1744" s="1550"/>
      <c r="F1744" s="1550"/>
      <c r="G1744" s="1550"/>
      <c r="H1744" s="1550"/>
      <c r="I1744" s="1573" t="str">
        <f>'Part IX Scoring Criteria'!I96</f>
        <v>http://www.jonescountyga.org/county-directory/transit/</v>
      </c>
      <c r="J1744" s="1573"/>
      <c r="K1744" s="1573"/>
      <c r="L1744" s="1573"/>
      <c r="M1744" s="1313">
        <v>2</v>
      </c>
      <c r="N1744" s="1776" t="s">
        <v>1988</v>
      </c>
      <c r="O1744" s="1546">
        <f>'Part IX Scoring Criteria'!O96</f>
        <v>0</v>
      </c>
      <c r="P1744" s="1546"/>
      <c r="Q1744" s="2411" t="str">
        <f>IF(OR($O1744=$M1744,$O1744=0,$O1744=""),"","*CHECK!*")</f>
        <v/>
      </c>
      <c r="R1744" s="1528" t="s">
        <v>2706</v>
      </c>
      <c r="S1744" s="1659"/>
      <c r="T1744" s="1659"/>
      <c r="U1744" s="1659"/>
      <c r="V1744" s="1659"/>
      <c r="W1744" s="1659"/>
      <c r="X1744" s="1659"/>
    </row>
    <row r="1745" spans="1:24" ht="15" customHeight="1">
      <c r="A1745" s="1578" t="s">
        <v>1353</v>
      </c>
      <c r="B1745" s="2453" t="s">
        <v>2534</v>
      </c>
      <c r="C1745" s="1550" t="s">
        <v>5335</v>
      </c>
      <c r="D1745" s="1550"/>
      <c r="E1745" s="1550"/>
      <c r="F1745" s="1550"/>
      <c r="G1745" s="1550"/>
      <c r="H1745" s="1550"/>
      <c r="I1745" s="1573"/>
      <c r="J1745" s="1573"/>
      <c r="K1745" s="1573"/>
      <c r="L1745" s="1573"/>
      <c r="M1745" s="1313">
        <v>1</v>
      </c>
      <c r="N1745" s="1776" t="s">
        <v>2534</v>
      </c>
      <c r="O1745" s="1546">
        <f>'Part IX Scoring Criteria'!O97</f>
        <v>0</v>
      </c>
      <c r="P1745" s="1546"/>
      <c r="Q1745" s="2411" t="str">
        <f>IF(OR($O1745=$M1745,$O1745=0,$O1745=""),"","*CHECK!*")</f>
        <v/>
      </c>
      <c r="R1745" s="1528" t="s">
        <v>2706</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http://www.jonescountyga.org/county-directory/transit/</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2787</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5336</v>
      </c>
      <c r="D1748" s="1721"/>
      <c r="E1748" s="1721"/>
      <c r="F1748" s="1721"/>
      <c r="G1748" s="1721"/>
      <c r="H1748" s="1721"/>
      <c r="I1748" s="1317"/>
      <c r="J1748" s="1317"/>
      <c r="K1748" s="1317"/>
      <c r="L1748" s="1317"/>
      <c r="M1748" s="1313">
        <v>2</v>
      </c>
      <c r="N1748" s="1776" t="s">
        <v>1224</v>
      </c>
      <c r="O1748" s="1546">
        <f>'Part IX Scoring Criteria'!O100</f>
        <v>2</v>
      </c>
      <c r="P1748" s="1546"/>
      <c r="Q1748" s="2411" t="str">
        <f>IF(OR($O1748=$M1748,$O1748=0,$O1748=""),"","*CHECK!*")</f>
        <v/>
      </c>
      <c r="R1748" s="1528" t="s">
        <v>2706</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5337</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1794</v>
      </c>
      <c r="B1755" s="2368" t="s">
        <v>3978</v>
      </c>
      <c r="C1755" s="1659"/>
      <c r="D1755" s="457"/>
      <c r="E1755" s="457"/>
      <c r="F1755" s="1313"/>
      <c r="G1755" s="1313"/>
      <c r="H1755" s="1313"/>
      <c r="I1755" s="1525" t="s">
        <v>5327</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1983</v>
      </c>
      <c r="B1757" s="1317" t="s">
        <v>3979</v>
      </c>
      <c r="C1757" s="1676"/>
      <c r="D1757" s="1724"/>
      <c r="E1757" s="457" t="s">
        <v>4093</v>
      </c>
      <c r="F1757" s="1676"/>
      <c r="G1757" s="1524"/>
      <c r="H1757" s="1676"/>
      <c r="I1757" s="1620" t="s">
        <v>4087</v>
      </c>
      <c r="J1757" s="1524" t="str">
        <f>'Part I-Project Information'!$H$82</f>
        <v>HFOP</v>
      </c>
      <c r="K1757" s="1724"/>
      <c r="L1757" s="2421" t="str">
        <f>IF(OR($O1757=$M1757,$O1757=0,$O1757=""),"","* * Check Score! * *")</f>
        <v/>
      </c>
      <c r="M1757" s="1313">
        <v>3</v>
      </c>
      <c r="N1757" s="1620" t="s">
        <v>1983</v>
      </c>
      <c r="O1757" s="1546">
        <f>'Part IX Scoring Criteria'!O109</f>
        <v>0</v>
      </c>
      <c r="P1757" s="1546"/>
      <c r="Q1757" s="2443" t="str">
        <f>IF(OR($O1757=$M1757,$O1757=0,$O1757=""),"","*CHECK!*")</f>
        <v/>
      </c>
      <c r="R1757" s="1335" t="s">
        <v>2706</v>
      </c>
      <c r="S1757" s="1676"/>
      <c r="T1757" s="1676"/>
      <c r="U1757" s="1676"/>
      <c r="V1757" s="1676"/>
      <c r="W1757" s="1676"/>
      <c r="X1757" s="1676"/>
    </row>
    <row r="1758" spans="1:24" ht="14.4">
      <c r="A1758" s="1314"/>
      <c r="B1758" s="1051" t="s">
        <v>4610</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1986</v>
      </c>
      <c r="C1759" s="457" t="s">
        <v>5114</v>
      </c>
      <c r="D1759" s="457"/>
      <c r="E1759" s="457"/>
      <c r="F1759" s="1313"/>
      <c r="G1759" s="1313"/>
      <c r="H1759" s="1313"/>
      <c r="I1759" s="1313"/>
      <c r="J1759" s="1524"/>
      <c r="K1759" s="1524"/>
      <c r="L1759" s="1524"/>
      <c r="M1759" s="1578"/>
      <c r="N1759" s="1696" t="s">
        <v>1986</v>
      </c>
      <c r="O1759" s="1578">
        <f>'Part IX Scoring Criteria'!O111</f>
        <v>0</v>
      </c>
      <c r="P1759" s="1578"/>
      <c r="Q1759" s="1659"/>
      <c r="R1759" s="1659"/>
      <c r="S1759" s="1659"/>
      <c r="T1759" s="1659"/>
      <c r="U1759" s="1659"/>
      <c r="V1759" s="1659"/>
      <c r="W1759" s="1659"/>
      <c r="X1759" s="1659"/>
    </row>
    <row r="1760" spans="1:24" ht="14.4">
      <c r="A1760" s="1314"/>
      <c r="B1760" s="2455" t="s">
        <v>1988</v>
      </c>
      <c r="C1760" s="457" t="s">
        <v>5115</v>
      </c>
      <c r="D1760" s="457"/>
      <c r="E1760" s="457"/>
      <c r="F1760" s="1313"/>
      <c r="G1760" s="1313"/>
      <c r="H1760" s="1313"/>
      <c r="I1760" s="1313"/>
      <c r="J1760" s="1524"/>
      <c r="K1760" s="1524"/>
      <c r="L1760" s="1524"/>
      <c r="M1760" s="1578"/>
      <c r="N1760" s="1696" t="s">
        <v>1988</v>
      </c>
      <c r="O1760" s="1578">
        <f>'Part IX Scoring Criteria'!O112</f>
        <v>0</v>
      </c>
      <c r="P1760" s="1578"/>
      <c r="Q1760" s="1659"/>
      <c r="R1760" s="1659"/>
      <c r="S1760" s="1659"/>
      <c r="T1760" s="1659"/>
      <c r="U1760" s="1659"/>
      <c r="V1760" s="1659"/>
      <c r="W1760" s="1659"/>
      <c r="X1760" s="1659"/>
    </row>
    <row r="1761" spans="1:24" ht="18">
      <c r="A1761" s="1620"/>
      <c r="B1761" s="2455" t="s">
        <v>2534</v>
      </c>
      <c r="C1761" s="457" t="s">
        <v>4819</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1985</v>
      </c>
      <c r="B1763" s="1317" t="s">
        <v>3982</v>
      </c>
      <c r="C1763" s="1676"/>
      <c r="D1763" s="1676"/>
      <c r="E1763" s="1676"/>
      <c r="F1763" s="457"/>
      <c r="G1763" s="457"/>
      <c r="H1763" s="1676"/>
      <c r="I1763" s="1676"/>
      <c r="J1763" s="1676"/>
      <c r="K1763" s="1676"/>
      <c r="L1763" s="2421" t="str">
        <f>IF(OR($O1763=$M1763,$O1763=0,$O1763=""),"","* * Check Score! * *")</f>
        <v/>
      </c>
      <c r="M1763" s="1316">
        <v>3</v>
      </c>
      <c r="N1763" s="1620" t="s">
        <v>1985</v>
      </c>
      <c r="O1763" s="1546">
        <f>'Part IX Scoring Criteria'!O115</f>
        <v>3</v>
      </c>
      <c r="P1763" s="1546"/>
      <c r="Q1763" s="2443" t="str">
        <f>IF(OR($O1763=$M1763,$O1763=0,$O1763=""),"","*CHECK!*")</f>
        <v/>
      </c>
      <c r="R1763" s="1335" t="s">
        <v>2706</v>
      </c>
      <c r="S1763" s="2423"/>
      <c r="T1763" s="2423"/>
      <c r="U1763" s="1676"/>
      <c r="V1763" s="1676"/>
      <c r="W1763" s="1676"/>
      <c r="X1763" s="1676"/>
    </row>
    <row r="1764" spans="1:24" ht="18">
      <c r="A1764" s="1511"/>
      <c r="B1764" s="1727"/>
      <c r="C1764" s="457" t="s">
        <v>3983</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20.399999999999999">
      <c r="A1765" s="1511"/>
      <c r="B1765" s="1727"/>
      <c r="C1765" s="457" t="s">
        <v>4569</v>
      </c>
      <c r="D1765" s="1335" t="s">
        <v>4821</v>
      </c>
      <c r="E1765" s="1676"/>
      <c r="F1765" s="457"/>
      <c r="G1765" s="457"/>
      <c r="H1765" s="1468" t="str">
        <f>'Part IX Scoring Criteria'!H117</f>
        <v>Jones County Health Department</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3986</v>
      </c>
      <c r="D1766" s="1676"/>
      <c r="E1766" s="457"/>
      <c r="F1766" s="457"/>
      <c r="G1766" s="457"/>
      <c r="H1766" s="1676"/>
      <c r="I1766" s="1676"/>
      <c r="J1766" s="1676"/>
      <c r="K1766" s="1676"/>
      <c r="L1766" s="1676"/>
      <c r="M1766" s="1313"/>
      <c r="N1766" s="1627" t="s">
        <v>3776</v>
      </c>
      <c r="O1766" s="1578" t="str">
        <f>'Part IX Scoring Criteria'!O118</f>
        <v>Yes</v>
      </c>
      <c r="P1766" s="1578"/>
      <c r="Q1766" s="2423"/>
      <c r="R1766" s="2423"/>
      <c r="S1766" s="2423"/>
      <c r="T1766" s="2423"/>
      <c r="U1766" s="1676"/>
      <c r="V1766" s="1676"/>
      <c r="W1766" s="1676"/>
      <c r="X1766" s="1676"/>
    </row>
    <row r="1767" spans="1:24" ht="18">
      <c r="A1767" s="1620"/>
      <c r="B1767" s="1776"/>
      <c r="C1767" s="457" t="s">
        <v>3987</v>
      </c>
      <c r="D1767" s="457"/>
      <c r="E1767" s="457"/>
      <c r="F1767" s="457"/>
      <c r="G1767" s="457"/>
      <c r="H1767" s="457"/>
      <c r="I1767" s="457"/>
      <c r="J1767" s="457"/>
      <c r="K1767" s="457"/>
      <c r="L1767" s="457"/>
      <c r="M1767" s="1578"/>
      <c r="N1767" s="1620" t="s">
        <v>3777</v>
      </c>
      <c r="O1767" s="1578" t="str">
        <f>'Part IX Scoring Criteria'!O119</f>
        <v>Yes</v>
      </c>
      <c r="P1767" s="1578"/>
      <c r="Q1767" s="2423"/>
      <c r="R1767" s="2423"/>
      <c r="S1767" s="2423"/>
      <c r="T1767" s="2423"/>
      <c r="U1767" s="457"/>
      <c r="V1767" s="457"/>
      <c r="W1767" s="457"/>
      <c r="X1767" s="457"/>
    </row>
    <row r="1768" spans="1:24">
      <c r="A1768" s="1620"/>
      <c r="B1768" s="1051"/>
      <c r="C1768" s="1051" t="s">
        <v>4121</v>
      </c>
      <c r="D1768" s="1051"/>
      <c r="E1768" s="457"/>
      <c r="F1768" s="457"/>
      <c r="G1768" s="457"/>
      <c r="H1768" s="1051"/>
      <c r="I1768" s="1051"/>
      <c r="J1768" s="1051"/>
      <c r="K1768" s="1051"/>
      <c r="L1768" s="1638" t="s">
        <v>3813</v>
      </c>
      <c r="M1768" s="1638"/>
      <c r="N1768" s="1638"/>
      <c r="O1768" s="1638" t="s">
        <v>3812</v>
      </c>
      <c r="P1768" s="1638"/>
      <c r="Q1768" s="457"/>
      <c r="R1768" s="1051"/>
      <c r="S1768" s="1051"/>
      <c r="T1768" s="1051"/>
      <c r="U1768" s="1051"/>
      <c r="V1768" s="1051"/>
      <c r="W1768" s="1051"/>
      <c r="X1768" s="1051"/>
    </row>
    <row r="1769" spans="1:24" ht="51">
      <c r="A1769" s="1620"/>
      <c r="B1769" s="1620"/>
      <c r="C1769" s="1583" t="str">
        <f>'Part IX Scoring Criteria'!C121</f>
        <v xml:space="preserve">Health screening and wellness education services </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112.2">
      <c r="A1770" s="1620"/>
      <c r="B1770" s="1627"/>
      <c r="C1770" s="1583" t="str">
        <f>'Part IX Scoring Criteria'!C122</f>
        <v>Blood pressure checks, biometric screenings, women's health exams, hypertension and diabetes monitoring</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ht="51">
      <c r="A1771" s="1620"/>
      <c r="B1771" s="1620"/>
      <c r="C1771" s="1583" t="str">
        <f>'Part IX Scoring Criteria'!C123</f>
        <v>CPR, first aid classes and safe home education classes</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f>'Part IX Scoring Criteria'!L124</f>
        <v>0</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4570</v>
      </c>
      <c r="D1773" s="457" t="s">
        <v>3988</v>
      </c>
      <c r="E1773" s="457"/>
      <c r="F1773" s="457"/>
      <c r="G1773" s="457"/>
      <c r="H1773" s="1676"/>
      <c r="I1773" s="1676"/>
      <c r="J1773" s="1676"/>
      <c r="K1773" s="1676"/>
      <c r="L1773" s="1676"/>
      <c r="M1773" s="1676"/>
      <c r="N1773" s="1627" t="s">
        <v>3776</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3989</v>
      </c>
      <c r="E1774" s="457"/>
      <c r="F1774" s="457"/>
      <c r="G1774" s="457"/>
      <c r="H1774" s="1676"/>
      <c r="I1774" s="1676"/>
      <c r="J1774" s="1676"/>
      <c r="K1774" s="1676"/>
      <c r="L1774" s="1676"/>
      <c r="M1774" s="1313"/>
      <c r="N1774" s="1620" t="s">
        <v>3777</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4820</v>
      </c>
      <c r="E1775" s="457"/>
      <c r="F1775" s="457"/>
      <c r="G1775" s="457"/>
      <c r="H1775" s="457"/>
      <c r="I1775" s="457"/>
      <c r="J1775" s="457"/>
      <c r="K1775" s="457"/>
      <c r="L1775" s="457"/>
      <c r="M1775" s="1578"/>
      <c r="N1775" s="1620" t="s">
        <v>3778</v>
      </c>
      <c r="O1775" s="457"/>
      <c r="P1775" s="457"/>
      <c r="Q1775" s="457"/>
      <c r="R1775" s="1051"/>
      <c r="S1775" s="1051"/>
      <c r="T1775" s="1051"/>
      <c r="U1775" s="1051"/>
      <c r="V1775" s="457"/>
      <c r="W1775" s="457"/>
      <c r="X1775" s="457"/>
    </row>
    <row r="1776" spans="1:24">
      <c r="A1776" s="1620"/>
      <c r="B1776" s="1620"/>
      <c r="C1776" s="1051"/>
      <c r="D1776" s="1620"/>
      <c r="E1776" s="1524" t="s">
        <v>4153</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4475</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4155</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4607</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4608</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4609</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t="str">
        <f>'Part IX Scoring Criteria'!O134</f>
        <v>N/a</v>
      </c>
      <c r="P1782" s="1578"/>
      <c r="Q1782" s="457"/>
      <c r="R1782" s="1051"/>
      <c r="S1782" s="1051"/>
      <c r="T1782" s="1051"/>
      <c r="U1782" s="1051"/>
      <c r="V1782" s="1051"/>
      <c r="W1782" s="1051"/>
      <c r="X1782" s="1051"/>
    </row>
    <row r="1783" spans="1:24" ht="14.4">
      <c r="A1783" s="1511"/>
      <c r="B1783" s="457"/>
      <c r="C1783" s="1676"/>
      <c r="D1783" s="457" t="s">
        <v>4822</v>
      </c>
      <c r="E1783" s="457"/>
      <c r="F1783" s="457"/>
      <c r="G1783" s="457"/>
      <c r="H1783" s="1676"/>
      <c r="I1783" s="1676"/>
      <c r="J1783" s="1676"/>
      <c r="K1783" s="1676"/>
      <c r="L1783" s="1676"/>
      <c r="M1783" s="1313"/>
      <c r="N1783" s="1620" t="s">
        <v>3780</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3814</v>
      </c>
      <c r="C1785" s="1676"/>
      <c r="D1785" s="457"/>
      <c r="E1785" s="1676"/>
      <c r="F1785" s="457"/>
      <c r="G1785" s="457"/>
      <c r="H1785" s="457"/>
      <c r="I1785" s="457"/>
      <c r="J1785" s="457"/>
      <c r="K1785" s="457"/>
      <c r="L1785" s="2421" t="str">
        <f>IF(OR($O1785=$M1785,$O1785=0,$O1785=""),"","* * Check Score! * *")</f>
        <v/>
      </c>
      <c r="M1785" s="1316">
        <v>1</v>
      </c>
      <c r="N1785" s="1696" t="s">
        <v>1988</v>
      </c>
      <c r="O1785" s="1546">
        <f>'Part IX Scoring Criteria'!O137</f>
        <v>1</v>
      </c>
      <c r="P1785" s="1546"/>
      <c r="Q1785" s="2443" t="str">
        <f>IF(OR($O1785=$M1785,$O1785=0,$O1785=""),"","*CHECK!*")</f>
        <v/>
      </c>
      <c r="R1785" s="1335" t="s">
        <v>2706</v>
      </c>
      <c r="S1785" s="2423"/>
      <c r="T1785" s="2423"/>
      <c r="U1785" s="2423"/>
      <c r="V1785" s="1676"/>
      <c r="W1785" s="1676"/>
      <c r="X1785" s="1676"/>
    </row>
    <row r="1786" spans="1:24" ht="18">
      <c r="A1786" s="1620"/>
      <c r="B1786" s="457"/>
      <c r="C1786" s="457" t="s">
        <v>3990</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5338</v>
      </c>
      <c r="D1787" s="1583"/>
      <c r="E1787" s="1583"/>
      <c r="F1787" s="1643"/>
      <c r="G1787" s="1524" t="s">
        <v>3991</v>
      </c>
      <c r="H1787" s="457"/>
      <c r="I1787" s="1643"/>
      <c r="J1787" s="1643"/>
      <c r="K1787" s="1643"/>
      <c r="L1787" s="1643"/>
      <c r="M1787" s="1620" t="s">
        <v>2435</v>
      </c>
      <c r="N1787" s="1620" t="s">
        <v>3776</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3992</v>
      </c>
      <c r="H1788" s="457"/>
      <c r="I1788" s="1643"/>
      <c r="J1788" s="1643"/>
      <c r="K1788" s="1643"/>
      <c r="L1788" s="1643"/>
      <c r="M1788" s="1578"/>
      <c r="N1788" s="1627" t="s">
        <v>3777</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3993</v>
      </c>
      <c r="H1789" s="457"/>
      <c r="I1789" s="1643"/>
      <c r="J1789" s="1643"/>
      <c r="K1789" s="1643"/>
      <c r="L1789" s="1643"/>
      <c r="M1789" s="1578"/>
      <c r="N1789" s="1620" t="s">
        <v>3778</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3994</v>
      </c>
      <c r="H1790" s="457"/>
      <c r="I1790" s="1643"/>
      <c r="J1790" s="1643"/>
      <c r="K1790" s="1643"/>
      <c r="L1790" s="1643"/>
      <c r="M1790" s="1578"/>
      <c r="N1790" s="1620" t="s">
        <v>3780</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3995</v>
      </c>
      <c r="H1791" s="457"/>
      <c r="I1791" s="1643"/>
      <c r="J1791" s="1643"/>
      <c r="K1791" s="1643"/>
      <c r="L1791" s="1643"/>
      <c r="M1791" s="1578"/>
      <c r="N1791" s="1627" t="s">
        <v>3781</v>
      </c>
      <c r="O1791" s="1578" t="str">
        <f>'Part IX Scoring Criteria'!O143</f>
        <v>Yes</v>
      </c>
      <c r="P1791" s="1578"/>
      <c r="Q1791" s="457"/>
      <c r="R1791" s="457"/>
      <c r="S1791" s="457"/>
      <c r="T1791" s="457"/>
      <c r="U1791" s="457"/>
      <c r="V1791" s="457"/>
      <c r="W1791" s="457"/>
      <c r="X1791" s="457"/>
    </row>
    <row r="1792" spans="1:24">
      <c r="A1792" s="1620"/>
      <c r="B1792" s="1727"/>
      <c r="C1792" s="1524" t="s">
        <v>5339</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3828</v>
      </c>
      <c r="D1793" s="1051"/>
      <c r="E1793" s="457"/>
      <c r="F1793" s="457"/>
      <c r="G1793" s="1051" t="s">
        <v>4126</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112.2">
      <c r="A1794" s="1051"/>
      <c r="B1794" s="1620"/>
      <c r="C1794" s="1583" t="str">
        <f>'Part IX Scoring Criteria'!C146</f>
        <v>Healthy Eating Education</v>
      </c>
      <c r="D1794" s="1583">
        <f>'Part IX Scoring Criteria'!D146</f>
        <v>0</v>
      </c>
      <c r="E1794" s="1583">
        <f>'Part IX Scoring Criteria'!E146</f>
        <v>0</v>
      </c>
      <c r="F1794" s="1583">
        <f>'Part IX Scoring Criteria'!F146</f>
        <v>0</v>
      </c>
      <c r="G1794" s="1583" t="str">
        <f>'Part IX Scoring Criteria'!G146</f>
        <v>TMC Management and Realty, Inc. will provide healthy eating monthly newsletters to residents free of charge</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102">
      <c r="A1795" s="1620"/>
      <c r="B1795" s="1627"/>
      <c r="C1795" s="1583" t="str">
        <f>'Part IX Scoring Criteria'!C147</f>
        <v>Active Lifestyle Education</v>
      </c>
      <c r="D1795" s="1583">
        <f>'Part IX Scoring Criteria'!D147</f>
        <v>0</v>
      </c>
      <c r="E1795" s="1583">
        <f>'Part IX Scoring Criteria'!E147</f>
        <v>0</v>
      </c>
      <c r="F1795" s="1583">
        <f>'Part IX Scoring Criteria'!F147</f>
        <v>0</v>
      </c>
      <c r="G1795" s="1583" t="str">
        <f>'Part IX Scoring Criteria'!G147</f>
        <v>TMC Management and Realty, Inc. will provide active lifestyle monthly newsletters to residents free of charge</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4160</v>
      </c>
      <c r="B1796" s="1468"/>
      <c r="C1796" s="1583">
        <f>'Part IX Scoring Criteria'!C148</f>
        <v>0</v>
      </c>
      <c r="D1796" s="1583">
        <f>'Part IX Scoring Criteria'!D148</f>
        <v>0</v>
      </c>
      <c r="E1796" s="1583">
        <f>'Part IX Scoring Criteria'!E148</f>
        <v>0</v>
      </c>
      <c r="F1796" s="1583">
        <f>'Part IX Scoring Criteria'!F148</f>
        <v>0</v>
      </c>
      <c r="G1796" s="1583">
        <f>'Part IX Scoring Criteria'!G148</f>
        <v>0</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530</v>
      </c>
      <c r="B1801" s="2368" t="s">
        <v>3962</v>
      </c>
      <c r="C1801" s="1582"/>
      <c r="D1801" s="1582"/>
      <c r="E1801" s="1582"/>
      <c r="F1801" s="1582"/>
      <c r="G1801" s="1582"/>
      <c r="H1801" s="1582"/>
      <c r="I1801" s="1582"/>
      <c r="J1801" s="1582"/>
      <c r="K1801" s="1582"/>
      <c r="L1801" s="1582"/>
      <c r="M1801" s="1313">
        <v>5</v>
      </c>
      <c r="N1801" s="1694"/>
      <c r="O1801" s="1546">
        <f>'Part IX Scoring Criteria'!O153</f>
        <v>3</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1983</v>
      </c>
      <c r="B1803" s="1314" t="s">
        <v>3999</v>
      </c>
      <c r="C1803" s="1676"/>
      <c r="D1803" s="1724"/>
      <c r="E1803" s="1724"/>
      <c r="F1803" s="1676"/>
      <c r="G1803" s="1724"/>
      <c r="H1803" s="1724"/>
      <c r="I1803" s="1724"/>
      <c r="J1803" s="1724"/>
      <c r="K1803" s="1724"/>
      <c r="L1803" s="1724"/>
      <c r="M1803" s="1313">
        <v>3</v>
      </c>
      <c r="N1803" s="1696"/>
      <c r="O1803" s="1313">
        <f>'Part IX Scoring Criteria'!O155</f>
        <v>2</v>
      </c>
      <c r="P1803" s="1313"/>
      <c r="Q1803" s="1676"/>
      <c r="R1803" s="1335"/>
      <c r="S1803" s="1676"/>
      <c r="T1803" s="1676"/>
      <c r="U1803" s="1676"/>
      <c r="V1803" s="1676"/>
      <c r="W1803" s="1676"/>
      <c r="X1803" s="1676"/>
    </row>
    <row r="1804" spans="1:24" ht="14.4">
      <c r="A1804" s="1659"/>
      <c r="B1804" s="1524" t="s">
        <v>3823</v>
      </c>
      <c r="C1804" s="1647"/>
      <c r="D1804" s="1647"/>
      <c r="E1804" s="1647"/>
      <c r="F1804" s="1647"/>
      <c r="G1804" s="1647"/>
      <c r="H1804" s="1647"/>
      <c r="I1804" s="1647"/>
      <c r="J1804" s="1647"/>
      <c r="K1804" s="1647"/>
      <c r="L1804" s="1647"/>
      <c r="M1804" s="1647"/>
      <c r="N1804" s="1647"/>
      <c r="O1804" s="1578" t="str">
        <f>'Part IX Scoring Criteria'!O156</f>
        <v>Yes</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5340</v>
      </c>
      <c r="C1806" s="1583"/>
      <c r="D1806" s="1583"/>
      <c r="E1806" s="457" t="s">
        <v>3820</v>
      </c>
      <c r="F1806" s="1676"/>
      <c r="G1806" s="457"/>
      <c r="H1806" s="1676"/>
      <c r="I1806" s="1550" t="str">
        <f>'Part IX Scoring Criteria'!I158</f>
        <v>Jones County - 684</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4827</v>
      </c>
      <c r="F1807" s="2421"/>
      <c r="G1807" s="1676"/>
      <c r="H1807" s="1676"/>
      <c r="I1807" s="1524"/>
      <c r="J1807" s="1517"/>
      <c r="K1807" s="1517"/>
      <c r="L1807" s="1517"/>
      <c r="M1807" s="1676"/>
      <c r="N1807" s="1550"/>
      <c r="O1807" s="1578" t="str">
        <f>'Part IX Scoring Criteria'!O159</f>
        <v>N/a</v>
      </c>
      <c r="P1807" s="1578"/>
      <c r="Q1807" s="1550"/>
      <c r="R1807" s="1659"/>
      <c r="S1807" s="1659"/>
      <c r="T1807" s="1659"/>
      <c r="U1807" s="1659"/>
      <c r="V1807" s="1659"/>
      <c r="W1807" s="1659"/>
      <c r="X1807" s="1659"/>
    </row>
    <row r="1808" spans="1:24" ht="15" customHeight="1">
      <c r="A1808" s="1314"/>
      <c r="B1808" s="1659"/>
      <c r="C1808" s="1582"/>
      <c r="D1808" s="1582"/>
      <c r="E1808" s="457" t="s">
        <v>4828</v>
      </c>
      <c r="F1808" s="1578" t="str">
        <f>'Part I-Project Information'!$H$82</f>
        <v>HFOP</v>
      </c>
      <c r="G1808" s="1659"/>
      <c r="H1808" s="457"/>
      <c r="I1808" s="1582"/>
      <c r="J1808" s="1582"/>
      <c r="K1808" s="1659"/>
      <c r="L1808" s="1659"/>
      <c r="M1808" s="1582"/>
      <c r="N1808" s="1694"/>
      <c r="O1808" s="1550" t="s">
        <v>5341</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4826</v>
      </c>
      <c r="C1810" s="1582"/>
      <c r="D1810" s="1582"/>
      <c r="E1810" s="457"/>
      <c r="F1810" s="1524"/>
      <c r="G1810" s="1524"/>
      <c r="H1810" s="1659"/>
      <c r="I1810" s="1582"/>
      <c r="J1810" s="1582"/>
      <c r="K1810" s="1582"/>
      <c r="L1810" s="1582"/>
      <c r="M1810" s="1389" t="s">
        <v>4825</v>
      </c>
      <c r="N1810" s="1694"/>
      <c r="O1810" s="1550"/>
      <c r="P1810" s="1550"/>
      <c r="Q1810" s="1659"/>
      <c r="R1810" s="1659"/>
      <c r="S1810" s="1659"/>
      <c r="T1810" s="1587" t="s">
        <v>5055</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3818</v>
      </c>
      <c r="I1812" s="1550" t="s">
        <v>3863</v>
      </c>
      <c r="J1812" s="1550"/>
      <c r="K1812" s="1550"/>
      <c r="L1812" s="1389" t="s">
        <v>3817</v>
      </c>
      <c r="M1812" s="1389"/>
      <c r="N1812" s="1389"/>
      <c r="O1812" s="1550"/>
      <c r="P1812" s="1550"/>
      <c r="Q1812" s="1659"/>
      <c r="R1812" s="1721" t="s">
        <v>5022</v>
      </c>
      <c r="S1812" s="1659"/>
      <c r="T1812" s="1587"/>
      <c r="U1812" s="1587" t="s">
        <v>5054</v>
      </c>
      <c r="V1812" s="1659"/>
      <c r="W1812" s="1659"/>
      <c r="X1812" s="1659"/>
    </row>
    <row r="1813" spans="1:24" ht="21.6">
      <c r="A1813" s="1511"/>
      <c r="B1813" s="1735" t="s">
        <v>3815</v>
      </c>
      <c r="C1813" s="1517"/>
      <c r="D1813" s="1335" t="s">
        <v>4574</v>
      </c>
      <c r="E1813" s="1335"/>
      <c r="F1813" s="1335"/>
      <c r="G1813" s="1603" t="s">
        <v>3398</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40.799999999999997">
      <c r="A1814" s="1659"/>
      <c r="B1814" s="1738" t="s">
        <v>3998</v>
      </c>
      <c r="C1814" s="1659"/>
      <c r="D1814" s="1550" t="str">
        <f>'Part IX Scoring Criteria'!D166</f>
        <v>Gray Elementary School - 1550</v>
      </c>
      <c r="E1814" s="1550">
        <f>'Part IX Scoring Criteria'!E166</f>
        <v>0</v>
      </c>
      <c r="F1814" s="1550">
        <f>'Part IX Scoring Criteria'!F166</f>
        <v>0</v>
      </c>
      <c r="G1814" s="1850" t="str">
        <f>'Part IX Scoring Criteria'!G166</f>
        <v>PK - 05</v>
      </c>
      <c r="H1814" s="1611" t="str">
        <f>'Part IX Scoring Criteria'!H166</f>
        <v>No</v>
      </c>
      <c r="I1814" s="1739">
        <f>'Part IX Scoring Criteria'!I166</f>
        <v>79.900000000000006</v>
      </c>
      <c r="J1814" s="1739">
        <f>'Part IX Scoring Criteria'!J166</f>
        <v>74.7</v>
      </c>
      <c r="K1814" s="1739">
        <f>'Part IX Scoring Criteria'!K166</f>
        <v>82.2</v>
      </c>
      <c r="L1814" s="1739">
        <f>IF(I1814+J1814+K1814=0,"",AVERAGE(I1814,J1814,K1814))</f>
        <v>78.933333333333337</v>
      </c>
      <c r="M1814" s="1316" t="str">
        <f>IF(L1814="","",IF(L1814&gt;R1814,"Yes",IF(L1814&lt;R1814,"No","")))</f>
        <v>Yes</v>
      </c>
      <c r="N1814" s="1659"/>
      <c r="O1814" s="1578" t="str">
        <f>'Part IX Scoring Criteria'!O166</f>
        <v>Yes</v>
      </c>
      <c r="P1814" s="1578"/>
      <c r="Q1814" s="1659"/>
      <c r="R1814" s="1315">
        <v>73.400000000000006</v>
      </c>
      <c r="S1814" s="1659"/>
      <c r="T1814" s="1316">
        <f>IF(OR(M1814="Yes",O1814="Yes"),1,0)</f>
        <v>1</v>
      </c>
      <c r="U1814" s="2390">
        <f>SUM(T1814:T1818)</f>
        <v>3</v>
      </c>
      <c r="V1814" s="1659"/>
      <c r="W1814" s="1659"/>
      <c r="X1814" s="1659"/>
    </row>
    <row r="1815" spans="1:24" ht="40.799999999999997">
      <c r="A1815" s="1659"/>
      <c r="B1815" s="1738" t="s">
        <v>4161</v>
      </c>
      <c r="C1815" s="1659"/>
      <c r="D1815" s="1550" t="str">
        <f>'Part IX Scoring Criteria'!D167</f>
        <v>Gray Station Middle School - 0106</v>
      </c>
      <c r="E1815" s="1550">
        <f>'Part IX Scoring Criteria'!E167</f>
        <v>0</v>
      </c>
      <c r="F1815" s="1550">
        <f>'Part IX Scoring Criteria'!F167</f>
        <v>0</v>
      </c>
      <c r="G1815" s="1850" t="str">
        <f>'Part IX Scoring Criteria'!G167</f>
        <v>06 - 08</v>
      </c>
      <c r="H1815" s="1611" t="str">
        <f>'Part IX Scoring Criteria'!H167</f>
        <v>No</v>
      </c>
      <c r="I1815" s="1739">
        <f>'Part IX Scoring Criteria'!I167</f>
        <v>85.9</v>
      </c>
      <c r="J1815" s="1739">
        <f>'Part IX Scoring Criteria'!J167</f>
        <v>78.8</v>
      </c>
      <c r="K1815" s="1739">
        <f>'Part IX Scoring Criteria'!K167</f>
        <v>74.8</v>
      </c>
      <c r="L1815" s="1739">
        <f>IF(I1815+J1815+K1815=0,"",AVERAGE(I1815,J1815,K1815))</f>
        <v>79.833333333333329</v>
      </c>
      <c r="M1815" s="1316" t="str">
        <f>IF(L1815="","",IF(L1815&gt;R1815,"Yes",IF(L1815&lt;R1815,"No","")))</f>
        <v>Yes</v>
      </c>
      <c r="N1815" s="1659"/>
      <c r="O1815" s="1578" t="str">
        <f>'Part IX Scoring Criteria'!O167</f>
        <v>No</v>
      </c>
      <c r="P1815" s="1578"/>
      <c r="Q1815" s="1659"/>
      <c r="R1815" s="1315">
        <v>72.099999999999994</v>
      </c>
      <c r="S1815" s="1659"/>
      <c r="T1815" s="1316">
        <f>IF(OR(M1815="Yes",O1815="Yes"),1,0)</f>
        <v>1</v>
      </c>
      <c r="U1815" s="2390"/>
      <c r="V1815" s="1659"/>
      <c r="W1815" s="1659"/>
      <c r="X1815" s="1659"/>
    </row>
    <row r="1816" spans="1:24" ht="30.6">
      <c r="A1816" s="1620"/>
      <c r="B1816" s="1738" t="s">
        <v>3996</v>
      </c>
      <c r="C1816" s="1659"/>
      <c r="D1816" s="1550" t="str">
        <f>'Part IX Scoring Criteria'!D168</f>
        <v>Jones County High School - 0192</v>
      </c>
      <c r="E1816" s="1550">
        <f>'Part IX Scoring Criteria'!E168</f>
        <v>0</v>
      </c>
      <c r="F1816" s="1550">
        <f>'Part IX Scoring Criteria'!F168</f>
        <v>0</v>
      </c>
      <c r="G1816" s="1850" t="str">
        <f>'Part IX Scoring Criteria'!G168</f>
        <v>09 - 12</v>
      </c>
      <c r="H1816" s="1611" t="str">
        <f>'Part IX Scoring Criteria'!H168</f>
        <v>No</v>
      </c>
      <c r="I1816" s="1739">
        <f>'Part IX Scoring Criteria'!I168</f>
        <v>81.8</v>
      </c>
      <c r="J1816" s="1739">
        <f>'Part IX Scoring Criteria'!J168</f>
        <v>76.8</v>
      </c>
      <c r="K1816" s="1739">
        <f>'Part IX Scoring Criteria'!K168</f>
        <v>77.3</v>
      </c>
      <c r="L1816" s="1739">
        <f>IF(I1816+J1816+K1816=0,"",AVERAGE(I1816,J1816,K1816))</f>
        <v>78.633333333333326</v>
      </c>
      <c r="M1816" s="1316" t="str">
        <f>IF(L1816="","",IF(L1816&gt;R1816,"Yes",IF(L1816&lt;R1816,"No","")))</f>
        <v>Yes</v>
      </c>
      <c r="N1816" s="1659"/>
      <c r="O1816" s="1578" t="str">
        <f>'Part IX Scoring Criteria'!O168</f>
        <v>No</v>
      </c>
      <c r="P1816" s="1578"/>
      <c r="Q1816" s="1659"/>
      <c r="R1816" s="1315">
        <v>73.3</v>
      </c>
      <c r="S1816" s="1659"/>
      <c r="T1816" s="1316">
        <f>IF(OR(M1816="Yes",O1816="Yes"),1,0)</f>
        <v>1</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1985</v>
      </c>
      <c r="B1819" s="1314" t="s">
        <v>4000</v>
      </c>
      <c r="C1819" s="1676"/>
      <c r="D1819" s="1724"/>
      <c r="E1819" s="1724"/>
      <c r="F1819" s="1525" t="s">
        <v>3391</v>
      </c>
      <c r="G1819" s="1676"/>
      <c r="H1819" s="1524" t="s">
        <v>3864</v>
      </c>
      <c r="I1819" s="1676"/>
      <c r="J1819" s="1676"/>
      <c r="K1819" s="1676"/>
      <c r="L1819" s="1676"/>
      <c r="M1819" s="1313">
        <v>2</v>
      </c>
      <c r="N1819" s="1696"/>
      <c r="O1819" s="1546" t="str">
        <f>'Part IX Scoring Criteria'!O171</f>
        <v>1.</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4163</v>
      </c>
      <c r="F1820" s="1587" t="s">
        <v>3658</v>
      </c>
      <c r="G1820" s="1493" t="s">
        <v>3399</v>
      </c>
      <c r="H1820" s="1493"/>
      <c r="I1820" s="1493"/>
      <c r="J1820" s="1493"/>
      <c r="K1820" s="1493"/>
      <c r="L1820" s="1493"/>
      <c r="M1820" s="1493"/>
      <c r="N1820" s="1493"/>
      <c r="O1820" s="1051"/>
      <c r="P1820" s="1583"/>
      <c r="Q1820" s="1051"/>
      <c r="R1820" s="457" t="s">
        <v>2833</v>
      </c>
      <c r="S1820" s="457"/>
      <c r="T1820" s="457" t="str">
        <f>'Part I-Project Information'!$F$38</f>
        <v>Gray</v>
      </c>
      <c r="U1820" s="457"/>
      <c r="V1820" s="457"/>
      <c r="W1820" s="457"/>
      <c r="X1820" s="457"/>
    </row>
    <row r="1821" spans="1:24" ht="12.75" customHeight="1">
      <c r="A1821" s="1620"/>
      <c r="B1821" s="1587" t="s">
        <v>4003</v>
      </c>
      <c r="C1821" s="1587"/>
      <c r="D1821" s="1587"/>
      <c r="E1821" s="1587"/>
      <c r="F1821" s="1587"/>
      <c r="G1821" s="1583" t="s">
        <v>4002</v>
      </c>
      <c r="H1821" s="1583"/>
      <c r="I1821" s="1583"/>
      <c r="J1821" s="1583"/>
      <c r="K1821" s="1583"/>
      <c r="L1821" s="1583"/>
      <c r="M1821" s="1583"/>
      <c r="N1821" s="1583"/>
      <c r="O1821" s="1587" t="s">
        <v>3659</v>
      </c>
      <c r="P1821" s="1587"/>
      <c r="Q1821" s="1051"/>
      <c r="R1821" s="457" t="s">
        <v>2834</v>
      </c>
      <c r="S1821" s="457"/>
      <c r="T1821" s="457" t="str">
        <f>'Part I-Project Information'!$J$39</f>
        <v>Jones</v>
      </c>
      <c r="U1821" s="457"/>
      <c r="V1821" s="457"/>
      <c r="W1821" s="457"/>
      <c r="X1821" s="457"/>
    </row>
    <row r="1822" spans="1:24">
      <c r="A1822" s="1620"/>
      <c r="B1822" s="457" t="s">
        <v>3824</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2835</v>
      </c>
      <c r="S1822" s="457"/>
      <c r="T1822" s="457" t="str">
        <f>'Part I-Project Information'!$O$40</f>
        <v>Macon</v>
      </c>
      <c r="U1822" s="457"/>
      <c r="V1822" s="457"/>
      <c r="W1822" s="457"/>
      <c r="X1822" s="457"/>
    </row>
    <row r="1823" spans="1:24" ht="12.75" customHeight="1">
      <c r="A1823" s="1620"/>
      <c r="B1823" s="1550" t="s">
        <v>4001</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3857</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3858</v>
      </c>
      <c r="C1825" s="1051"/>
      <c r="D1825" s="1051"/>
      <c r="E1825" s="1745"/>
      <c r="F1825" s="1745"/>
      <c r="G1825" s="1745"/>
      <c r="H1825" s="1051"/>
      <c r="I1825" s="1745">
        <f>'Part IX Scoring Criteria'!I177</f>
        <v>3000</v>
      </c>
      <c r="J1825" s="1745"/>
      <c r="K1825" s="1051"/>
      <c r="L1825" s="1051"/>
      <c r="M1825" s="1051"/>
      <c r="N1825" s="1051"/>
      <c r="O1825" s="1051"/>
      <c r="P1825" s="1051"/>
      <c r="Q1825" s="1051"/>
      <c r="R1825" s="457" t="s">
        <v>3624</v>
      </c>
      <c r="S1825" s="457"/>
      <c r="T1825" s="457" t="str">
        <f>'Part I-Project Information'!$K$40</f>
        <v>Rural</v>
      </c>
      <c r="U1825" s="457"/>
      <c r="V1825" s="457"/>
      <c r="W1825" s="457"/>
      <c r="X1825" s="457"/>
    </row>
    <row r="1826" spans="1:24">
      <c r="A1826" s="1738"/>
      <c r="B1826" s="1647" t="s">
        <v>3623</v>
      </c>
      <c r="C1826" s="1051"/>
      <c r="D1826" s="1051"/>
      <c r="E1826" s="1051"/>
      <c r="F1826" s="1051"/>
      <c r="G1826" s="1051"/>
      <c r="H1826" s="1636" t="str">
        <f>IF(I1826&lt;I1825,"Threshold not met!","")</f>
        <v/>
      </c>
      <c r="I1826" s="1745">
        <f>'Part IX Scoring Criteria'!I178</f>
        <v>3528</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4162</v>
      </c>
      <c r="D1828" s="1638"/>
      <c r="E1828" s="1638"/>
      <c r="F1828" s="1638"/>
      <c r="G1828" s="1638"/>
      <c r="H1828" s="1747" t="s">
        <v>1986</v>
      </c>
      <c r="I1828" s="1766" t="str">
        <f>'Part IX Scoring Criteria'!I180</f>
        <v>Yes</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4004</v>
      </c>
      <c r="D1829" s="1734"/>
      <c r="E1829" s="1734"/>
      <c r="F1829" s="1734"/>
      <c r="G1829" s="1051"/>
      <c r="H1829" s="1747" t="s">
        <v>1988</v>
      </c>
      <c r="I1829" s="1626" t="str">
        <f>'Part IX Scoring Criteria'!I181</f>
        <v>No</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3879</v>
      </c>
      <c r="D1830" s="1734"/>
      <c r="E1830" s="1734"/>
      <c r="F1830" s="1734"/>
      <c r="G1830" s="1647"/>
      <c r="H1830" s="1051"/>
      <c r="I1830" s="2403">
        <f>'Part IX Scoring Criteria'!I182</f>
        <v>0.17599999999999993</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3750</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9.6">
      <c r="A1833" s="1583" t="str">
        <f>'Part IX Scoring Criteria'!A185</f>
        <v>The project falls within the school boundaries of Gray Elementary School, Gray Station Middle School and Jones County Hgh School. All three school have 2015-2017 average CCRPI scores above the threshold for points. In addition, Gray Elementary School recieved 2017 "Beating the Odds" designation. There are 3,528 jobs within a 2-mile radius of the site. The minimum jobs threshold for rural areas is 3,000, therefore the project is eligible for one point under Workforce Housing Need.</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4.4">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4010</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4835</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4835</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5116</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4940</v>
      </c>
      <c r="D1841" s="1583"/>
      <c r="E1841" s="1583"/>
      <c r="F1841" s="1583"/>
      <c r="G1841" s="1583"/>
      <c r="H1841" s="1583"/>
      <c r="I1841" s="1583"/>
      <c r="J1841" s="1627" t="s">
        <v>2435</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5342</v>
      </c>
      <c r="D1843" s="1550"/>
      <c r="E1843" s="1550"/>
      <c r="F1843" s="1550"/>
      <c r="G1843" s="1550"/>
      <c r="H1843" s="1676"/>
      <c r="I1843" s="1676"/>
      <c r="J1843" s="1620" t="s">
        <v>2436</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4830</v>
      </c>
      <c r="D1844" s="457"/>
      <c r="E1844" s="457"/>
      <c r="F1844" s="457"/>
      <c r="G1844" s="457"/>
      <c r="H1844" s="457"/>
      <c r="I1844" s="1314"/>
      <c r="J1844" s="1620" t="s">
        <v>2437</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4831</v>
      </c>
      <c r="D1845" s="457"/>
      <c r="E1845" s="457"/>
      <c r="F1845" s="457"/>
      <c r="G1845" s="457"/>
      <c r="H1845" s="457"/>
      <c r="I1845" s="1314"/>
      <c r="J1845" s="1620" t="s">
        <v>2439</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4833</v>
      </c>
      <c r="D1846" s="457"/>
      <c r="E1846" s="457"/>
      <c r="F1846" s="457"/>
      <c r="G1846" s="457"/>
      <c r="H1846" s="457"/>
      <c r="I1846" s="1314"/>
      <c r="J1846" s="1620" t="s">
        <v>2438</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4832</v>
      </c>
      <c r="D1847" s="457"/>
      <c r="E1847" s="457"/>
      <c r="F1847" s="457"/>
      <c r="G1847" s="457"/>
      <c r="H1847" s="1314"/>
      <c r="I1847" s="1314"/>
      <c r="J1847" s="1620" t="s">
        <v>2455</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4938</v>
      </c>
      <c r="D1848" s="1550"/>
      <c r="E1848" s="1550"/>
      <c r="F1848" s="1550"/>
      <c r="G1848" s="1550"/>
      <c r="H1848" s="1550"/>
      <c r="I1848" s="1550"/>
      <c r="J1848" s="1620" t="s">
        <v>2456</v>
      </c>
      <c r="K1848" s="1578">
        <f>'Part IX Scoring Criteria'!K200</f>
        <v>0</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4939</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4836</v>
      </c>
      <c r="D1850" s="1583"/>
      <c r="E1850" s="1583"/>
      <c r="F1850" s="1583"/>
      <c r="G1850" s="1583"/>
      <c r="H1850" s="1583"/>
      <c r="I1850" s="1583"/>
      <c r="J1850" s="1620" t="s">
        <v>2457</v>
      </c>
      <c r="K1850" s="1578">
        <f>'Part IX Scoring Criteria'!K202</f>
        <v>0</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4009</v>
      </c>
      <c r="I1853" s="1051" t="s">
        <v>4834</v>
      </c>
      <c r="M1853" s="1313">
        <v>5</v>
      </c>
      <c r="N1853" s="1620" t="s">
        <v>1983</v>
      </c>
      <c r="O1853" s="1685">
        <f>'Part IX Scoring Criteria'!O205</f>
        <v>0</v>
      </c>
      <c r="P1853" s="1685">
        <f>IF(SUM(P1854:P1855)=$M$207,0,MIN($M$205,SUM(P1854:P1855)))</f>
        <v>0</v>
      </c>
      <c r="Q1853" s="1372"/>
      <c r="X1853" s="1320"/>
    </row>
    <row r="1854" spans="1:24" ht="12.75" customHeight="1">
      <c r="A1854" s="1620"/>
      <c r="B1854" s="2458" t="s">
        <v>1986</v>
      </c>
      <c r="C1854" s="1583" t="s">
        <v>5117</v>
      </c>
      <c r="D1854" s="1583"/>
      <c r="E1854" s="1583"/>
      <c r="F1854" s="1583"/>
      <c r="G1854" s="1583"/>
      <c r="H1854" s="1583"/>
      <c r="I1854" s="1583"/>
      <c r="J1854" s="1583"/>
      <c r="K1854" s="1583"/>
      <c r="L1854" s="1583"/>
      <c r="M1854" s="1631">
        <v>3</v>
      </c>
      <c r="N1854" s="1704" t="s">
        <v>1986</v>
      </c>
      <c r="O1854" s="2410">
        <f>'Part IX Scoring Criteria'!O206</f>
        <v>0</v>
      </c>
      <c r="P1854" s="2410"/>
      <c r="Q1854" s="2443" t="str">
        <f>IF(OR($O1854=$M1854,$O1854=0,$O1854=""),"","*CHECK!*")</f>
        <v/>
      </c>
      <c r="R1854" s="1337" t="s">
        <v>2706</v>
      </c>
    </row>
    <row r="1855" spans="1:24" ht="13.8">
      <c r="A1855" s="1620"/>
      <c r="B1855" s="2458" t="s">
        <v>1988</v>
      </c>
      <c r="C1855" s="1604" t="s">
        <v>5343</v>
      </c>
      <c r="D1855" s="1604"/>
      <c r="E1855" s="1604"/>
      <c r="F1855" s="1604"/>
      <c r="G1855" s="1604"/>
      <c r="H1855" s="1604"/>
      <c r="I1855" s="1604"/>
      <c r="J1855" s="1524" t="s">
        <v>3775</v>
      </c>
      <c r="K1855" s="1314"/>
      <c r="L1855" s="1524" t="str">
        <f>'Part I-Project Information'!$N$39</f>
        <v>No</v>
      </c>
      <c r="M1855" s="1578">
        <v>2</v>
      </c>
      <c r="N1855" s="1776" t="s">
        <v>1988</v>
      </c>
      <c r="O1855" s="1546">
        <f>'Part IX Scoring Criteria'!O207</f>
        <v>0</v>
      </c>
      <c r="P1855" s="1546"/>
      <c r="Q1855" s="2411" t="str">
        <f>IF(OR($O1855=$M1855,$O1855=0,$O1855=""),"","*CHECK!*")</f>
        <v/>
      </c>
      <c r="R1855" s="1337" t="s">
        <v>2706</v>
      </c>
    </row>
    <row r="1856" spans="1:24" ht="12.75" customHeight="1">
      <c r="A1856" s="1620"/>
      <c r="B1856" s="2458"/>
      <c r="C1856" s="1550" t="s">
        <v>4925</v>
      </c>
      <c r="D1856" s="1550"/>
      <c r="E1856" s="1550"/>
      <c r="F1856" s="1550"/>
      <c r="G1856" s="1550"/>
      <c r="H1856" s="1550"/>
      <c r="I1856" s="1582"/>
      <c r="J1856" s="1524" t="s">
        <v>3575</v>
      </c>
      <c r="K1856" s="1550"/>
      <c r="L1856" s="1761" t="str">
        <f>'Part I-Project Information'!$O$38</f>
        <v>13169030301</v>
      </c>
      <c r="M1856" s="1761"/>
      <c r="N1856" s="1631"/>
      <c r="O1856" s="1631"/>
      <c r="P1856" s="1631"/>
      <c r="Q1856" s="2411"/>
      <c r="R1856" s="1337"/>
    </row>
    <row r="1857" spans="1:24">
      <c r="A1857" s="1620"/>
      <c r="B1857" s="1647"/>
      <c r="C1857" s="1550"/>
      <c r="D1857" s="1550"/>
      <c r="E1857" s="1550"/>
      <c r="F1857" s="1550"/>
      <c r="G1857" s="1550"/>
      <c r="H1857" s="1550"/>
      <c r="J1857" s="1524" t="s">
        <v>3375</v>
      </c>
      <c r="K1857" s="1314"/>
      <c r="L1857" s="457" t="str">
        <f>'Part IV-A-Uses of Funds'!$H$152</f>
        <v>&lt;&lt;Select&gt;&gt;</v>
      </c>
      <c r="M1857" s="457"/>
    </row>
    <row r="1858" spans="1:24" ht="13.8">
      <c r="A1858" s="1511" t="s">
        <v>1985</v>
      </c>
      <c r="B1858" s="1317" t="s">
        <v>4837</v>
      </c>
      <c r="D1858" s="1314"/>
      <c r="F1858" s="2459"/>
      <c r="K1858" s="1624"/>
      <c r="L1858" s="2421" t="str">
        <f>IF(OR($O1858=$M1858,$O1858=0,$O1858=""),"","* * Check Score! * *")</f>
        <v/>
      </c>
      <c r="M1858" s="1313">
        <v>2</v>
      </c>
      <c r="N1858" s="1620" t="s">
        <v>1985</v>
      </c>
      <c r="O1858" s="1546">
        <f>'Part IX Scoring Criteria'!O210</f>
        <v>0</v>
      </c>
      <c r="P1858" s="1546"/>
      <c r="Q1858" s="2411" t="str">
        <f>IF(OR($O1858=$M1858,$O1858=0,$O1858=""),"","*CHECK!*")</f>
        <v/>
      </c>
      <c r="R1858" s="1337" t="s">
        <v>2706</v>
      </c>
    </row>
    <row r="1859" spans="1:24" ht="18">
      <c r="A1859" s="1511"/>
      <c r="B1859" s="1676"/>
      <c r="C1859" s="457" t="s">
        <v>2794</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18">
      <c r="A1860" s="1624"/>
      <c r="B1860" s="1696" t="s">
        <v>3776</v>
      </c>
      <c r="C1860" s="457" t="s">
        <v>3854</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3777</v>
      </c>
      <c r="C1861" s="1524" t="s">
        <v>3855</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3778</v>
      </c>
      <c r="C1862" s="1524" t="s">
        <v>4842</v>
      </c>
      <c r="D1862" s="1314"/>
      <c r="E1862" s="1314"/>
      <c r="F1862" s="1314"/>
      <c r="G1862" s="1314"/>
      <c r="H1862" s="1314"/>
      <c r="I1862" s="1314"/>
      <c r="J1862" s="1578">
        <f>'Part IX Scoring Criteria'!J214</f>
        <v>0</v>
      </c>
      <c r="K1862" s="1550" t="s">
        <v>4839</v>
      </c>
      <c r="L1862" s="1550"/>
      <c r="M1862" s="1550"/>
      <c r="N1862" s="1550"/>
      <c r="O1862" s="1676"/>
      <c r="P1862" s="1676"/>
      <c r="V1862" s="2423"/>
      <c r="W1862" s="2423"/>
    </row>
    <row r="1863" spans="1:24" ht="18">
      <c r="A1863" s="1562"/>
      <c r="B1863" s="1620" t="s">
        <v>3780</v>
      </c>
      <c r="C1863" s="1524" t="s">
        <v>4838</v>
      </c>
      <c r="D1863" s="1314"/>
      <c r="E1863" s="1314"/>
      <c r="F1863" s="1314"/>
      <c r="G1863" s="1314"/>
      <c r="H1863" s="1314"/>
      <c r="I1863" s="1314"/>
      <c r="J1863" s="1578">
        <f>'Part IX Scoring Criteria'!J215</f>
        <v>0</v>
      </c>
      <c r="K1863" s="1550"/>
      <c r="L1863" s="1550"/>
      <c r="M1863" s="1550"/>
      <c r="N1863" s="1550"/>
      <c r="O1863" s="2460">
        <f>'Part IX Scoring Criteria'!O215</f>
        <v>0</v>
      </c>
      <c r="P1863" s="2416" t="s">
        <v>3783</v>
      </c>
      <c r="V1863" s="2423"/>
      <c r="W1863" s="2423"/>
    </row>
    <row r="1864" spans="1:24" ht="18">
      <c r="A1864" s="1562"/>
      <c r="B1864" s="1620" t="s">
        <v>3781</v>
      </c>
      <c r="C1864" s="1524" t="s">
        <v>4841</v>
      </c>
      <c r="D1864" s="1314"/>
      <c r="E1864" s="1314"/>
      <c r="F1864" s="1314"/>
      <c r="G1864" s="1314"/>
      <c r="H1864" s="1314"/>
      <c r="I1864" s="1314"/>
      <c r="J1864" s="1578">
        <f>'Part IX Scoring Criteria'!J216</f>
        <v>0</v>
      </c>
      <c r="L1864" s="1620" t="s">
        <v>4840</v>
      </c>
      <c r="N1864" s="1620"/>
      <c r="O1864" s="2461">
        <f>'Part IX Scoring Criteria'!O216</f>
        <v>0</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4167</v>
      </c>
      <c r="B1866" s="1468" t="s">
        <v>4164</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4165</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4920</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3454</v>
      </c>
      <c r="G1869" s="457" t="s">
        <v>2629</v>
      </c>
      <c r="H1869" s="457"/>
      <c r="J1869" s="1854">
        <f>'Part IX Scoring Criteria'!J221</f>
        <v>0</v>
      </c>
      <c r="K1869" s="1854">
        <f>'Part IX Scoring Criteria'!K221</f>
        <v>0</v>
      </c>
      <c r="L1869" s="1757"/>
      <c r="M1869" s="1757"/>
      <c r="N1869" s="1320"/>
      <c r="O1869" s="1320"/>
      <c r="P1869" s="1320"/>
      <c r="V1869" s="2423"/>
      <c r="W1869" s="2423"/>
    </row>
    <row r="1870" spans="1:24" ht="18">
      <c r="A1870" s="1659"/>
      <c r="B1870" s="1659"/>
      <c r="C1870" s="457" t="s">
        <v>4580</v>
      </c>
      <c r="D1870" s="1582"/>
      <c r="E1870" s="1659"/>
      <c r="F1870" s="1659"/>
      <c r="G1870" s="1757">
        <f>'Part IV-A-Uses of Funds'!$G$132</f>
        <v>9013295</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3750</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15">
      <c r="A1872" s="1583" t="str">
        <f>'Part IX Scoring Criteria'!A224</f>
        <v>N/A</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4.4">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292</v>
      </c>
      <c r="B1876" s="2368" t="s">
        <v>4013</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4.4">
      <c r="A1877" s="2432"/>
      <c r="B1877" s="1317" t="s">
        <v>4605</v>
      </c>
      <c r="C1877" s="1582"/>
      <c r="D1877" s="1582"/>
      <c r="E1877" s="1582"/>
      <c r="F1877" s="1582"/>
      <c r="G1877" s="1582"/>
      <c r="H1877" s="1582"/>
      <c r="I1877" s="1582"/>
      <c r="J1877" s="1582"/>
      <c r="K1877" s="1611"/>
      <c r="L1877" s="2462" t="str">
        <f>'Part IX Scoring Criteria'!L229</f>
        <v>Applicant is ineligible for points in this section!  Points claimed in VI or IX.</v>
      </c>
      <c r="M1877" s="1313"/>
      <c r="N1877" s="1694"/>
      <c r="O1877" s="1578">
        <f>'Part IX Scoring Criteria'!O229</f>
        <v>0</v>
      </c>
      <c r="P1877" s="1578"/>
      <c r="Q1877" s="1313"/>
      <c r="R1877" s="1337"/>
      <c r="S1877" s="1659"/>
      <c r="T1877" s="1659"/>
      <c r="U1877" s="1659"/>
      <c r="V1877" s="1659"/>
      <c r="W1877" s="1659"/>
      <c r="X1877" s="1659"/>
    </row>
    <row r="1878" spans="1:24" ht="14.4">
      <c r="A1878" s="2432"/>
      <c r="B1878" s="1524" t="s">
        <v>4015</v>
      </c>
      <c r="C1878" s="1582"/>
      <c r="D1878" s="1582"/>
      <c r="E1878" s="1582"/>
      <c r="F1878" s="1582"/>
      <c r="G1878" s="1582"/>
      <c r="H1878" s="1582"/>
      <c r="I1878" s="1582"/>
      <c r="J1878" s="1582"/>
      <c r="K1878" s="1611" t="s">
        <v>3246</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4849</v>
      </c>
      <c r="D1879" s="1659"/>
      <c r="E1879" s="1659"/>
      <c r="F1879" s="1659"/>
      <c r="G1879" s="1659"/>
      <c r="H1879" s="1659"/>
      <c r="I1879" s="1659"/>
      <c r="J1879" s="1659"/>
      <c r="K1879" s="1685">
        <f>$O$189</f>
        <v>0</v>
      </c>
      <c r="L1879" s="1685">
        <f>$P$189</f>
        <v>0</v>
      </c>
      <c r="M1879" s="1659"/>
      <c r="N1879" s="1620" t="s">
        <v>2435</v>
      </c>
      <c r="O1879" s="1578">
        <f>'Part IX Scoring Criteria'!O231</f>
        <v>0</v>
      </c>
      <c r="P1879" s="1578"/>
      <c r="Q1879" s="1659"/>
      <c r="R1879" s="2421"/>
      <c r="S1879" s="1659"/>
      <c r="T1879" s="1659"/>
      <c r="U1879" s="1659"/>
      <c r="V1879" s="1659"/>
      <c r="W1879" s="1659"/>
      <c r="X1879" s="1659"/>
    </row>
    <row r="1880" spans="1:24" ht="18">
      <c r="A1880" s="1511"/>
      <c r="B1880" s="1659"/>
      <c r="C1880" s="1051" t="s">
        <v>4850</v>
      </c>
      <c r="D1880" s="1659"/>
      <c r="E1880" s="1659"/>
      <c r="F1880" s="1659"/>
      <c r="G1880" s="1659"/>
      <c r="H1880" s="1659"/>
      <c r="I1880" s="1659"/>
      <c r="J1880" s="1659"/>
      <c r="K1880" s="1685">
        <f>$O$107</f>
        <v>0</v>
      </c>
      <c r="L1880" s="1685" t="str">
        <f>$P$107</f>
        <v>Other Non-Sr</v>
      </c>
      <c r="M1880" s="1659"/>
      <c r="N1880" s="1620" t="s">
        <v>2436</v>
      </c>
      <c r="O1880" s="1578">
        <f>'Part IX Scoring Criteria'!O232</f>
        <v>0</v>
      </c>
      <c r="P1880" s="1578"/>
      <c r="Q1880" s="1659"/>
      <c r="R1880" s="2423"/>
      <c r="S1880" s="2423"/>
      <c r="T1880" s="1659"/>
      <c r="U1880" s="1659"/>
      <c r="V1880" s="1659"/>
      <c r="W1880" s="1659"/>
      <c r="X1880" s="1659"/>
    </row>
    <row r="1881" spans="1:24" ht="18">
      <c r="A1881" s="1659"/>
      <c r="B1881" s="1659"/>
      <c r="C1881" s="1051" t="s">
        <v>4851</v>
      </c>
      <c r="D1881" s="1659"/>
      <c r="E1881" s="1659"/>
      <c r="F1881" s="1659"/>
      <c r="G1881" s="1659"/>
      <c r="H1881" s="1659"/>
      <c r="I1881" s="1659"/>
      <c r="J1881" s="1659"/>
      <c r="K1881" s="1659"/>
      <c r="L1881" s="1659"/>
      <c r="M1881" s="1659"/>
      <c r="N1881" s="1620" t="s">
        <v>2437</v>
      </c>
      <c r="O1881" s="1578">
        <f>'Part IX Scoring Criteria'!O233</f>
        <v>0</v>
      </c>
      <c r="P1881" s="1578"/>
      <c r="Q1881" s="1659"/>
      <c r="R1881" s="2423"/>
      <c r="S1881" s="2423"/>
      <c r="T1881" s="1659"/>
      <c r="U1881" s="1659"/>
      <c r="V1881" s="1659"/>
      <c r="W1881" s="1659"/>
      <c r="X1881" s="1659"/>
    </row>
    <row r="1882" spans="1:24" ht="18">
      <c r="A1882" s="1511"/>
      <c r="B1882" s="1659"/>
      <c r="C1882" s="1051" t="s">
        <v>4019</v>
      </c>
      <c r="D1882" s="1659"/>
      <c r="E1882" s="1659"/>
      <c r="F1882" s="1659"/>
      <c r="G1882" s="1659"/>
      <c r="H1882" s="1659"/>
      <c r="I1882" s="1659"/>
      <c r="J1882" s="1659"/>
      <c r="K1882" s="2444">
        <f>'Part I-Project Information'!F1686</f>
        <v>0</v>
      </c>
      <c r="L1882" s="2456"/>
      <c r="M1882" s="1659"/>
      <c r="N1882" s="1620" t="s">
        <v>2438</v>
      </c>
      <c r="O1882" s="1620"/>
      <c r="P1882" s="1578"/>
      <c r="Q1882" s="1659"/>
      <c r="R1882" s="2423"/>
      <c r="S1882" s="2423"/>
      <c r="T1882" s="1659"/>
      <c r="U1882" s="1659"/>
      <c r="V1882" s="1659"/>
      <c r="W1882" s="1659"/>
      <c r="X1882" s="1659"/>
    </row>
    <row r="1883" spans="1:24" ht="18">
      <c r="A1883" s="1511"/>
      <c r="B1883" s="1659"/>
      <c r="C1883" s="1051" t="s">
        <v>4942</v>
      </c>
      <c r="D1883" s="1659"/>
      <c r="E1883" s="1659"/>
      <c r="F1883" s="1659"/>
      <c r="G1883" s="1659"/>
      <c r="H1883" s="1659"/>
      <c r="I1883" s="1659"/>
      <c r="J1883" s="1659"/>
      <c r="K1883" s="1685">
        <f>$O$153</f>
        <v>0</v>
      </c>
      <c r="L1883" s="1685">
        <f>$P$153</f>
        <v>0</v>
      </c>
      <c r="M1883" s="1659"/>
      <c r="N1883" s="1620" t="s">
        <v>2439</v>
      </c>
      <c r="O1883" s="1578">
        <f>'Part IX Scoring Criteria'!O235</f>
        <v>0</v>
      </c>
      <c r="P1883" s="1578"/>
      <c r="Q1883" s="1659"/>
      <c r="R1883" s="2423"/>
      <c r="S1883" s="2423"/>
      <c r="T1883" s="1659"/>
      <c r="U1883" s="1659"/>
      <c r="V1883" s="1659"/>
      <c r="W1883" s="1659"/>
      <c r="X1883" s="1659"/>
    </row>
    <row r="1884" spans="1:24" ht="18">
      <c r="A1884" s="1511"/>
      <c r="B1884" s="1659"/>
      <c r="C1884" s="1051" t="s">
        <v>4941</v>
      </c>
      <c r="D1884" s="1659"/>
      <c r="E1884" s="1659"/>
      <c r="F1884" s="1659"/>
      <c r="G1884" s="1659"/>
      <c r="H1884" s="1659"/>
      <c r="I1884" s="1659"/>
      <c r="J1884" s="1659"/>
      <c r="K1884" s="1685">
        <f>$O$277</f>
        <v>0</v>
      </c>
      <c r="L1884" s="1685">
        <f>$P$277</f>
        <v>0</v>
      </c>
      <c r="M1884" s="1659"/>
      <c r="N1884" s="1620" t="s">
        <v>2438</v>
      </c>
      <c r="O1884" s="1578">
        <f>'Part IX Scoring Criteria'!O236</f>
        <v>0</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5118</v>
      </c>
      <c r="D1886" s="1314"/>
      <c r="G1886" s="1647" t="s">
        <v>3779</v>
      </c>
      <c r="Q1886" s="1372"/>
    </row>
    <row r="1887" spans="1:24" ht="12.75" customHeight="1">
      <c r="A1887" s="1620"/>
      <c r="B1887" s="457" t="s">
        <v>3859</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5344</v>
      </c>
      <c r="S1887" s="1319"/>
      <c r="T1887" s="1314"/>
      <c r="U1887" s="1314"/>
      <c r="V1887" s="1314"/>
      <c r="W1887" s="1314"/>
      <c r="X1887" s="1314"/>
    </row>
    <row r="1888" spans="1:24" ht="18">
      <c r="A1888" s="1620"/>
      <c r="B1888" s="457" t="s">
        <v>2194</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1986</v>
      </c>
      <c r="C1890" s="1604" t="s">
        <v>4021</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4582</v>
      </c>
      <c r="D1891" s="1550"/>
      <c r="E1891" s="1550"/>
      <c r="F1891" s="1550"/>
      <c r="G1891" s="1550"/>
      <c r="H1891" s="1550"/>
      <c r="I1891" s="1550"/>
      <c r="J1891" s="1550"/>
      <c r="K1891" s="1550"/>
      <c r="L1891" s="1550"/>
      <c r="M1891" s="1550"/>
      <c r="N1891" s="1684" t="s">
        <v>1986</v>
      </c>
      <c r="O1891" s="1631">
        <f>'Part IX Scoring Criteria'!O243</f>
        <v>0</v>
      </c>
      <c r="P1891" s="1631"/>
      <c r="Q1891" s="1604"/>
      <c r="R1891" s="1319"/>
      <c r="S1891" s="1319"/>
      <c r="T1891" s="1314"/>
      <c r="U1891" s="1314"/>
      <c r="V1891" s="2423"/>
      <c r="W1891" s="2423"/>
      <c r="X1891" s="1314"/>
    </row>
    <row r="1892" spans="1:24" ht="18.75" customHeight="1">
      <c r="A1892" s="1620"/>
      <c r="B1892" s="1620" t="s">
        <v>2435</v>
      </c>
      <c r="C1892" s="457" t="s">
        <v>4023</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4025</v>
      </c>
      <c r="P1892" s="1468"/>
      <c r="Q1892" s="1604"/>
      <c r="R1892" s="1319"/>
      <c r="S1892" s="1319"/>
      <c r="T1892" s="1314"/>
      <c r="U1892" s="1314"/>
      <c r="V1892" s="2423"/>
      <c r="W1892" s="2423"/>
      <c r="X1892" s="1314"/>
    </row>
    <row r="1893" spans="1:24" ht="18">
      <c r="A1893" s="1620"/>
      <c r="B1893" s="1314"/>
      <c r="C1893" s="457" t="s">
        <v>2194</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23"/>
      <c r="W1893" s="2423"/>
      <c r="X1893" s="1314"/>
    </row>
    <row r="1894" spans="1:24" ht="18.75" customHeight="1">
      <c r="A1894" s="1620"/>
      <c r="B1894" s="1620" t="s">
        <v>2436</v>
      </c>
      <c r="C1894" s="457" t="s">
        <v>4024</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4025</v>
      </c>
      <c r="P1894" s="1468"/>
      <c r="Q1894" s="1604"/>
      <c r="R1894" s="1319"/>
      <c r="S1894" s="1319"/>
      <c r="T1894" s="1314"/>
      <c r="U1894" s="1314"/>
      <c r="V1894" s="2423"/>
      <c r="W1894" s="2423"/>
      <c r="X1894" s="1314"/>
    </row>
    <row r="1895" spans="1:24" ht="18">
      <c r="A1895" s="1620"/>
      <c r="B1895" s="1314"/>
      <c r="C1895" s="457" t="s">
        <v>2194</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23"/>
      <c r="W1895" s="2423"/>
      <c r="X1895" s="1314"/>
    </row>
    <row r="1896" spans="1:24">
      <c r="A1896" s="1620"/>
      <c r="B1896" s="2458" t="s">
        <v>1988</v>
      </c>
      <c r="C1896" s="1604" t="s">
        <v>4026</v>
      </c>
      <c r="D1896" s="1604"/>
      <c r="E1896" s="1604"/>
      <c r="F1896" s="1604"/>
      <c r="G1896" s="1647" t="s">
        <v>3779</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4583</v>
      </c>
      <c r="D1897" s="1583"/>
      <c r="E1897" s="1583"/>
      <c r="F1897" s="1583"/>
      <c r="G1897" s="1583"/>
      <c r="H1897" s="1583"/>
      <c r="I1897" s="1583"/>
      <c r="J1897" s="1583"/>
      <c r="K1897" s="1583"/>
      <c r="L1897" s="1583"/>
      <c r="M1897" s="1583"/>
      <c r="N1897" s="1684" t="s">
        <v>1988</v>
      </c>
      <c r="O1897" s="1631">
        <f>'Part IX Scoring Criteria'!O249</f>
        <v>0</v>
      </c>
      <c r="P1897" s="1631"/>
      <c r="Q1897" s="1630"/>
      <c r="R1897" s="1319"/>
      <c r="S1897" s="1319"/>
      <c r="V1897" s="2423"/>
      <c r="W1897" s="2423"/>
    </row>
    <row r="1898" spans="1:24" ht="18">
      <c r="A1898" s="1620"/>
      <c r="B1898" s="1620" t="s">
        <v>2435</v>
      </c>
      <c r="C1898" s="1635" t="s">
        <v>4132</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2436</v>
      </c>
      <c r="C1902" s="1635" t="s">
        <v>4130</v>
      </c>
      <c r="D1902" s="1582"/>
      <c r="E1902" s="1582"/>
      <c r="F1902" s="1582"/>
      <c r="G1902" s="1582"/>
      <c r="H1902" s="1582"/>
      <c r="I1902" s="1582"/>
      <c r="J1902" s="1582"/>
      <c r="K1902" s="1582"/>
      <c r="L1902" s="1583" t="s">
        <v>4134</v>
      </c>
      <c r="M1902" s="1583"/>
      <c r="N1902" s="1604" t="s">
        <v>4135</v>
      </c>
      <c r="O1902" s="1604"/>
      <c r="P1902" s="1604"/>
      <c r="Q1902" s="1630"/>
      <c r="R1902" s="1319"/>
      <c r="S1902" s="1319"/>
      <c r="V1902" s="2423"/>
      <c r="W1902" s="242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2534</v>
      </c>
      <c r="C1906" s="1604" t="s">
        <v>4027</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4031</v>
      </c>
      <c r="D1907" s="1550"/>
      <c r="E1907" s="1550"/>
      <c r="F1907" s="1550"/>
      <c r="G1907" s="1550"/>
      <c r="H1907" s="1550"/>
      <c r="I1907" s="1550"/>
      <c r="J1907" s="1550"/>
      <c r="K1907" s="1550"/>
      <c r="L1907" s="1550"/>
      <c r="M1907" s="1550"/>
      <c r="N1907" s="1684" t="s">
        <v>2534</v>
      </c>
      <c r="O1907" s="1578">
        <f>'Part IX Scoring Criteria'!O259</f>
        <v>0</v>
      </c>
      <c r="P1907" s="1578"/>
      <c r="Q1907" s="1630"/>
      <c r="R1907" s="1314"/>
      <c r="S1907" s="1314"/>
      <c r="T1907" s="1314"/>
      <c r="U1907" s="1314"/>
      <c r="V1907" s="2423"/>
      <c r="W1907" s="2423"/>
      <c r="X1907" s="1314"/>
    </row>
    <row r="1908" spans="1:24">
      <c r="A1908" s="1511"/>
      <c r="B1908" s="1727" t="s">
        <v>1224</v>
      </c>
      <c r="C1908" s="457" t="s">
        <v>3782</v>
      </c>
      <c r="D1908" s="1314"/>
      <c r="Q1908" s="1313"/>
    </row>
    <row r="1909" spans="1:24" ht="18.75" customHeight="1">
      <c r="A1909" s="1620"/>
      <c r="B1909" s="1760"/>
      <c r="C1909" s="1583" t="s">
        <v>4033</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23"/>
      <c r="W1909" s="2423"/>
      <c r="X1909" s="1314"/>
    </row>
    <row r="1910" spans="1:24" ht="18">
      <c r="A1910" s="1620"/>
      <c r="B1910" s="1760"/>
      <c r="C1910" s="1582"/>
      <c r="D1910" s="1582"/>
      <c r="E1910" s="1582"/>
      <c r="F1910" s="1582"/>
      <c r="G1910" s="1635" t="s">
        <v>4943</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2435</v>
      </c>
      <c r="C1911" s="1550" t="s">
        <v>4034</v>
      </c>
      <c r="D1911" s="1550"/>
      <c r="E1911" s="1550"/>
      <c r="F1911" s="1550"/>
      <c r="G1911" s="1550"/>
      <c r="H1911" s="1550"/>
      <c r="I1911" s="1550"/>
      <c r="J1911" s="1550"/>
      <c r="K1911" s="1550"/>
      <c r="L1911" s="1550"/>
      <c r="M1911" s="1550"/>
      <c r="N1911" s="1620" t="s">
        <v>2435</v>
      </c>
      <c r="O1911" s="1578">
        <f>'Part IX Scoring Criteria'!O263</f>
        <v>0</v>
      </c>
      <c r="P1911" s="1578"/>
      <c r="Q1911" s="1630"/>
      <c r="R1911" s="1314"/>
      <c r="S1911" s="1314"/>
      <c r="T1911" s="1314"/>
      <c r="U1911" s="1314"/>
      <c r="V1911" s="2423"/>
      <c r="W1911" s="2423"/>
      <c r="X1911" s="1314"/>
    </row>
    <row r="1912" spans="1:24" ht="18.75" customHeight="1">
      <c r="A1912" s="1620"/>
      <c r="B1912" s="1620" t="s">
        <v>2436</v>
      </c>
      <c r="C1912" s="1550" t="s">
        <v>4843</v>
      </c>
      <c r="D1912" s="1550"/>
      <c r="E1912" s="1550"/>
      <c r="F1912" s="1550"/>
      <c r="G1912" s="1550"/>
      <c r="H1912" s="1550"/>
      <c r="I1912" s="1550"/>
      <c r="J1912" s="1550"/>
      <c r="K1912" s="1550"/>
      <c r="L1912" s="1550"/>
      <c r="M1912" s="1550"/>
      <c r="N1912" s="1620" t="s">
        <v>2436</v>
      </c>
      <c r="O1912" s="1578">
        <f>'Part IX Scoring Criteria'!O264</f>
        <v>0</v>
      </c>
      <c r="P1912" s="1578"/>
      <c r="Q1912" s="1630"/>
      <c r="R1912" s="1314"/>
      <c r="S1912" s="1314"/>
      <c r="T1912" s="1314"/>
      <c r="U1912" s="1314"/>
      <c r="V1912" s="2423"/>
      <c r="W1912" s="2423"/>
      <c r="X1912" s="1314"/>
    </row>
    <row r="1913" spans="1:24">
      <c r="A1913" s="1511"/>
      <c r="B1913" s="1727" t="s">
        <v>1225</v>
      </c>
      <c r="C1913" s="457" t="s">
        <v>4844</v>
      </c>
      <c r="D1913" s="1314"/>
      <c r="N1913" s="1684" t="s">
        <v>1225</v>
      </c>
      <c r="Q1913" s="1313"/>
    </row>
    <row r="1914" spans="1:24" ht="18.75" customHeight="1">
      <c r="A1914" s="1620"/>
      <c r="B1914" s="1620" t="s">
        <v>2435</v>
      </c>
      <c r="C1914" s="1550" t="s">
        <v>4845</v>
      </c>
      <c r="D1914" s="1550"/>
      <c r="E1914" s="1550"/>
      <c r="F1914" s="1550"/>
      <c r="G1914" s="1550"/>
      <c r="H1914" s="1550"/>
      <c r="I1914" s="1550"/>
      <c r="J1914" s="1550"/>
      <c r="K1914" s="1550"/>
      <c r="L1914" s="1550"/>
      <c r="M1914" s="1550"/>
      <c r="N1914" s="1620" t="s">
        <v>2435</v>
      </c>
      <c r="O1914" s="1578">
        <f>'Part IX Scoring Criteria'!O266</f>
        <v>0</v>
      </c>
      <c r="P1914" s="1578"/>
      <c r="Q1914" s="1630"/>
      <c r="R1914" s="1314"/>
      <c r="S1914" s="1314"/>
      <c r="T1914" s="1314"/>
      <c r="U1914" s="1314"/>
      <c r="V1914" s="2423"/>
      <c r="W1914" s="2423"/>
      <c r="X1914" s="1314"/>
    </row>
    <row r="1915" spans="1:24" ht="18.75" customHeight="1">
      <c r="A1915" s="1620"/>
      <c r="B1915" s="1620" t="s">
        <v>2436</v>
      </c>
      <c r="C1915" s="1550" t="s">
        <v>4846</v>
      </c>
      <c r="D1915" s="1550"/>
      <c r="E1915" s="1550"/>
      <c r="F1915" s="1550"/>
      <c r="G1915" s="1550"/>
      <c r="H1915" s="1550"/>
      <c r="I1915" s="1550"/>
      <c r="J1915" s="1550"/>
      <c r="K1915" s="1550"/>
      <c r="L1915" s="1550"/>
      <c r="M1915" s="1550"/>
      <c r="N1915" s="1620" t="s">
        <v>2436</v>
      </c>
      <c r="O1915" s="1578">
        <f>'Part IX Scoring Criteria'!O267</f>
        <v>0</v>
      </c>
      <c r="P1915" s="1578"/>
      <c r="Q1915" s="1630"/>
      <c r="R1915" s="1314"/>
      <c r="S1915" s="1314"/>
      <c r="T1915" s="1314"/>
      <c r="U1915" s="1314"/>
      <c r="V1915" s="2423"/>
      <c r="W1915" s="2423"/>
      <c r="X1915" s="1314"/>
    </row>
    <row r="1916" spans="1:24">
      <c r="A1916" s="1511" t="s">
        <v>1985</v>
      </c>
      <c r="B1916" s="1317" t="s">
        <v>5119</v>
      </c>
      <c r="D1916" s="1314"/>
      <c r="G1916" s="1647" t="s">
        <v>3779</v>
      </c>
      <c r="O1916" s="1578" t="s">
        <v>2510</v>
      </c>
      <c r="P1916" s="1578" t="s">
        <v>2510</v>
      </c>
      <c r="Q1916" s="1372"/>
    </row>
    <row r="1917" spans="1:24" ht="18.75" customHeight="1">
      <c r="B1917" s="2458" t="s">
        <v>1986</v>
      </c>
      <c r="C1917" s="1550" t="s">
        <v>4029</v>
      </c>
      <c r="D1917" s="1550"/>
      <c r="E1917" s="1550"/>
      <c r="F1917" s="1550"/>
      <c r="G1917" s="1550"/>
      <c r="H1917" s="1550"/>
      <c r="I1917" s="1550"/>
      <c r="J1917" s="1550"/>
      <c r="K1917" s="1550"/>
      <c r="L1917" s="1550"/>
      <c r="M1917" s="1762" t="s">
        <v>1985</v>
      </c>
      <c r="N1917" s="1684" t="s">
        <v>1986</v>
      </c>
      <c r="O1917" s="1631">
        <f>'Part IX Scoring Criteria'!O269</f>
        <v>0</v>
      </c>
      <c r="P1917" s="1631"/>
      <c r="Q1917" s="1372"/>
      <c r="V1917" s="2423"/>
      <c r="W1917" s="2423"/>
    </row>
    <row r="1918" spans="1:24" ht="18">
      <c r="A1918" s="1620"/>
      <c r="B1918" s="2458" t="s">
        <v>1988</v>
      </c>
      <c r="C1918" s="1524" t="s">
        <v>4847</v>
      </c>
      <c r="D1918" s="1550"/>
      <c r="E1918" s="1550"/>
      <c r="F1918" s="1550"/>
      <c r="G1918" s="1550"/>
      <c r="H1918" s="1550"/>
      <c r="I1918" s="1550"/>
      <c r="J1918" s="1550"/>
      <c r="K1918" s="1550"/>
      <c r="L1918" s="1550"/>
      <c r="M1918" s="1550"/>
      <c r="N1918" s="1684" t="s">
        <v>1988</v>
      </c>
      <c r="O1918" s="1578">
        <f>'Part IX Scoring Criteria'!O270</f>
        <v>0</v>
      </c>
      <c r="P1918" s="1578"/>
      <c r="Q1918" s="1630"/>
      <c r="R1918" s="1314"/>
      <c r="S1918" s="1314"/>
      <c r="T1918" s="1314"/>
      <c r="U1918" s="1314"/>
      <c r="V1918" s="2463"/>
      <c r="W1918" s="2463"/>
      <c r="X1918" s="1314"/>
    </row>
    <row r="1919" spans="1:24" ht="18">
      <c r="A1919" s="1620"/>
      <c r="B1919" s="2458" t="s">
        <v>2534</v>
      </c>
      <c r="C1919" s="1524" t="s">
        <v>4848</v>
      </c>
      <c r="D1919" s="1550"/>
      <c r="E1919" s="1550"/>
      <c r="F1919" s="1550"/>
      <c r="G1919" s="1550"/>
      <c r="H1919" s="1550"/>
      <c r="I1919" s="1550"/>
      <c r="J1919" s="1550"/>
      <c r="K1919" s="1550"/>
      <c r="L1919" s="1550"/>
      <c r="M1919" s="1550"/>
      <c r="N1919" s="1684" t="s">
        <v>2534</v>
      </c>
      <c r="O1919" s="1578">
        <f>'Part IX Scoring Criteria'!O271</f>
        <v>0</v>
      </c>
      <c r="P1919" s="1578"/>
      <c r="Q1919" s="1630"/>
      <c r="R1919" s="1314"/>
      <c r="S1919" s="1314"/>
      <c r="T1919" s="1314"/>
      <c r="U1919" s="1314"/>
      <c r="V1919" s="2463"/>
      <c r="W1919" s="2463"/>
      <c r="X1919" s="1314"/>
    </row>
    <row r="1920" spans="1:24" ht="14.4">
      <c r="A1920" s="1314"/>
      <c r="B1920" s="1549" t="s">
        <v>3750</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15">
      <c r="A1921" s="1573" t="str">
        <f>'Part IX Scoring Criteria'!A273</f>
        <v>N/A</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4.4">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426</v>
      </c>
      <c r="B1925" s="2368" t="s">
        <v>2786</v>
      </c>
      <c r="C1925" s="1676"/>
      <c r="D1925" s="1549"/>
      <c r="E1925" s="1549"/>
      <c r="F1925" s="1676"/>
      <c r="G1925" s="1335" t="s">
        <v>4175</v>
      </c>
      <c r="H1925" s="1676"/>
      <c r="I1925" s="1676"/>
      <c r="J1925" s="1676"/>
      <c r="K1925" s="1676"/>
      <c r="L1925" s="1676"/>
      <c r="M1925" s="1313">
        <v>6</v>
      </c>
      <c r="N1925" s="1313"/>
      <c r="O1925" s="1607">
        <f>'Part IX Scoring Criteria'!O277</f>
        <v>5</v>
      </c>
      <c r="P1925" s="1607">
        <f>P1927+P1936+P1941</f>
        <v>0</v>
      </c>
      <c r="Q1925" s="1313" t="s">
        <v>441</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3599</v>
      </c>
      <c r="B1927" s="1317" t="s">
        <v>4852</v>
      </c>
      <c r="C1927" s="1676"/>
      <c r="D1927" s="1549"/>
      <c r="E1927" s="1549"/>
      <c r="F1927" s="1676"/>
      <c r="G1927" s="1647" t="s">
        <v>4859</v>
      </c>
      <c r="H1927" s="1676"/>
      <c r="J1927" s="1754" t="str">
        <f>'Part I-Project Information'!$O$38</f>
        <v>13169030301</v>
      </c>
      <c r="K1927" s="1754"/>
      <c r="L1927" s="1676"/>
      <c r="M1927" s="1313">
        <v>3</v>
      </c>
      <c r="N1927" s="1721"/>
      <c r="O1927" s="1607">
        <f>'Part IX Scoring Criteria'!O279</f>
        <v>3</v>
      </c>
      <c r="P1927" s="1313"/>
      <c r="Q1927" s="1313"/>
      <c r="R1927" s="1659"/>
      <c r="S1927" s="1676"/>
      <c r="T1927" s="1676"/>
      <c r="U1927" s="1676"/>
      <c r="V1927" s="1676"/>
      <c r="W1927" s="1676"/>
      <c r="X1927" s="1676"/>
    </row>
    <row r="1928" spans="1:24">
      <c r="A1928" s="2464"/>
      <c r="B1928" s="1317" t="s">
        <v>2794</v>
      </c>
      <c r="C1928" s="1204"/>
      <c r="D1928" s="1204"/>
      <c r="G1928" s="1317" t="str">
        <f>'Part I-Project Information'!$H$105</f>
        <v>Rural</v>
      </c>
      <c r="M1928" s="1626" t="s">
        <v>4853</v>
      </c>
      <c r="N1928" s="1721"/>
      <c r="O1928" s="1626" t="s">
        <v>2510</v>
      </c>
      <c r="P1928" s="1626" t="s">
        <v>2510</v>
      </c>
    </row>
    <row r="1929" spans="1:24" ht="12.75" customHeight="1">
      <c r="A1929" s="2464"/>
      <c r="B1929" s="1727" t="s">
        <v>1986</v>
      </c>
      <c r="C1929" s="1051" t="s">
        <v>2685</v>
      </c>
      <c r="M1929" s="1320"/>
      <c r="N1929" s="1696" t="s">
        <v>1986</v>
      </c>
      <c r="O1929" s="1578" t="str">
        <f>'Part IX Scoring Criteria'!O281</f>
        <v>Yes</v>
      </c>
      <c r="P1929" s="1578"/>
      <c r="Q1929" s="2465" t="str">
        <f>IF(AND(O1929="Yes",O1932="Yes"),"Only 1 or 4 can be 'Yes'!","")</f>
        <v/>
      </c>
      <c r="R1929" s="2465"/>
    </row>
    <row r="1930" spans="1:24" ht="12.75" customHeight="1">
      <c r="B1930" s="1727" t="s">
        <v>1988</v>
      </c>
      <c r="C1930" s="1051" t="s">
        <v>2739</v>
      </c>
      <c r="G1930" s="1051" t="s">
        <v>2389</v>
      </c>
      <c r="H1930" s="2466">
        <f>'Part IX Scoring Criteria'!H282</f>
        <v>0.1</v>
      </c>
      <c r="I1930" s="1051" t="s">
        <v>2740</v>
      </c>
      <c r="L1930" s="457" t="s">
        <v>2738</v>
      </c>
      <c r="M1930" s="457" t="str">
        <f>IF(O1930&gt;H1930,"CHECK ACTUAL PERCENT!!!","")</f>
        <v/>
      </c>
      <c r="N1930" s="1696" t="s">
        <v>1988</v>
      </c>
      <c r="O1930" s="2467">
        <f>'Part IX Scoring Criteria'!O282</f>
        <v>8.0500000000000002E-2</v>
      </c>
      <c r="P1930" s="1766"/>
      <c r="Q1930" s="2465"/>
      <c r="R1930" s="2465"/>
    </row>
    <row r="1931" spans="1:24" ht="12.75" customHeight="1">
      <c r="B1931" s="1727" t="s">
        <v>2534</v>
      </c>
      <c r="C1931" s="1051" t="s">
        <v>2390</v>
      </c>
      <c r="G1931" s="1051" t="s">
        <v>2391</v>
      </c>
      <c r="J1931" s="1767" t="s">
        <v>5056</v>
      </c>
      <c r="L1931" s="1524" t="s">
        <v>2732</v>
      </c>
      <c r="M1931" s="1314"/>
      <c r="N1931" s="1696" t="s">
        <v>2534</v>
      </c>
      <c r="O1931" s="1578" t="str">
        <f>'Part IX Scoring Criteria'!O283</f>
        <v>Upper</v>
      </c>
      <c r="P1931" s="1578" t="s">
        <v>201</v>
      </c>
      <c r="Q1931" s="2465"/>
      <c r="R1931" s="2465"/>
    </row>
    <row r="1932" spans="1:24" ht="12.75" customHeight="1">
      <c r="A1932" s="1596"/>
      <c r="B1932" s="2458" t="s">
        <v>1224</v>
      </c>
      <c r="C1932" s="1583" t="s">
        <v>5345</v>
      </c>
      <c r="D1932" s="1583"/>
      <c r="E1932" s="1583"/>
      <c r="F1932" s="1583"/>
      <c r="G1932" s="1583"/>
      <c r="H1932" s="1583"/>
      <c r="I1932" s="1583"/>
      <c r="J1932" s="1767"/>
      <c r="K1932" s="1767" t="s">
        <v>4036</v>
      </c>
      <c r="L1932" s="1596"/>
      <c r="M1932" s="1316">
        <v>2</v>
      </c>
      <c r="N1932" s="1696" t="s">
        <v>1224</v>
      </c>
      <c r="O1932" s="1631" t="str">
        <f>'Part IX Scoring Criteria'!O284</f>
        <v>N/a</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4092</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4854</v>
      </c>
      <c r="C1936" s="1051"/>
      <c r="G1936" s="1051" t="s">
        <v>4855</v>
      </c>
      <c r="M1936" s="1313">
        <v>2</v>
      </c>
      <c r="N1936" s="1511" t="s">
        <v>749</v>
      </c>
      <c r="O1936" s="1607">
        <f>'Part IX Scoring Criteria'!O288</f>
        <v>2</v>
      </c>
      <c r="P1936" s="1607">
        <f>IF(OR(AND(P1937&gt;=60,P1938&gt;=60,P1939&gt;=60),AND(P1937&lt;60,P1938&gt;=60,P1939&gt;=60),AND(P1937&gt;=60,P1938&lt;60,P1939&gt;=60),AND(P1937&gt;=60,P1938&gt;=60,P1939&lt;60)),$M$288,IF(OR(P1937&gt;=60,P1938&gt;=60,P1939&gt;=60),1,0))</f>
        <v>0</v>
      </c>
    </row>
    <row r="1937" spans="1:24">
      <c r="A1937" s="1204"/>
      <c r="B1937" s="1727" t="s">
        <v>1986</v>
      </c>
      <c r="C1937" s="457" t="s">
        <v>5051</v>
      </c>
      <c r="D1937" s="457"/>
      <c r="G1937" s="457" t="s">
        <v>4856</v>
      </c>
      <c r="H1937" s="1550"/>
      <c r="I1937" s="1550"/>
      <c r="J1937" s="1314"/>
      <c r="K1937" s="1314"/>
      <c r="L1937" s="1314"/>
      <c r="M1937" s="1314"/>
      <c r="N1937" s="1696" t="s">
        <v>1986</v>
      </c>
      <c r="O1937" s="2471">
        <f>'Part IX Scoring Criteria'!O289</f>
        <v>83</v>
      </c>
      <c r="P1937" s="1692"/>
    </row>
    <row r="1938" spans="1:24">
      <c r="A1938" s="1204"/>
      <c r="B1938" s="1727" t="s">
        <v>1988</v>
      </c>
      <c r="C1938" s="457" t="s">
        <v>5052</v>
      </c>
      <c r="D1938" s="457"/>
      <c r="G1938" s="457" t="s">
        <v>4857</v>
      </c>
      <c r="H1938" s="1550"/>
      <c r="I1938" s="1550"/>
      <c r="J1938" s="1314"/>
      <c r="K1938" s="1314"/>
      <c r="L1938" s="1314"/>
      <c r="M1938" s="1314"/>
      <c r="N1938" s="1696" t="s">
        <v>1988</v>
      </c>
      <c r="O1938" s="2471">
        <f>'Part IX Scoring Criteria'!O290</f>
        <v>80</v>
      </c>
      <c r="P1938" s="1692"/>
      <c r="R1938" s="638" t="s">
        <v>5062</v>
      </c>
    </row>
    <row r="1939" spans="1:24">
      <c r="A1939" s="1204"/>
      <c r="B1939" s="1727" t="s">
        <v>2534</v>
      </c>
      <c r="C1939" s="457" t="s">
        <v>5053</v>
      </c>
      <c r="D1939" s="457"/>
      <c r="G1939" s="457" t="s">
        <v>4858</v>
      </c>
      <c r="H1939" s="1550"/>
      <c r="I1939" s="1550"/>
      <c r="J1939" s="1314"/>
      <c r="K1939" s="1314"/>
      <c r="L1939" s="1314"/>
      <c r="M1939" s="1314"/>
      <c r="N1939" s="1696" t="s">
        <v>2534</v>
      </c>
      <c r="O1939" s="2471">
        <f>'Part IX Scoring Criteria'!O291</f>
        <v>81</v>
      </c>
      <c r="P1939" s="1692"/>
    </row>
    <row r="1940" spans="1:24">
      <c r="A1940" s="1204"/>
      <c r="B1940" s="1727"/>
      <c r="C1940" s="1051"/>
      <c r="M1940" s="1313"/>
      <c r="N1940" s="1315"/>
      <c r="O1940" s="1313"/>
      <c r="P1940" s="1313"/>
    </row>
    <row r="1941" spans="1:24">
      <c r="A1941" s="1204" t="s">
        <v>2115</v>
      </c>
      <c r="B1941" s="1727" t="s">
        <v>3600</v>
      </c>
      <c r="C1941" s="1051"/>
      <c r="G1941" s="1578" t="s">
        <v>3604</v>
      </c>
      <c r="H1941" s="1766">
        <f>'Part IX Scoring Criteria'!H293</f>
        <v>0</v>
      </c>
      <c r="J1941" s="1636" t="s">
        <v>4860</v>
      </c>
      <c r="K1941" s="2472" t="str">
        <f>'Part I-Project Information'!$K$94</f>
        <v>40% of Units at 60% of AMI</v>
      </c>
      <c r="L1941" s="2472"/>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362</v>
      </c>
      <c r="B1946" s="2368" t="s">
        <v>4039</v>
      </c>
      <c r="C1946" s="1676"/>
      <c r="D1946" s="1549"/>
      <c r="E1946" s="1549"/>
      <c r="F1946" s="1676"/>
      <c r="G1946" s="1676"/>
      <c r="H1946" s="1335"/>
      <c r="I1946" s="1773" t="s">
        <v>3795</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3786</v>
      </c>
      <c r="D1947" s="1635"/>
      <c r="E1947" s="1635"/>
      <c r="F1947" s="1635"/>
      <c r="G1947" s="1635"/>
      <c r="H1947" s="1635"/>
      <c r="I1947" s="1635"/>
      <c r="J1947" s="1635"/>
      <c r="K1947" s="1635"/>
      <c r="L1947" s="1635"/>
      <c r="M1947" s="2359" t="str">
        <f>IF(OR(SUM(T1947:T1948)&gt;1,SUM(U1947:U1948)&gt;1),"Only one category can be met by other means!","")</f>
        <v/>
      </c>
      <c r="N1947" s="1620" t="s">
        <v>1983</v>
      </c>
      <c r="O1947" s="1578">
        <f>'Part IX Scoring Criteria'!O299</f>
        <v>0</v>
      </c>
      <c r="P1947" s="1578"/>
      <c r="U1947" s="1626">
        <f>IF(L1947="Yes",1,0)</f>
        <v>0</v>
      </c>
    </row>
    <row r="1948" spans="1:24">
      <c r="A1948" s="1316" t="s">
        <v>1985</v>
      </c>
      <c r="B1948" s="1635" t="s">
        <v>3787</v>
      </c>
      <c r="D1948" s="1635"/>
      <c r="L1948" s="1635"/>
      <c r="M1948" s="2359"/>
      <c r="N1948" s="1620" t="s">
        <v>1985</v>
      </c>
      <c r="O1948" s="1578">
        <f>'Part IX Scoring Criteria'!O300</f>
        <v>0</v>
      </c>
      <c r="P1948" s="1578"/>
      <c r="U1948" s="1626">
        <f>IF(L1948="Yes",1,0)</f>
        <v>0</v>
      </c>
    </row>
    <row r="1949" spans="1:24" ht="14.4">
      <c r="A1949" s="1314"/>
      <c r="B1949" s="1549" t="s">
        <v>3750</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15">
      <c r="A1950" s="1583" t="str">
        <f>'Part IX Scoring Criteria'!A302</f>
        <v>N/A</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4.4">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363</v>
      </c>
      <c r="B1954" s="2368" t="s">
        <v>2459</v>
      </c>
      <c r="C1954" s="1659"/>
      <c r="D1954" s="1695"/>
      <c r="E1954" s="1695"/>
      <c r="F1954" s="1695"/>
      <c r="G1954" s="1659"/>
      <c r="H1954" s="1525" t="s">
        <v>4864</v>
      </c>
      <c r="I1954" s="1659"/>
      <c r="J1954" s="457" t="s">
        <v>2794</v>
      </c>
      <c r="K1954" s="1317"/>
      <c r="L1954" s="457" t="str">
        <f>'Part I-Project Information'!$H$105</f>
        <v>Rural</v>
      </c>
      <c r="M1954" s="1313">
        <v>4</v>
      </c>
      <c r="N1954" s="1313"/>
      <c r="O1954" s="1313">
        <f>'Part IX Scoring Criteria'!O306</f>
        <v>2</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4586</v>
      </c>
      <c r="D1955" s="1314"/>
      <c r="E1955" s="1314"/>
      <c r="F1955" s="1314"/>
      <c r="H1955" s="457" t="s">
        <v>3681</v>
      </c>
      <c r="I1955" s="1051"/>
      <c r="J1955" s="457" t="str">
        <f>'Part I-Project Information'!$O$34</f>
        <v>No</v>
      </c>
      <c r="K1955" s="457"/>
      <c r="L1955" s="1647">
        <f>'Part I-Project Information'!$O$35</f>
        <v>0</v>
      </c>
      <c r="M1955" s="1313">
        <v>3</v>
      </c>
      <c r="N1955" s="1620" t="s">
        <v>1983</v>
      </c>
      <c r="O1955" s="1546">
        <f>'Part IX Scoring Criteria'!O307</f>
        <v>0</v>
      </c>
      <c r="P1955" s="1546"/>
      <c r="Q1955" s="2411" t="str">
        <f>IF(OR($O1955=$M1955,$O1955=0,$O1955=""),"","*CHECK!*")</f>
        <v/>
      </c>
      <c r="R1955" s="1372" t="s">
        <v>2706</v>
      </c>
    </row>
    <row r="1956" spans="1:24" ht="12.75" customHeight="1">
      <c r="A1956" s="1051"/>
      <c r="B1956" s="2458" t="s">
        <v>1986</v>
      </c>
      <c r="C1956" s="1583" t="s">
        <v>5120</v>
      </c>
      <c r="D1956" s="1583"/>
      <c r="E1956" s="1583"/>
      <c r="F1956" s="1583"/>
      <c r="G1956" s="1583"/>
      <c r="H1956" s="1583"/>
      <c r="I1956" s="1583"/>
      <c r="J1956" s="1583"/>
      <c r="K1956" s="1583"/>
      <c r="L1956" s="1583"/>
      <c r="M1956" s="1583"/>
      <c r="N1956" s="1684" t="s">
        <v>1986</v>
      </c>
      <c r="O1956" s="1631">
        <f>'Part IX Scoring Criteria'!O308</f>
        <v>0</v>
      </c>
      <c r="P1956" s="1631"/>
      <c r="Q1956" s="1583" t="s">
        <v>5346</v>
      </c>
      <c r="R1956" s="1583"/>
      <c r="S1956" s="1583"/>
      <c r="T1956" s="1583"/>
      <c r="U1956" s="1583"/>
      <c r="V1956" s="1583"/>
      <c r="W1956" s="1583"/>
      <c r="X1956" s="1583"/>
    </row>
    <row r="1957" spans="1:24">
      <c r="A1957" s="457"/>
      <c r="B1957" s="1727"/>
      <c r="C1957" s="457" t="s">
        <v>3801</v>
      </c>
      <c r="D1957" s="457"/>
      <c r="E1957" s="457"/>
      <c r="F1957" s="457"/>
      <c r="G1957" s="457"/>
      <c r="H1957" s="457"/>
      <c r="I1957" s="1620" t="s">
        <v>4865</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3856</v>
      </c>
      <c r="D1958" s="457"/>
      <c r="E1958" s="457"/>
      <c r="F1958" s="457"/>
      <c r="G1958" s="457"/>
      <c r="H1958" s="457"/>
      <c r="I1958" s="1620" t="s">
        <v>4865</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f>'Part IX Scoring Criteria'!O312</f>
        <v>0</v>
      </c>
      <c r="P1960" s="1578"/>
      <c r="Q1960" s="1583"/>
      <c r="R1960" s="1583"/>
      <c r="S1960" s="1583"/>
      <c r="T1960" s="457"/>
      <c r="U1960" s="457"/>
      <c r="V1960" s="457"/>
      <c r="W1960" s="457"/>
      <c r="X1960" s="457"/>
    </row>
    <row r="1961" spans="1:24">
      <c r="A1961" s="457"/>
      <c r="B1961" s="1727" t="s">
        <v>1224</v>
      </c>
      <c r="C1961" s="457" t="s">
        <v>4870</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4588</v>
      </c>
      <c r="C1963" s="1314"/>
      <c r="D1963" s="1314"/>
      <c r="E1963" s="1314"/>
      <c r="F1963" s="1314"/>
      <c r="G1963" s="1314"/>
      <c r="H1963" s="1525" t="s">
        <v>4866</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4871</v>
      </c>
      <c r="C1964" s="1202"/>
      <c r="D1964" s="1202"/>
      <c r="E1964" s="1202"/>
      <c r="F1964" s="1202"/>
      <c r="G1964" s="1202"/>
      <c r="H1964" s="1202"/>
      <c r="I1964" s="1202"/>
      <c r="J1964" s="1202"/>
      <c r="K1964" s="1202"/>
      <c r="L1964" s="1202"/>
      <c r="M1964" s="1313">
        <v>3</v>
      </c>
      <c r="N1964" s="1620" t="s">
        <v>1985</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5121</v>
      </c>
      <c r="D1965" s="1314"/>
      <c r="E1965" s="1314"/>
      <c r="F1965" s="1314"/>
      <c r="G1965" s="1314"/>
      <c r="H1965" s="1314"/>
      <c r="I1965" s="1314"/>
      <c r="J1965" s="1314"/>
      <c r="K1965" s="1314"/>
      <c r="L1965" s="2421" t="str">
        <f>IF(OR($O1965=$M1965,$O1965=0,$O1965=""),"","* * Check Score! * *")</f>
        <v/>
      </c>
      <c r="M1965" s="1313">
        <v>3</v>
      </c>
      <c r="N1965" s="1776" t="s">
        <v>1986</v>
      </c>
      <c r="O1965" s="1546">
        <f>'Part IX Scoring Criteria'!O317</f>
        <v>0</v>
      </c>
      <c r="P1965" s="1546"/>
      <c r="Q1965" s="2411" t="str">
        <f>IF(OR($O1965=$M1965,$O1965=0,$O1965=""),"","*CHECK!*")</f>
        <v/>
      </c>
      <c r="R1965" s="1372" t="s">
        <v>2706</v>
      </c>
      <c r="S1965" s="1314"/>
      <c r="T1965" s="1314"/>
      <c r="U1965" s="1314"/>
      <c r="V1965" s="1314"/>
      <c r="W1965" s="1314"/>
      <c r="X1965" s="1314"/>
    </row>
    <row r="1966" spans="1:24">
      <c r="A1966" s="1578"/>
      <c r="B1966" s="2458" t="s">
        <v>1988</v>
      </c>
      <c r="C1966" s="1051" t="s">
        <v>5122</v>
      </c>
      <c r="D1966" s="1314"/>
      <c r="E1966" s="1314"/>
      <c r="F1966" s="1314"/>
      <c r="G1966" s="1524"/>
      <c r="H1966" s="1525"/>
      <c r="I1966" s="1524"/>
      <c r="L1966" s="2421" t="str">
        <f>IF(OR($O1966=$M1966,$O1966=0,$O1966=""),"","* * Check Score! * *")</f>
        <v/>
      </c>
      <c r="M1966" s="1320">
        <v>2</v>
      </c>
      <c r="N1966" s="1776" t="s">
        <v>1988</v>
      </c>
      <c r="O1966" s="1546">
        <f>'Part IX Scoring Criteria'!O318</f>
        <v>0</v>
      </c>
      <c r="P1966" s="1546"/>
      <c r="Q1966" s="2411" t="str">
        <f>IF(OR($O1966=$M1966,$O1966=0,$O1966=""),"","*CHECK!*")</f>
        <v/>
      </c>
      <c r="R1966" s="1372" t="s">
        <v>2706</v>
      </c>
    </row>
    <row r="1967" spans="1:24">
      <c r="A1967" s="1316" t="s">
        <v>749</v>
      </c>
      <c r="B1967" s="1317" t="s">
        <v>4591</v>
      </c>
      <c r="C1967" s="1314"/>
      <c r="D1967" s="1314"/>
      <c r="E1967" s="1314"/>
      <c r="F1967" s="1314"/>
      <c r="G1967" s="1314"/>
      <c r="H1967" s="1525" t="s">
        <v>4867</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3608</v>
      </c>
      <c r="C1968" s="1314"/>
      <c r="D1968" s="1314"/>
      <c r="E1968" s="1314"/>
      <c r="F1968" s="1314"/>
      <c r="G1968" s="1314"/>
      <c r="H1968" s="1525"/>
      <c r="I1968" s="1314"/>
      <c r="J1968" s="1314"/>
      <c r="K1968" s="1314"/>
      <c r="L1968" s="1314"/>
      <c r="M1968" s="1313">
        <v>4</v>
      </c>
      <c r="N1968" s="1620" t="s">
        <v>749</v>
      </c>
      <c r="O1968" s="1546">
        <f>'Part IX Scoring Criteria'!O320</f>
        <v>2</v>
      </c>
      <c r="P1968" s="1546">
        <f>IF($L$306="Rural", MIN($M$320, SUM(P1969:P1971)), 0)</f>
        <v>0</v>
      </c>
      <c r="Q1968" s="1314"/>
      <c r="R1968" s="1314"/>
      <c r="S1968" s="1314"/>
      <c r="T1968" s="1314"/>
      <c r="U1968" s="1314"/>
      <c r="V1968" s="1314"/>
      <c r="W1968" s="1314"/>
      <c r="X1968" s="1314"/>
    </row>
    <row r="1969" spans="1:24">
      <c r="A1969" s="1314"/>
      <c r="B1969" s="1727" t="s">
        <v>1986</v>
      </c>
      <c r="C1969" s="1051" t="s">
        <v>3607</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11" t="str">
        <f>IF(OR($O1969=$M1969,$O1969=0,$O1969=""),"","*CHECK!*")</f>
        <v/>
      </c>
      <c r="R1969" s="1372" t="s">
        <v>2706</v>
      </c>
      <c r="S1969" s="1314"/>
      <c r="T1969" s="1314"/>
      <c r="U1969" s="1314"/>
      <c r="V1969" s="1314"/>
      <c r="W1969" s="1314"/>
      <c r="X1969" s="1314"/>
    </row>
    <row r="1970" spans="1:24">
      <c r="A1970" s="1578"/>
      <c r="B1970" s="2458" t="s">
        <v>1988</v>
      </c>
      <c r="C1970" s="457" t="s">
        <v>5123</v>
      </c>
      <c r="D1970" s="1314"/>
      <c r="E1970" s="1314"/>
      <c r="F1970" s="1314"/>
      <c r="G1970" s="1524"/>
      <c r="H1970" s="1525"/>
      <c r="I1970" s="1524"/>
      <c r="K1970" s="1319"/>
      <c r="L1970" s="1319"/>
      <c r="M1970" s="1320">
        <v>3</v>
      </c>
      <c r="N1970" s="1776" t="s">
        <v>1988</v>
      </c>
      <c r="O1970" s="1546">
        <f>'Part IX Scoring Criteria'!O322</f>
        <v>0</v>
      </c>
      <c r="P1970" s="1546"/>
      <c r="Q1970" s="2411" t="str">
        <f>IF(OR($O1970=$M1970,$O1970=0,$O1970=""),"","*CHECK!*")</f>
        <v/>
      </c>
      <c r="R1970" s="1372" t="s">
        <v>2706</v>
      </c>
    </row>
    <row r="1971" spans="1:24">
      <c r="A1971" s="1578"/>
      <c r="B1971" s="2458" t="s">
        <v>2534</v>
      </c>
      <c r="C1971" s="1051" t="s">
        <v>5124</v>
      </c>
      <c r="D1971" s="1314"/>
      <c r="E1971" s="1314"/>
      <c r="F1971" s="1314"/>
      <c r="G1971" s="1524"/>
      <c r="H1971" s="1525"/>
      <c r="I1971" s="1524"/>
      <c r="K1971" s="1319"/>
      <c r="L1971" s="1319"/>
      <c r="M1971" s="1320">
        <v>2</v>
      </c>
      <c r="N1971" s="1776" t="s">
        <v>2534</v>
      </c>
      <c r="O1971" s="1546">
        <f>'Part IX Scoring Criteria'!O323</f>
        <v>2</v>
      </c>
      <c r="P1971" s="1546"/>
      <c r="Q1971" s="2411" t="str">
        <f>IF(OR($O1971=$M1971,$O1971=0,$O1971=""),"","*CHECK!*")</f>
        <v/>
      </c>
      <c r="R1971" s="1372" t="s">
        <v>2706</v>
      </c>
    </row>
    <row r="1972" spans="1:24" ht="14.4">
      <c r="A1972" s="1314"/>
      <c r="B1972" s="1549" t="s">
        <v>3750</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22.4">
      <c r="A1973" s="1583" t="str">
        <f>'Part IX Scoring Criteria'!A325</f>
        <v>There have been no 9% Credits awarded within the City of Gray Political Jurisdiction in the years 2015, 2016, 2017 or 2018.</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4.4">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364</v>
      </c>
      <c r="B1977" s="2368"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
      <c r="A1978" s="1511" t="s">
        <v>1983</v>
      </c>
      <c r="B1978" s="1317" t="s">
        <v>2233</v>
      </c>
      <c r="C1978" s="1676"/>
      <c r="D1978" s="1525"/>
      <c r="E1978" s="1525"/>
      <c r="F1978" s="1655"/>
      <c r="H1978" s="1676"/>
      <c r="I1978" s="1676"/>
      <c r="J1978" s="1676"/>
      <c r="K1978" s="1676"/>
      <c r="L1978" s="2421"/>
      <c r="M1978" s="1313">
        <v>3</v>
      </c>
      <c r="N1978" s="1620" t="s">
        <v>1983</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1986</v>
      </c>
      <c r="C1979" s="1524" t="s">
        <v>4872</v>
      </c>
      <c r="D1979" s="1525"/>
      <c r="E1979" s="1525"/>
      <c r="F1979" s="1655"/>
      <c r="H1979" s="1676"/>
      <c r="I1979" s="1676"/>
      <c r="J1979" s="1676"/>
      <c r="K1979" s="1676"/>
      <c r="L1979" s="2421"/>
      <c r="M1979" s="1313">
        <v>3</v>
      </c>
      <c r="N1979" s="1776" t="s">
        <v>1986</v>
      </c>
      <c r="O1979" s="1578" t="str">
        <f>'Part IX Scoring Criteria'!O331</f>
        <v>Yes</v>
      </c>
      <c r="P1979" s="1578"/>
      <c r="Q1979" s="2411"/>
      <c r="R1979" s="1372"/>
      <c r="S1979" s="1676"/>
      <c r="T1979" s="2423"/>
      <c r="U1979" s="2423"/>
      <c r="V1979" s="1676"/>
      <c r="W1979" s="1676"/>
      <c r="X1979" s="1676"/>
    </row>
    <row r="1980" spans="1:24" ht="18">
      <c r="A1980" s="1511"/>
      <c r="B1980" s="2458" t="s">
        <v>1988</v>
      </c>
      <c r="C1980" s="1524" t="s">
        <v>4873</v>
      </c>
      <c r="D1980" s="1525"/>
      <c r="E1980" s="1525"/>
      <c r="F1980" s="1655"/>
      <c r="H1980" s="1676"/>
      <c r="I1980" s="1676"/>
      <c r="J1980" s="1676"/>
      <c r="K1980" s="1676"/>
      <c r="L1980" s="2421"/>
      <c r="M1980" s="1313">
        <v>2</v>
      </c>
      <c r="N1980" s="1776" t="s">
        <v>1988</v>
      </c>
      <c r="O1980" s="1578">
        <f>'Part IX Scoring Criteria'!O332</f>
        <v>0</v>
      </c>
      <c r="P1980" s="1578"/>
      <c r="Q1980" s="2411"/>
      <c r="R1980" s="1372"/>
      <c r="S1980" s="1676"/>
      <c r="T1980" s="2423"/>
      <c r="U1980" s="2423"/>
      <c r="V1980" s="1676"/>
      <c r="W1980" s="1676"/>
      <c r="X1980" s="1676"/>
    </row>
    <row r="1981" spans="1:24" ht="18">
      <c r="A1981" s="1511"/>
      <c r="B1981" s="2458" t="s">
        <v>2534</v>
      </c>
      <c r="C1981" s="1524" t="s">
        <v>4874</v>
      </c>
      <c r="D1981" s="1525"/>
      <c r="E1981" s="1525"/>
      <c r="F1981" s="1655"/>
      <c r="H1981" s="1676"/>
      <c r="I1981" s="1676"/>
      <c r="J1981" s="1676"/>
      <c r="K1981" s="1620"/>
      <c r="L1981" s="1676"/>
      <c r="M1981" s="1313">
        <v>1</v>
      </c>
      <c r="N1981" s="1776" t="s">
        <v>2534</v>
      </c>
      <c r="O1981" s="1578">
        <f>'Part IX Scoring Criteria'!O333</f>
        <v>0</v>
      </c>
      <c r="P1981" s="1578"/>
      <c r="Q1981" s="1676"/>
      <c r="R1981" s="1528"/>
      <c r="S1981" s="1676"/>
      <c r="T1981" s="2423"/>
      <c r="U1981" s="2423"/>
      <c r="V1981" s="1676"/>
      <c r="W1981" s="1676"/>
      <c r="X1981" s="1676"/>
    </row>
    <row r="1982" spans="1:24" ht="18">
      <c r="A1982" s="1511" t="s">
        <v>1985</v>
      </c>
      <c r="B1982" s="1317" t="s">
        <v>2234</v>
      </c>
      <c r="C1982" s="1659"/>
      <c r="D1982" s="457"/>
      <c r="E1982" s="1659"/>
      <c r="F1982" s="1659"/>
      <c r="G1982" s="1659"/>
      <c r="H1982" s="1659"/>
      <c r="I1982" s="1659"/>
      <c r="J1982" s="1659"/>
      <c r="K1982" s="457"/>
      <c r="L1982" s="2421" t="str">
        <f>IF(OR($O1982=$M1982,$O1982=0,$O1982=""),"","* * Check Score! * *")</f>
        <v/>
      </c>
      <c r="M1982" s="1313">
        <v>1</v>
      </c>
      <c r="N1982" s="1620" t="s">
        <v>1985</v>
      </c>
      <c r="O1982" s="1546">
        <f>'Part IX Scoring Criteria'!O334</f>
        <v>0</v>
      </c>
      <c r="P1982" s="1546">
        <f>IF(P1983="Yes",$M$334,0)</f>
        <v>0</v>
      </c>
      <c r="Q1982" s="2411" t="str">
        <f>IF(OR($O1982=$M1982,$O1982=0,$O1982=""),"","*CHECK!*")</f>
        <v/>
      </c>
      <c r="R1982" s="1372" t="s">
        <v>2706</v>
      </c>
      <c r="S1982" s="1659"/>
      <c r="T1982" s="2423"/>
      <c r="U1982" s="2423"/>
      <c r="V1982" s="1659"/>
      <c r="W1982" s="1659"/>
      <c r="X1982" s="1659"/>
    </row>
    <row r="1983" spans="1:24" ht="18.75" customHeight="1">
      <c r="A1983" s="2473"/>
      <c r="B1983" s="1550" t="s">
        <v>4876</v>
      </c>
      <c r="C1983" s="1550"/>
      <c r="D1983" s="1550"/>
      <c r="E1983" s="1550"/>
      <c r="F1983" s="1550"/>
      <c r="G1983" s="1550"/>
      <c r="H1983" s="1550"/>
      <c r="I1983" s="1550"/>
      <c r="J1983" s="1550"/>
      <c r="K1983" s="1550"/>
      <c r="L1983" s="1550"/>
      <c r="M1983" s="1313"/>
      <c r="N1983" s="1620"/>
      <c r="O1983" s="1631">
        <f>'Part IX Scoring Criteria'!O335</f>
        <v>0</v>
      </c>
      <c r="P1983" s="1631"/>
      <c r="Q1983" s="1528"/>
      <c r="R1983" s="2421"/>
      <c r="S1983" s="1659"/>
      <c r="T1983" s="2423"/>
      <c r="U1983" s="2423"/>
      <c r="V1983" s="1659"/>
      <c r="W1983" s="1659"/>
      <c r="X1983" s="1659"/>
    </row>
    <row r="1984" spans="1:24" ht="18">
      <c r="A1984" s="1511" t="s">
        <v>749</v>
      </c>
      <c r="B1984" s="1317" t="s">
        <v>4875</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2706</v>
      </c>
      <c r="S1984" s="1659"/>
      <c r="T1984" s="2423"/>
      <c r="U1984" s="2423"/>
      <c r="V1984" s="1659"/>
      <c r="W1984" s="1659"/>
      <c r="X1984" s="1659"/>
    </row>
    <row r="1985" spans="1:24" ht="18.75" customHeight="1">
      <c r="A1985" s="1659"/>
      <c r="B1985" s="1583" t="s">
        <v>5347</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5028</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1726</v>
      </c>
      <c r="B1990" s="2368" t="s">
        <v>4047</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1983</v>
      </c>
      <c r="B1991" s="1317" t="s">
        <v>4048</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No</v>
      </c>
      <c r="P1991" s="1313"/>
      <c r="Q1991" s="1313"/>
      <c r="R1991" s="1372" t="s">
        <v>2706</v>
      </c>
      <c r="S1991" s="1659"/>
      <c r="T1991" s="1659"/>
      <c r="U1991" s="1659"/>
      <c r="V1991" s="1659"/>
      <c r="W1991" s="1659"/>
      <c r="X1991" s="1659"/>
    </row>
    <row r="1992" spans="1:24" ht="14.4">
      <c r="A1992" s="1511"/>
      <c r="B1992" s="1776" t="s">
        <v>1986</v>
      </c>
      <c r="C1992" s="457" t="s">
        <v>4947</v>
      </c>
      <c r="D1992" s="1314"/>
      <c r="E1992" s="1676"/>
      <c r="F1992" s="1676"/>
      <c r="G1992" s="1676"/>
      <c r="H1992" s="1676"/>
      <c r="I1992" s="1676"/>
      <c r="J1992" s="1676"/>
      <c r="K1992" s="1676"/>
      <c r="L1992" s="1676"/>
      <c r="M1992" s="1676"/>
      <c r="N1992" s="1776" t="s">
        <v>4949</v>
      </c>
      <c r="O1992" s="1578">
        <f>'Part IX Scoring Criteria'!O344</f>
        <v>0</v>
      </c>
      <c r="P1992" s="1578"/>
      <c r="Q1992" s="1676"/>
      <c r="R1992" s="2421"/>
      <c r="S1992" s="1676"/>
      <c r="T1992" s="1676"/>
      <c r="U1992" s="1676"/>
      <c r="V1992" s="1676"/>
      <c r="W1992" s="1676"/>
      <c r="X1992" s="1676"/>
    </row>
    <row r="1993" spans="1:24" ht="14.4">
      <c r="A1993" s="1511"/>
      <c r="B1993" s="1776"/>
      <c r="C1993" s="457" t="s">
        <v>4948</v>
      </c>
      <c r="D1993" s="1314"/>
      <c r="E1993" s="1676"/>
      <c r="F1993" s="1676"/>
      <c r="G1993" s="1676"/>
      <c r="H1993" s="1676"/>
      <c r="I1993" s="1676"/>
      <c r="J1993" s="1676"/>
      <c r="K1993" s="1676"/>
      <c r="L1993" s="1676"/>
      <c r="M1993" s="1676"/>
      <c r="N1993" s="1776" t="s">
        <v>4950</v>
      </c>
      <c r="O1993" s="1578">
        <f>'Part IX Scoring Criteria'!O345</f>
        <v>0</v>
      </c>
      <c r="P1993" s="1578"/>
      <c r="Q1993" s="1676"/>
      <c r="R1993" s="2421"/>
      <c r="S1993" s="1676"/>
      <c r="T1993" s="1676"/>
      <c r="U1993" s="1676"/>
      <c r="V1993" s="1676"/>
      <c r="W1993" s="1676"/>
      <c r="X1993" s="1676"/>
    </row>
    <row r="1994" spans="1:24" ht="14.4">
      <c r="A1994" s="1511"/>
      <c r="B1994" s="1776" t="s">
        <v>1988</v>
      </c>
      <c r="C1994" s="457" t="s">
        <v>4065</v>
      </c>
      <c r="D1994" s="1314"/>
      <c r="E1994" s="1676"/>
      <c r="F1994" s="1676"/>
      <c r="G1994" s="1676"/>
      <c r="H1994" s="1676"/>
      <c r="I1994" s="1676"/>
      <c r="J1994" s="1676"/>
      <c r="K1994" s="1676"/>
      <c r="L1994" s="1676"/>
      <c r="M1994" s="1676"/>
      <c r="N1994" s="1776" t="s">
        <v>1988</v>
      </c>
      <c r="O1994" s="1578">
        <f>'Part IX Scoring Criteria'!O346</f>
        <v>0</v>
      </c>
      <c r="P1994" s="1578"/>
      <c r="Q1994" s="1676"/>
      <c r="R1994" s="2421"/>
      <c r="S1994" s="1676"/>
      <c r="T1994" s="1676"/>
      <c r="U1994" s="1676"/>
      <c r="V1994" s="1676"/>
      <c r="W1994" s="1676"/>
      <c r="X1994" s="1676"/>
    </row>
    <row r="1995" spans="1:24" ht="14.4">
      <c r="A1995" s="1511"/>
      <c r="B1995" s="1776" t="s">
        <v>2534</v>
      </c>
      <c r="C1995" s="457" t="s">
        <v>4951</v>
      </c>
      <c r="D1995" s="1314"/>
      <c r="E1995" s="1676"/>
      <c r="F1995" s="1676"/>
      <c r="G1995" s="1676"/>
      <c r="H1995" s="1676"/>
      <c r="I1995" s="1676"/>
      <c r="J1995" s="1676"/>
      <c r="K1995" s="1676"/>
      <c r="L1995" s="1676"/>
      <c r="M1995" s="1676"/>
      <c r="N1995" s="1776" t="s">
        <v>2534</v>
      </c>
      <c r="O1995" s="1578">
        <f>'Part IX Scoring Criteria'!O347</f>
        <v>0</v>
      </c>
      <c r="P1995" s="1578"/>
      <c r="Q1995" s="1676"/>
      <c r="R1995" s="2421"/>
      <c r="S1995" s="1676"/>
      <c r="T1995" s="1676"/>
      <c r="U1995" s="1676"/>
      <c r="V1995" s="1676"/>
      <c r="W1995" s="1676"/>
      <c r="X1995" s="1676"/>
    </row>
    <row r="1996" spans="1:24" ht="14.4">
      <c r="A1996" s="1676"/>
      <c r="B1996" s="1776" t="s">
        <v>1224</v>
      </c>
      <c r="C1996" s="457" t="s">
        <v>4877</v>
      </c>
      <c r="D1996" s="1314"/>
      <c r="E1996" s="1676"/>
      <c r="F1996" s="1676"/>
      <c r="G1996" s="1676"/>
      <c r="H1996" s="1676"/>
      <c r="I1996" s="1676"/>
      <c r="J1996" s="1676"/>
      <c r="K1996" s="1676"/>
      <c r="L1996" s="1676"/>
      <c r="M1996" s="1676"/>
      <c r="N1996" s="1776" t="s">
        <v>1224</v>
      </c>
      <c r="O1996" s="1578">
        <f>'Part IX Scoring Criteria'!O348</f>
        <v>0</v>
      </c>
      <c r="P1996" s="1578"/>
      <c r="Q1996" s="1676"/>
      <c r="R1996" s="2421"/>
      <c r="S1996" s="1676"/>
      <c r="T1996" s="1676"/>
      <c r="U1996" s="1676"/>
      <c r="V1996" s="1676"/>
      <c r="W1996" s="1676"/>
      <c r="X1996" s="1676"/>
    </row>
    <row r="1997" spans="1:24" ht="14.4">
      <c r="A1997" s="1511"/>
      <c r="B1997" s="1776" t="s">
        <v>1225</v>
      </c>
      <c r="C1997" s="457" t="s">
        <v>4878</v>
      </c>
      <c r="D1997" s="1314"/>
      <c r="E1997" s="1676"/>
      <c r="F1997" s="1676"/>
      <c r="G1997" s="1676"/>
      <c r="H1997" s="1676"/>
      <c r="I1997" s="1676"/>
      <c r="J1997" s="1676"/>
      <c r="K1997" s="1676"/>
      <c r="L1997" s="1676"/>
      <c r="M1997" s="1676"/>
      <c r="N1997" s="1776" t="s">
        <v>1225</v>
      </c>
      <c r="O1997" s="1578">
        <f>'Part IX Scoring Criteria'!O349</f>
        <v>0</v>
      </c>
      <c r="P1997" s="1578"/>
      <c r="Q1997" s="1676"/>
      <c r="R1997" s="2421"/>
      <c r="S1997" s="1676"/>
      <c r="T1997" s="1676"/>
      <c r="U1997" s="1676"/>
      <c r="V1997" s="1676"/>
      <c r="W1997" s="1676"/>
      <c r="X1997" s="1676"/>
    </row>
    <row r="1998" spans="1:24" ht="14.4">
      <c r="A1998" s="1511"/>
      <c r="B1998" s="1776" t="s">
        <v>1881</v>
      </c>
      <c r="C1998" s="457" t="s">
        <v>4066</v>
      </c>
      <c r="D1998" s="1314"/>
      <c r="E1998" s="1676"/>
      <c r="F1998" s="1676"/>
      <c r="G1998" s="1676"/>
      <c r="H1998" s="1676"/>
      <c r="I1998" s="1676"/>
      <c r="J1998" s="1676"/>
      <c r="K1998" s="1676"/>
      <c r="L1998" s="1676"/>
      <c r="M1998" s="1676"/>
      <c r="N1998" s="1776" t="s">
        <v>1881</v>
      </c>
      <c r="O1998" s="1578">
        <f>'Part IX Scoring Criteria'!O350</f>
        <v>0</v>
      </c>
      <c r="P1998" s="1578"/>
      <c r="Q1998" s="1676"/>
      <c r="R1998" s="2421"/>
      <c r="S1998" s="1676"/>
      <c r="T1998" s="1676"/>
      <c r="U1998" s="1676"/>
      <c r="V1998" s="1676"/>
      <c r="W1998" s="1676"/>
      <c r="X1998" s="1676"/>
    </row>
    <row r="1999" spans="1:24" ht="14.4">
      <c r="A1999" s="1511" t="s">
        <v>1985</v>
      </c>
      <c r="B1999" s="1317" t="s">
        <v>4049</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4.4">
      <c r="A2000" s="2473"/>
      <c r="B2000" s="1776" t="s">
        <v>1986</v>
      </c>
      <c r="C2000" s="457" t="s">
        <v>4947</v>
      </c>
      <c r="D2000" s="457"/>
      <c r="E2000" s="457"/>
      <c r="F2000" s="1676"/>
      <c r="G2000" s="1676"/>
      <c r="H2000" s="1676"/>
      <c r="I2000" s="1676"/>
      <c r="J2000" s="1676"/>
      <c r="K2000" s="1676"/>
      <c r="L2000" s="1676"/>
      <c r="M2000" s="1313"/>
      <c r="N2000" s="1776" t="s">
        <v>4949</v>
      </c>
      <c r="O2000" s="1578">
        <f>'Part IX Scoring Criteria'!O352</f>
        <v>0</v>
      </c>
      <c r="P2000" s="1578"/>
      <c r="Q2000" s="1313"/>
      <c r="R2000" s="1676"/>
      <c r="S2000" s="1676"/>
      <c r="T2000" s="1676"/>
      <c r="U2000" s="1676"/>
      <c r="V2000" s="1676"/>
      <c r="W2000" s="1676"/>
      <c r="X2000" s="1676"/>
    </row>
    <row r="2001" spans="1:24" ht="14.4">
      <c r="A2001" s="1511"/>
      <c r="B2001" s="1776"/>
      <c r="C2001" s="457" t="s">
        <v>4952</v>
      </c>
      <c r="D2001" s="1314"/>
      <c r="E2001" s="1676"/>
      <c r="F2001" s="1676"/>
      <c r="G2001" s="1676"/>
      <c r="H2001" s="1676"/>
      <c r="I2001" s="1676"/>
      <c r="J2001" s="1676"/>
      <c r="K2001" s="1676"/>
      <c r="L2001" s="1676"/>
      <c r="M2001" s="1676"/>
      <c r="N2001" s="1776" t="s">
        <v>4950</v>
      </c>
      <c r="O2001" s="1578">
        <f>'Part IX Scoring Criteria'!O353</f>
        <v>0</v>
      </c>
      <c r="P2001" s="1578"/>
      <c r="Q2001" s="1676"/>
      <c r="R2001" s="2421"/>
      <c r="S2001" s="1676"/>
      <c r="T2001" s="1676"/>
      <c r="U2001" s="1676"/>
      <c r="V2001" s="1676"/>
      <c r="W2001" s="1676"/>
      <c r="X2001" s="1676"/>
    </row>
    <row r="2002" spans="1:24" ht="14.4">
      <c r="A2002" s="1511"/>
      <c r="B2002" s="1776" t="s">
        <v>1988</v>
      </c>
      <c r="C2002" s="457" t="s">
        <v>4078</v>
      </c>
      <c r="D2002" s="1314"/>
      <c r="E2002" s="1676"/>
      <c r="F2002" s="1676"/>
      <c r="G2002" s="1676"/>
      <c r="H2002" s="1676"/>
      <c r="I2002" s="1676"/>
      <c r="J2002" s="1676"/>
      <c r="K2002" s="1676"/>
      <c r="L2002" s="1676"/>
      <c r="M2002" s="1676"/>
      <c r="N2002" s="1776" t="s">
        <v>1988</v>
      </c>
      <c r="O2002" s="1578">
        <f>'Part IX Scoring Criteria'!O354</f>
        <v>0</v>
      </c>
      <c r="P2002" s="1578"/>
      <c r="Q2002" s="1676"/>
      <c r="R2002" s="2421"/>
      <c r="S2002" s="1676"/>
      <c r="T2002" s="1676"/>
      <c r="U2002" s="1676"/>
      <c r="V2002" s="1676"/>
      <c r="W2002" s="1676"/>
      <c r="X2002" s="1676"/>
    </row>
    <row r="2003" spans="1:24" ht="14.4">
      <c r="A2003" s="1676"/>
      <c r="B2003" s="1776" t="s">
        <v>2534</v>
      </c>
      <c r="C2003" s="457" t="s">
        <v>4066</v>
      </c>
      <c r="D2003" s="1314"/>
      <c r="E2003" s="1676"/>
      <c r="F2003" s="1676"/>
      <c r="G2003" s="1676"/>
      <c r="H2003" s="1676"/>
      <c r="I2003" s="1676"/>
      <c r="J2003" s="1676"/>
      <c r="K2003" s="1676"/>
      <c r="L2003" s="1676"/>
      <c r="M2003" s="1676"/>
      <c r="N2003" s="1776" t="s">
        <v>2534</v>
      </c>
      <c r="O2003" s="1578">
        <f>'Part IX Scoring Criteria'!O355</f>
        <v>0</v>
      </c>
      <c r="P2003" s="1578"/>
      <c r="Q2003" s="1676"/>
      <c r="R2003" s="2421"/>
      <c r="S2003" s="1676"/>
      <c r="T2003" s="1676"/>
      <c r="U2003" s="1676"/>
      <c r="V2003" s="1676"/>
      <c r="W2003" s="1676"/>
      <c r="X2003" s="1676"/>
    </row>
    <row r="2004" spans="1:24" ht="14.4">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2782</v>
      </c>
      <c r="B2007" s="2368" t="s">
        <v>4050</v>
      </c>
      <c r="C2007" s="1659"/>
      <c r="D2007" s="1659"/>
      <c r="E2007" s="1659"/>
      <c r="F2007" s="1659"/>
      <c r="G2007" s="1659"/>
      <c r="H2007" s="1620" t="s">
        <v>3576</v>
      </c>
      <c r="I2007" s="1524" t="str">
        <f>'Part I-Project Information'!$H$105</f>
        <v>Rural</v>
      </c>
      <c r="J2007" s="1524"/>
      <c r="K2007" s="1659"/>
      <c r="L2007" s="2421" t="str">
        <f>IF(OR($O2007=$M2007,$O2007=0,$O2007=""),"","* * Check Score! * *")</f>
        <v/>
      </c>
      <c r="M2007" s="1313">
        <v>1</v>
      </c>
      <c r="N2007" s="2474"/>
      <c r="O2007" s="1313">
        <f>'Part IX Scoring Criteria'!O359</f>
        <v>1</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4879</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5125</v>
      </c>
      <c r="C2009" s="1583"/>
      <c r="D2009" s="1583"/>
      <c r="E2009" s="1583"/>
      <c r="F2009" s="1583"/>
      <c r="G2009" s="1583"/>
      <c r="H2009" s="1583"/>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3750</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42.80000000000001">
      <c r="A2013" s="1583" t="str">
        <f>'Part IX Scoring Criteria'!A365</f>
        <v>Dulles Park II is the only application the Applicant is submitting where there is direct or indirect interest. Applicant is selecting the priority point for Dulles Park II.</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4.4">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2251</v>
      </c>
      <c r="B2017" s="2368" t="s">
        <v>1672</v>
      </c>
      <c r="C2017" s="1659"/>
      <c r="D2017" s="1638"/>
      <c r="E2017" s="1638"/>
      <c r="F2017" s="1659"/>
      <c r="G2017" s="457"/>
      <c r="H2017" s="1659"/>
      <c r="I2017" s="457"/>
      <c r="J2017" s="457"/>
      <c r="K2017" s="1659"/>
      <c r="L2017" s="1578"/>
      <c r="M2017" s="1313">
        <v>1</v>
      </c>
      <c r="N2017" s="2474"/>
      <c r="O2017" s="1546">
        <f>'Part IX Scoring Criteria'!O369</f>
        <v>1</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3612</v>
      </c>
      <c r="C2018" s="1659"/>
      <c r="D2018" s="1638"/>
      <c r="E2018" s="1638"/>
      <c r="F2018" s="1659"/>
      <c r="G2018" s="457"/>
      <c r="H2018" s="1659"/>
      <c r="I2018" s="457" t="str">
        <f>'Part IX Scoring Criteria'!I370</f>
        <v>Gray / Jones County</v>
      </c>
      <c r="J2018" s="457">
        <f>'Part IX Scoring Criteria'!J370</f>
        <v>0</v>
      </c>
      <c r="K2018" s="457">
        <f>'Part IX Scoring Criteria'!K370</f>
        <v>0</v>
      </c>
      <c r="L2018" s="457">
        <f>'Part IX Scoring Criteria'!L370</f>
        <v>0</v>
      </c>
      <c r="M2018" s="1313"/>
      <c r="N2018" s="2474"/>
      <c r="O2018" s="1659"/>
      <c r="P2018" s="1659"/>
      <c r="Q2018" s="2411"/>
      <c r="R2018" s="1372" t="s">
        <v>2706</v>
      </c>
      <c r="S2018" s="1659"/>
      <c r="T2018" s="1659"/>
      <c r="U2018" s="1659"/>
      <c r="V2018" s="1659"/>
      <c r="W2018" s="1659"/>
      <c r="X2018" s="1659"/>
    </row>
    <row r="2019" spans="1:24" ht="14.4">
      <c r="A2019" s="1511"/>
      <c r="B2019" s="1776" t="s">
        <v>1986</v>
      </c>
      <c r="C2019" s="1051" t="s">
        <v>4894</v>
      </c>
      <c r="D2019" s="1638"/>
      <c r="E2019" s="1051" t="s">
        <v>4895</v>
      </c>
      <c r="F2019" s="1659"/>
      <c r="G2019" s="457"/>
      <c r="H2019" s="1659"/>
      <c r="I2019" s="457"/>
      <c r="J2019" s="1051"/>
      <c r="K2019" s="1051"/>
      <c r="L2019" s="1051"/>
      <c r="M2019" s="1578"/>
      <c r="N2019" s="1701"/>
      <c r="O2019" s="1578">
        <f>'Part IX Scoring Criteria'!O371</f>
        <v>0</v>
      </c>
      <c r="P2019" s="1578"/>
      <c r="Q2019" s="2475"/>
      <c r="R2019" s="1372"/>
      <c r="S2019" s="1659"/>
      <c r="T2019" s="1659"/>
      <c r="U2019" s="1659"/>
      <c r="V2019" s="1659"/>
      <c r="W2019" s="1659"/>
      <c r="X2019" s="1659"/>
    </row>
    <row r="2020" spans="1:24" ht="14.4">
      <c r="A2020" s="1511"/>
      <c r="B2020" s="1578"/>
      <c r="C2020" s="1051"/>
      <c r="D2020" s="1638"/>
      <c r="E2020" s="1638" t="s">
        <v>4896</v>
      </c>
      <c r="F2020" s="1659"/>
      <c r="G2020" s="457"/>
      <c r="H2020" s="457"/>
      <c r="I2020" s="1051"/>
      <c r="J2020" s="1051"/>
      <c r="K2020" s="1051"/>
      <c r="L2020" s="1701"/>
      <c r="M2020" s="1546">
        <f>'Part IX Scoring Criteria'!M372</f>
        <v>2019</v>
      </c>
      <c r="N2020" s="1701"/>
      <c r="O2020" s="1578" t="str">
        <f>'Part IX Scoring Criteria'!O372</f>
        <v>Yes</v>
      </c>
      <c r="P2020" s="1578"/>
      <c r="Q2020" s="2475"/>
      <c r="R2020" s="1372"/>
      <c r="S2020" s="1659"/>
      <c r="T2020" s="1659"/>
      <c r="U2020" s="1659"/>
      <c r="V2020" s="1659"/>
      <c r="W2020" s="1659"/>
      <c r="X2020" s="1659"/>
    </row>
    <row r="2021" spans="1:24" ht="14.4">
      <c r="A2021" s="1659"/>
      <c r="B2021" s="1776" t="s">
        <v>1988</v>
      </c>
      <c r="C2021" s="1524" t="s">
        <v>5348</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4051</v>
      </c>
      <c r="D2022" s="457"/>
      <c r="E2022" s="457"/>
      <c r="F2022" s="457"/>
      <c r="G2022" s="457"/>
      <c r="H2022" s="457"/>
      <c r="I2022" s="457"/>
      <c r="J2022" s="457"/>
      <c r="K2022" s="457"/>
      <c r="L2022" s="457"/>
      <c r="M2022" s="457"/>
      <c r="N2022" s="1620" t="s">
        <v>2435</v>
      </c>
      <c r="O2022" s="1578" t="str">
        <f>'Part IX Scoring Criteria'!O374</f>
        <v>Yes</v>
      </c>
      <c r="P2022" s="1578"/>
      <c r="Q2022" s="457"/>
      <c r="R2022" s="457"/>
      <c r="S2022" s="457"/>
      <c r="T2022" s="457"/>
      <c r="U2022" s="457"/>
      <c r="V2022" s="457"/>
      <c r="W2022" s="457"/>
      <c r="X2022" s="457"/>
    </row>
    <row r="2023" spans="1:24">
      <c r="A2023" s="457"/>
      <c r="B2023" s="1627" t="s">
        <v>2436</v>
      </c>
      <c r="C2023" s="1524" t="s">
        <v>4052</v>
      </c>
      <c r="D2023" s="457"/>
      <c r="E2023" s="457"/>
      <c r="F2023" s="457"/>
      <c r="G2023" s="457"/>
      <c r="H2023" s="457"/>
      <c r="I2023" s="457"/>
      <c r="J2023" s="457"/>
      <c r="K2023" s="457"/>
      <c r="L2023" s="457"/>
      <c r="M2023" s="457"/>
      <c r="N2023" s="1627" t="s">
        <v>2436</v>
      </c>
      <c r="O2023" s="1578" t="str">
        <f>'Part IX Scoring Criteria'!O375</f>
        <v>Yes</v>
      </c>
      <c r="P2023" s="1578"/>
      <c r="Q2023" s="457"/>
      <c r="R2023" s="457"/>
      <c r="S2023" s="457"/>
      <c r="T2023" s="457"/>
      <c r="U2023" s="457"/>
      <c r="V2023" s="457"/>
      <c r="W2023" s="457"/>
      <c r="X2023" s="457"/>
    </row>
    <row r="2024" spans="1:24">
      <c r="A2024" s="457"/>
      <c r="B2024" s="1620" t="s">
        <v>2437</v>
      </c>
      <c r="C2024" s="1524" t="s">
        <v>4880</v>
      </c>
      <c r="D2024" s="457"/>
      <c r="E2024" s="457"/>
      <c r="F2024" s="457"/>
      <c r="G2024" s="457"/>
      <c r="H2024" s="457"/>
      <c r="I2024" s="457"/>
      <c r="J2024" s="457"/>
      <c r="K2024" s="457"/>
      <c r="L2024" s="457"/>
      <c r="M2024" s="457"/>
      <c r="N2024" s="1620" t="s">
        <v>2437</v>
      </c>
      <c r="O2024" s="1578" t="str">
        <f>'Part IX Scoring Criteria'!O376</f>
        <v>Yes</v>
      </c>
      <c r="P2024" s="1578"/>
      <c r="Q2024" s="457"/>
      <c r="R2024" s="457"/>
      <c r="S2024" s="457"/>
      <c r="T2024" s="457"/>
      <c r="U2024" s="457"/>
      <c r="V2024" s="457"/>
      <c r="W2024" s="457"/>
      <c r="X2024" s="457"/>
    </row>
    <row r="2025" spans="1:24">
      <c r="A2025" s="1051"/>
      <c r="B2025" s="1723" t="s">
        <v>3613</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3750</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367.2">
      <c r="A2028" s="1583" t="str">
        <f>'Part IX Scoring Criteria'!A380</f>
        <v>Please see Tab 39 for documentation of the GICH support letter signed by the primary contact, Donald Black, stating support for the project and that the property lies within the GICH community boundaries. Also in Tab 39, there is the local government letter agreeing to the issuance of the letter from the GICH Team. The Gray/Jones County GICH Team - Alumni Certified May 17, 2019</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4.4">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4096</v>
      </c>
      <c r="B2032" s="2368" t="s">
        <v>4057</v>
      </c>
      <c r="C2032" s="1659"/>
      <c r="D2032" s="1638"/>
      <c r="E2032" s="1638"/>
      <c r="F2032" s="457"/>
      <c r="G2032" s="457"/>
      <c r="H2032" s="1317" t="s">
        <v>2794</v>
      </c>
      <c r="I2032" s="1659"/>
      <c r="J2032" s="1317" t="str">
        <f>'Part I-Project Information'!$H$105</f>
        <v>Rural</v>
      </c>
      <c r="K2032" s="1659"/>
      <c r="L2032" s="242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5349</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3804</v>
      </c>
      <c r="D2035" s="1051"/>
      <c r="E2035" s="1051"/>
      <c r="F2035" s="1051"/>
      <c r="G2035" s="1051"/>
      <c r="H2035" s="1051"/>
      <c r="I2035" s="1051"/>
      <c r="J2035" s="1051"/>
      <c r="K2035" s="1051"/>
      <c r="L2035" s="1583"/>
      <c r="M2035" s="1583"/>
      <c r="N2035" s="1620" t="s">
        <v>2436</v>
      </c>
      <c r="O2035" s="1578">
        <f>'Part IX Scoring Criteria'!O387</f>
        <v>0</v>
      </c>
      <c r="P2035" s="1578"/>
      <c r="Q2035" s="1051"/>
      <c r="R2035" s="1583"/>
      <c r="S2035" s="1583"/>
      <c r="T2035" s="1051"/>
      <c r="U2035" s="1051"/>
      <c r="V2035" s="1051"/>
      <c r="W2035" s="1051"/>
      <c r="X2035" s="1051"/>
    </row>
    <row r="2036" spans="1:24">
      <c r="A2036" s="1051"/>
      <c r="B2036" s="1620" t="s">
        <v>2437</v>
      </c>
      <c r="C2036" s="457" t="s">
        <v>3803</v>
      </c>
      <c r="D2036" s="1051"/>
      <c r="E2036" s="1051"/>
      <c r="F2036" s="1051"/>
      <c r="G2036" s="1051"/>
      <c r="H2036" s="1051"/>
      <c r="I2036" s="1051"/>
      <c r="J2036" s="1051"/>
      <c r="K2036" s="1051"/>
      <c r="L2036" s="1583"/>
      <c r="M2036" s="1583"/>
      <c r="N2036" s="1620" t="s">
        <v>2437</v>
      </c>
      <c r="O2036" s="1578">
        <f>'Part IX Scoring Criteria'!O388</f>
        <v>0</v>
      </c>
      <c r="P2036" s="1578"/>
      <c r="Q2036" s="1051"/>
      <c r="R2036" s="1583"/>
      <c r="S2036" s="1583"/>
      <c r="T2036" s="1051"/>
      <c r="U2036" s="1051"/>
      <c r="V2036" s="1051"/>
      <c r="W2036" s="1051"/>
      <c r="X2036" s="1051"/>
    </row>
    <row r="2037" spans="1:24" ht="12.75" customHeight="1">
      <c r="A2037" s="1051"/>
      <c r="B2037" s="1627" t="s">
        <v>2438</v>
      </c>
      <c r="C2037" s="1583" t="s">
        <v>4881</v>
      </c>
      <c r="D2037" s="1583"/>
      <c r="E2037" s="1583"/>
      <c r="F2037" s="1583"/>
      <c r="G2037" s="1583"/>
      <c r="H2037" s="1583"/>
      <c r="I2037" s="1583"/>
      <c r="J2037" s="1583"/>
      <c r="K2037" s="1583"/>
      <c r="L2037" s="1583"/>
      <c r="M2037" s="1583"/>
      <c r="N2037" s="1627" t="s">
        <v>2438</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1983</v>
      </c>
      <c r="B2039" s="1317" t="s">
        <v>4059</v>
      </c>
      <c r="L2039" s="2421" t="str">
        <f>IF(OR($O2039=$M2039,$O2039=0,$O2039=""),"","* * Check Score! * *")</f>
        <v/>
      </c>
      <c r="M2039" s="1316">
        <v>3</v>
      </c>
      <c r="N2039" s="1620" t="s">
        <v>1983</v>
      </c>
      <c r="O2039" s="1546">
        <f>'Part IX Scoring Criteria'!O391</f>
        <v>0</v>
      </c>
      <c r="P2039" s="1546"/>
      <c r="Q2039" s="2411" t="str">
        <f>IF(OR($O2039=$M2039,$O2039=0,$O2039=""),"","*CHECK!*")</f>
        <v/>
      </c>
      <c r="R2039" s="1372" t="s">
        <v>2706</v>
      </c>
    </row>
    <row r="2040" spans="1:24">
      <c r="A2040" s="2476"/>
      <c r="B2040" s="2458" t="s">
        <v>1986</v>
      </c>
      <c r="C2040" s="1604" t="s">
        <v>4884</v>
      </c>
      <c r="D2040" s="1604"/>
      <c r="E2040" s="1604"/>
      <c r="F2040" s="1604"/>
      <c r="G2040" s="1604"/>
      <c r="H2040" s="1604"/>
      <c r="I2040" s="1604"/>
    </row>
    <row r="2041" spans="1:24">
      <c r="A2041" s="2476"/>
      <c r="B2041" s="1704"/>
      <c r="C2041" s="1604" t="s">
        <v>4883</v>
      </c>
      <c r="D2041" s="1604"/>
      <c r="E2041" s="1604"/>
      <c r="F2041" s="1604"/>
      <c r="G2041" s="1604"/>
      <c r="H2041" s="1604"/>
      <c r="I2041" s="1604"/>
      <c r="J2041" s="1722" t="s">
        <v>1990</v>
      </c>
      <c r="K2041" s="1722"/>
      <c r="M2041" s="1722" t="s">
        <v>1990</v>
      </c>
      <c r="N2041" s="1722"/>
      <c r="O2041" s="1722"/>
      <c r="P2041" s="1722"/>
    </row>
    <row r="2042" spans="1:24" ht="14.4">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21"/>
      <c r="S2042" s="1659"/>
      <c r="T2042" s="1659"/>
      <c r="U2042" s="1659"/>
      <c r="V2042" s="1659"/>
      <c r="W2042" s="1659"/>
      <c r="X2042" s="1659"/>
    </row>
    <row r="2043" spans="1:24">
      <c r="A2043" s="1562"/>
      <c r="B2043" s="1627" t="s">
        <v>2436</v>
      </c>
      <c r="C2043" s="457" t="s">
        <v>3619</v>
      </c>
      <c r="I2043" s="1627" t="s">
        <v>2436</v>
      </c>
      <c r="J2043" s="1545">
        <f>'Part IX Scoring Criteria'!J395</f>
        <v>0</v>
      </c>
      <c r="K2043" s="1545">
        <f>'Part IX Scoring Criteria'!K395</f>
        <v>0</v>
      </c>
      <c r="L2043" s="1627" t="s">
        <v>2436</v>
      </c>
      <c r="M2043" s="1545"/>
      <c r="N2043" s="1545"/>
      <c r="O2043" s="1545"/>
      <c r="P2043" s="1545"/>
      <c r="R2043" s="2421"/>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2421"/>
    </row>
    <row r="2045" spans="1:24">
      <c r="A2045" s="1562"/>
      <c r="B2045" s="1620" t="s">
        <v>2438</v>
      </c>
      <c r="C2045" s="457" t="s">
        <v>3461</v>
      </c>
      <c r="I2045" s="1620" t="s">
        <v>2438</v>
      </c>
      <c r="J2045" s="1545">
        <f>'Part IX Scoring Criteria'!J397</f>
        <v>0</v>
      </c>
      <c r="K2045" s="1545">
        <f>'Part IX Scoring Criteria'!K397</f>
        <v>0</v>
      </c>
      <c r="L2045" s="1620" t="s">
        <v>2438</v>
      </c>
      <c r="M2045" s="1545"/>
      <c r="N2045" s="1545"/>
      <c r="O2045" s="1545"/>
      <c r="P2045" s="1545"/>
      <c r="R2045" s="2421"/>
    </row>
    <row r="2046" spans="1:24" ht="14.4">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21"/>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21"/>
    </row>
    <row r="2048" spans="1:24">
      <c r="A2048" s="1562"/>
      <c r="B2048" s="1620" t="s">
        <v>2456</v>
      </c>
      <c r="C2048" s="457" t="s">
        <v>3617</v>
      </c>
      <c r="I2048" s="1620" t="s">
        <v>2456</v>
      </c>
      <c r="J2048" s="1545">
        <f>'Part IX Scoring Criteria'!J400</f>
        <v>0</v>
      </c>
      <c r="K2048" s="1545">
        <f>'Part IX Scoring Criteria'!K400</f>
        <v>0</v>
      </c>
      <c r="L2048" s="1620" t="s">
        <v>2456</v>
      </c>
      <c r="M2048" s="1545"/>
      <c r="N2048" s="1545"/>
      <c r="O2048" s="1545"/>
      <c r="P2048" s="1545"/>
      <c r="R2048" s="2421"/>
    </row>
    <row r="2049" spans="1:24">
      <c r="B2049" s="1620" t="s">
        <v>2457</v>
      </c>
      <c r="C2049" s="457" t="s">
        <v>5083</v>
      </c>
      <c r="I2049" s="1620" t="s">
        <v>2457</v>
      </c>
      <c r="J2049" s="1545">
        <f>'Part IX Scoring Criteria'!J401</f>
        <v>0</v>
      </c>
      <c r="K2049" s="1545">
        <f>'Part IX Scoring Criteria'!K401</f>
        <v>0</v>
      </c>
      <c r="L2049" s="1620" t="s">
        <v>2457</v>
      </c>
      <c r="M2049" s="1545"/>
      <c r="N2049" s="1545"/>
      <c r="O2049" s="1545"/>
      <c r="P2049" s="1545"/>
      <c r="R2049" s="2421"/>
    </row>
    <row r="2050" spans="1:24">
      <c r="B2050" s="1620" t="s">
        <v>2458</v>
      </c>
      <c r="C2050" s="457" t="s">
        <v>4886</v>
      </c>
      <c r="I2050" s="1620" t="s">
        <v>2458</v>
      </c>
      <c r="J2050" s="1545">
        <f>'Part IX Scoring Criteria'!J402</f>
        <v>0</v>
      </c>
      <c r="K2050" s="1545">
        <f>'Part IX Scoring Criteria'!K402</f>
        <v>0</v>
      </c>
      <c r="L2050" s="1620" t="s">
        <v>2458</v>
      </c>
      <c r="M2050" s="1545"/>
      <c r="N2050" s="1545"/>
      <c r="O2050" s="1545"/>
      <c r="P2050" s="1545"/>
      <c r="R2050" s="2421"/>
    </row>
    <row r="2051" spans="1:24">
      <c r="B2051" s="1620" t="s">
        <v>3620</v>
      </c>
      <c r="C2051" s="457" t="s">
        <v>4887</v>
      </c>
      <c r="I2051" s="1620" t="s">
        <v>3620</v>
      </c>
      <c r="J2051" s="1545">
        <f>'Part IX Scoring Criteria'!J403</f>
        <v>0</v>
      </c>
      <c r="K2051" s="1545">
        <f>'Part IX Scoring Criteria'!K403</f>
        <v>0</v>
      </c>
      <c r="L2051" s="1620" t="s">
        <v>3620</v>
      </c>
      <c r="M2051" s="1545"/>
      <c r="N2051" s="1545"/>
      <c r="O2051" s="1545"/>
      <c r="P2051" s="1545"/>
      <c r="R2051" s="2421"/>
    </row>
    <row r="2052" spans="1:24">
      <c r="B2052" s="1781" t="s">
        <v>5126</v>
      </c>
      <c r="H2052" s="1524" t="s">
        <v>2628</v>
      </c>
      <c r="J2052" s="1545">
        <f>SUM(J2042:K2051)</f>
        <v>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1988</v>
      </c>
      <c r="C2054" s="1204" t="s">
        <v>2627</v>
      </c>
      <c r="M2054" s="1330"/>
      <c r="N2054" s="1330"/>
      <c r="P2054" s="1330"/>
    </row>
    <row r="2055" spans="1:24" ht="15" customHeight="1">
      <c r="A2055" s="1314"/>
      <c r="B2055" s="1659"/>
      <c r="C2055" s="1468" t="s">
        <v>5350</v>
      </c>
      <c r="D2055" s="1468"/>
      <c r="E2055" s="1468"/>
      <c r="F2055" s="1524" t="s">
        <v>4929</v>
      </c>
      <c r="G2055" s="1659"/>
      <c r="I2055" s="1506">
        <f>'Part IX Scoring Criteria'!I407</f>
        <v>0</v>
      </c>
      <c r="J2055" s="1545">
        <f>'Part IV-A-Uses of Funds'!$G$132</f>
        <v>9013295</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4928</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4927</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1985</v>
      </c>
      <c r="B2059" s="1723" t="s">
        <v>3621</v>
      </c>
      <c r="C2059" s="1676"/>
      <c r="D2059" s="457"/>
      <c r="E2059" s="457"/>
      <c r="F2059" s="1313"/>
      <c r="G2059" s="1676"/>
      <c r="H2059" s="457"/>
      <c r="I2059" s="1313"/>
      <c r="J2059" s="1524"/>
      <c r="K2059" s="1524"/>
      <c r="L2059" s="2421" t="str">
        <f>IF(OR($O2059=$M2059,$O2059=0,$O2059=""),"","* * Check Score! * *")</f>
        <v/>
      </c>
      <c r="M2059" s="1316">
        <v>1</v>
      </c>
      <c r="N2059" s="1620" t="s">
        <v>1985</v>
      </c>
      <c r="O2059" s="1546">
        <f>'Part IX Scoring Criteria'!O411</f>
        <v>0</v>
      </c>
      <c r="P2059" s="1546"/>
      <c r="Q2059" s="1313" t="s">
        <v>441</v>
      </c>
      <c r="R2059" s="1372" t="s">
        <v>2706</v>
      </c>
      <c r="S2059" s="1676"/>
      <c r="T2059" s="1676"/>
      <c r="U2059" s="1676"/>
      <c r="V2059" s="2423"/>
      <c r="W2059" s="2423"/>
      <c r="X2059" s="1676"/>
    </row>
    <row r="2060" spans="1:24" ht="18.75" customHeight="1">
      <c r="A2060" s="1511"/>
      <c r="B2060" s="1627" t="s">
        <v>2435</v>
      </c>
      <c r="C2060" s="1583" t="s">
        <v>4061</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2423"/>
      <c r="W2060" s="2423"/>
      <c r="X2060" s="1659"/>
    </row>
    <row r="2061" spans="1:24" ht="18">
      <c r="A2061" s="1511"/>
      <c r="B2061" s="1620" t="s">
        <v>2436</v>
      </c>
      <c r="C2061" s="457" t="s">
        <v>3796</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2423"/>
      <c r="W2061" s="2423"/>
      <c r="X2061" s="1659"/>
    </row>
    <row r="2062" spans="1:24">
      <c r="B2062" s="1620" t="s">
        <v>2437</v>
      </c>
      <c r="C2062" s="1051" t="s">
        <v>4889</v>
      </c>
      <c r="N2062" s="1620" t="s">
        <v>2437</v>
      </c>
      <c r="O2062" s="1578">
        <f>'Part IX Scoring Criteria'!O414</f>
        <v>0</v>
      </c>
      <c r="P2062" s="1578"/>
    </row>
    <row r="2063" spans="1:24">
      <c r="B2063" s="1549" t="s">
        <v>3750</v>
      </c>
      <c r="N2063" s="1320"/>
      <c r="O2063" s="1320"/>
      <c r="P2063" s="1320"/>
    </row>
    <row r="2064" spans="1:24" ht="15">
      <c r="A2064" s="1583" t="str">
        <f>'Part IX Scoring Criteria'!A416</f>
        <v>N/A</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4.4">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4097</v>
      </c>
      <c r="B2068" s="2368" t="s">
        <v>2721</v>
      </c>
      <c r="C2068" s="1659"/>
      <c r="D2068" s="1524"/>
      <c r="E2068" s="1659"/>
      <c r="F2068" s="1659"/>
      <c r="G2068" s="1525" t="s">
        <v>3391</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3462</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2832</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1983</v>
      </c>
      <c r="B2072" s="457" t="s">
        <v>5351</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11" t="str">
        <f>IF(OR($O2072=$M2072,$O2072=0,$O2072=""),"","*CHECK!*")</f>
        <v/>
      </c>
      <c r="R2072" s="1372" t="s">
        <v>2706</v>
      </c>
      <c r="S2072" s="1711"/>
      <c r="T2072" s="1711"/>
      <c r="U2072" s="1711"/>
      <c r="V2072" s="1711"/>
      <c r="W2072" s="1711"/>
      <c r="X2072" s="1711"/>
    </row>
    <row r="2073" spans="1:24" ht="15" customHeight="1">
      <c r="A2073" s="1713"/>
      <c r="B2073" s="1550" t="s">
        <v>4190</v>
      </c>
      <c r="C2073" s="1550"/>
      <c r="D2073" s="1550"/>
      <c r="E2073" s="1550"/>
      <c r="F2073" s="1550"/>
      <c r="G2073" s="1550"/>
      <c r="H2073" s="1550"/>
      <c r="I2073" s="1550"/>
      <c r="J2073" s="1550"/>
      <c r="K2073" s="1550"/>
      <c r="L2073" s="1550"/>
      <c r="M2073" s="1573" t="s">
        <v>5352</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2830</v>
      </c>
      <c r="N2075" s="1713"/>
      <c r="O2075" s="1835">
        <f>'Part VI-Revenues &amp; Expenses'!$O$67</f>
        <v>48</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2831</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N/A</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5353</v>
      </c>
      <c r="B2079" s="1604" t="s">
        <v>3357</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11" t="str">
        <f>IF(OR($O2079=$M2079,$O2079=0,$O2079=""),"","*CHECK!*")</f>
        <v/>
      </c>
      <c r="R2079" s="1372" t="s">
        <v>2706</v>
      </c>
      <c r="S2079" s="1711"/>
      <c r="T2079" s="1711"/>
      <c r="U2079" s="1711"/>
      <c r="V2079" s="1711"/>
      <c r="W2079" s="1711"/>
      <c r="X2079" s="1711"/>
    </row>
    <row r="2080" spans="1:24" ht="15" customHeight="1">
      <c r="A2080" s="2480"/>
      <c r="B2080" s="1583" t="s">
        <v>5127</v>
      </c>
      <c r="C2080" s="1583"/>
      <c r="D2080" s="1583"/>
      <c r="E2080" s="1583"/>
      <c r="F2080" s="1583"/>
      <c r="G2080" s="1583"/>
      <c r="H2080" s="1583"/>
      <c r="I2080" s="1583"/>
      <c r="J2080" s="1583"/>
      <c r="K2080" s="1583"/>
      <c r="L2080" s="1583"/>
      <c r="M2080" s="1738" t="s">
        <v>4892</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2830</v>
      </c>
      <c r="N2081" s="1713"/>
      <c r="O2081" s="1835">
        <f>'Part VI-Revenues &amp; Expenses'!$O$67</f>
        <v>48</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2831</v>
      </c>
      <c r="N2082" s="1713"/>
      <c r="O2082" s="2479">
        <f>IF(O2081=0,0,L2068/O2081)</f>
        <v>0</v>
      </c>
      <c r="P2082" s="2479"/>
      <c r="Q2082" s="1335"/>
      <c r="R2082" s="1711"/>
      <c r="S2082" s="1711"/>
      <c r="T2082" s="1711"/>
      <c r="U2082" s="1711"/>
      <c r="V2082" s="1711"/>
      <c r="W2082" s="1711"/>
      <c r="X2082" s="1711"/>
    </row>
    <row r="2083" spans="1:24" ht="14.4">
      <c r="A2083" s="1314"/>
      <c r="B2083" s="1549" t="s">
        <v>3750</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15">
      <c r="A2084" s="1583" t="str">
        <f>'Part IX Scoring Criteria'!A436</f>
        <v>N/A</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4.4">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4095</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3655</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3656</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3657</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54</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4185</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4186</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4193</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3686</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409.6">
      <c r="A2102" s="1583" t="str">
        <f>'Part IX Scoring Criteria'!A454</f>
        <v xml:space="preserve">I.  The Applicant believes to have fully completed the proposed application.
II. The overall AMI percentage for each affordable unit is 56.67%.
IV. Rural Public Transportation will be available to the residents at Dulles Park II through Jones County Transit. Please see Tab 29 for community transportation documentation.
V. The proposed development will offer enriched property services including Preventive Health Care under a MOU with a local health care provider, Jones County Health Department. Additionally, the Applicant agrees to provide a Healthy Eating Initiative at the proposed. Monthly educational newsletters will be provide free of charge to the residents at Dulles Park II.
IX.   The proposed project is located in a census tract that has a poverty level of 8.05% and is designated as an Upper Income level. Additionally, the State percentile scores from the Opportunity360 report for Housing Stability, Healthy and Well-being and Economic Security are greater to or equal than 80 for three categories. Please see Tab 34 for the Stable Communities documentation.
XXI. EXTENDED AFFORDABILITY COMMITMENT: 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
</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FFhCQYbonCOVe0kIrglhtc79cApIBwzH5dFKxqyg0jFfOvj8FawhrZJuXFu0yn7CBppgZyBRVek0OC5zcAXqDw==" saltValue="EG58lv5l5hPI8kRKfjj9TQ==" spinCount="100000" sheet="1" objects="1" scenarios="1"/>
  <conditionalFormatting sqref="B415:D417">
    <cfRule type="cellIs" dxfId="70" priority="106" stopIfTrue="1" operator="equal">
      <formula>"Make a selection FIRST --&gt;"</formula>
    </cfRule>
  </conditionalFormatting>
  <conditionalFormatting sqref="D420">
    <cfRule type="cellIs" dxfId="69" priority="103" operator="greaterThan">
      <formula>50.000001%</formula>
    </cfRule>
  </conditionalFormatting>
  <conditionalFormatting sqref="J620:L620">
    <cfRule type="cellIs" dxfId="68" priority="97" stopIfTrue="1" operator="greaterThan">
      <formula>$J$171</formula>
    </cfRule>
  </conditionalFormatting>
  <conditionalFormatting sqref="I732:M732">
    <cfRule type="cellIs" dxfId="67" priority="88" operator="equal">
      <formula>"Select Fuel"</formula>
    </cfRule>
    <cfRule type="cellIs" dxfId="66" priority="89" operator="equal">
      <formula>"&lt;&lt;Select Fuel &gt;&gt;"</formula>
    </cfRule>
  </conditionalFormatting>
  <conditionalFormatting sqref="J732:M732">
    <cfRule type="cellIs" dxfId="65" priority="87" operator="equal">
      <formula>"Select Fuel"</formula>
    </cfRule>
  </conditionalFormatting>
  <conditionalFormatting sqref="I749:M749">
    <cfRule type="cellIs" dxfId="64" priority="84" operator="equal">
      <formula>"Select Fuel"</formula>
    </cfRule>
    <cfRule type="cellIs" dxfId="63" priority="85" operator="equal">
      <formula>"&lt;&lt;Select Fuel &gt;&gt;"</formula>
    </cfRule>
  </conditionalFormatting>
  <conditionalFormatting sqref="J749:M749">
    <cfRule type="cellIs" dxfId="62" priority="83" operator="equal">
      <formula>"Select Fuel"</formula>
    </cfRule>
  </conditionalFormatting>
  <conditionalFormatting sqref="T876 T831 T851:T853 T862 T841:T842">
    <cfRule type="cellIs" dxfId="61" priority="81" stopIfTrue="1" operator="greaterThan">
      <formula>0</formula>
    </cfRule>
  </conditionalFormatting>
  <conditionalFormatting sqref="O935">
    <cfRule type="cellIs" dxfId="60" priority="78" operator="greaterThan">
      <formula>0.02</formula>
    </cfRule>
  </conditionalFormatting>
  <conditionalFormatting sqref="P772:P809">
    <cfRule type="expression" dxfId="59" priority="77">
      <formula>AND($O$10="New Construction",$P$10="Yes")</formula>
    </cfRule>
  </conditionalFormatting>
  <conditionalFormatting sqref="J833:O839">
    <cfRule type="cellIs" dxfId="58" priority="76" stopIfTrue="1" operator="equal">
      <formula>0</formula>
    </cfRule>
  </conditionalFormatting>
  <conditionalFormatting sqref="J818:O829 J906:O918 J843:O904">
    <cfRule type="cellIs" dxfId="57" priority="75" operator="equal">
      <formula>0</formula>
    </cfRule>
  </conditionalFormatting>
  <conditionalFormatting sqref="K815:N815">
    <cfRule type="containsText" dxfId="56" priority="73" operator="containsText" text="&lt;&lt; Select LIHTC Election &gt;&gt;">
      <formula>NOT(ISERROR(SEARCH("&lt;&lt; Select LIHTC Election &gt;&gt;",K815)))</formula>
    </cfRule>
  </conditionalFormatting>
  <conditionalFormatting sqref="T905">
    <cfRule type="cellIs" dxfId="55" priority="72" stopIfTrue="1" operator="greaterThan">
      <formula>0</formula>
    </cfRule>
  </conditionalFormatting>
  <conditionalFormatting sqref="J905:O905">
    <cfRule type="cellIs" dxfId="54" priority="71" operator="equal">
      <formula>0</formula>
    </cfRule>
  </conditionalFormatting>
  <conditionalFormatting sqref="K852:N852">
    <cfRule type="cellIs" dxfId="53" priority="68" operator="equal">
      <formula>"&lt;&lt; Select LIHTC Election &gt;&gt;"</formula>
    </cfRule>
    <cfRule type="containsText" dxfId="52" priority="70" operator="containsText" text="&lt;&lt; Select Election or Income Averaging &gt;&gt;">
      <formula>NOT(ISERROR(SEARCH("&lt;&lt; Select Election or Income Averaging &gt;&gt;",K852)))</formula>
    </cfRule>
  </conditionalFormatting>
  <conditionalFormatting sqref="K895:N895">
    <cfRule type="cellIs" dxfId="51" priority="67" operator="equal">
      <formula>"&lt;&lt; Select LIHTC Election &gt;&gt;"</formula>
    </cfRule>
    <cfRule type="containsText" dxfId="50" priority="69" operator="containsText" text="&lt;&lt; Select Election or Income Averaging &gt;&gt;">
      <formula>NOT(ISERROR(SEARCH("&lt;&lt; Select Election or Income Averaging &gt;&gt;",K895)))</formula>
    </cfRule>
  </conditionalFormatting>
  <conditionalFormatting sqref="A1045">
    <cfRule type="expression" dxfId="49" priority="65">
      <formula>"or(B28&lt;$G$6,C28&lt;$G$6,D28&lt;$G$6,E28&lt;$G$6,F28&lt;$G$6,G28&lt;$G$6,H28&lt;$G$6,I28&lt;$G$6,J28&lt;$G$6,K28&lt;$G$6,)"</formula>
    </cfRule>
  </conditionalFormatting>
  <conditionalFormatting sqref="A1077">
    <cfRule type="expression" dxfId="48" priority="64">
      <formula>"or(B28&lt;$G$6,C28&lt;$G$6,D28&lt;$G$6,E28&lt;$G$6,F28&lt;$G$6,G28&lt;$G$6,H28&lt;$G$6,I28&lt;$G$6,J28&lt;$G$6,K28&lt;$G$6,)"</formula>
    </cfRule>
  </conditionalFormatting>
  <conditionalFormatting sqref="A1109">
    <cfRule type="expression" dxfId="47" priority="63">
      <formula>"or(B28&lt;$G$6,C28&lt;$G$6,D28&lt;$G$6,E28&lt;$G$6,F28&lt;$G$6,G28&lt;$G$6,H28&lt;$G$6,I28&lt;$G$6,J28&lt;$G$6,K28&lt;$G$6,)"</formula>
    </cfRule>
  </conditionalFormatting>
  <conditionalFormatting sqref="A1038">
    <cfRule type="expression" dxfId="46" priority="62">
      <formula>"or(B28&lt;$G$6,C28&lt;$G$6,D28&lt;$G$6,E28&lt;$G$6,F28&lt;$G$6,G28&lt;$G$6,H28&lt;$G$6,I28&lt;$G$6,J28&lt;$G$6,K28&lt;$G$6,)"</formula>
    </cfRule>
  </conditionalFormatting>
  <conditionalFormatting sqref="A1070">
    <cfRule type="expression" dxfId="45" priority="61">
      <formula>"or(B28&lt;$G$6,C28&lt;$G$6,D28&lt;$G$6,E28&lt;$G$6,F28&lt;$G$6,G28&lt;$G$6,H28&lt;$G$6,I28&lt;$G$6,J28&lt;$G$6,K28&lt;$G$6,)"</formula>
    </cfRule>
  </conditionalFormatting>
  <conditionalFormatting sqref="A1102">
    <cfRule type="expression" dxfId="44" priority="60">
      <formula>"or(B28&lt;$G$6,C28&lt;$G$6,D28&lt;$G$6,E28&lt;$G$6,F28&lt;$G$6,G28&lt;$G$6,H28&lt;$G$6,I28&lt;$G$6,J28&lt;$G$6,K28&lt;$G$6,)"</formula>
    </cfRule>
  </conditionalFormatting>
  <conditionalFormatting sqref="A1132">
    <cfRule type="expression" dxfId="43" priority="59">
      <formula>"or(B28&lt;$G$6,C28&lt;$G$6,D28&lt;$G$6,E28&lt;$G$6,F28&lt;$G$6,G28&lt;$G$6,H28&lt;$G$6,I28&lt;$G$6,J28&lt;$G$6,K28&lt;$G$6,)"</formula>
    </cfRule>
  </conditionalFormatting>
  <conditionalFormatting sqref="R1226:S1227 R1205 R1219:R1220 R1211:R1213 R1208 R1223:R1225">
    <cfRule type="cellIs" dxfId="42" priority="51" stopIfTrue="1" operator="greaterThan">
      <formula>0</formula>
    </cfRule>
  </conditionalFormatting>
  <conditionalFormatting sqref="R1198:R1200">
    <cfRule type="cellIs" dxfId="41" priority="50" stopIfTrue="1" operator="greaterThan">
      <formula>0</formula>
    </cfRule>
  </conditionalFormatting>
  <conditionalFormatting sqref="O1801:P1801 O1803:P1803">
    <cfRule type="cellIs" dxfId="40" priority="45" operator="greaterThan">
      <formula>M1801</formula>
    </cfRule>
  </conditionalFormatting>
  <conditionalFormatting sqref="F1711">
    <cfRule type="expression" dxfId="39" priority="46">
      <formula>AND($O$277&gt;0,$O$277&lt;4,OR($I$277="Statutory Redevelopment Plan",$I$277="Redevelopment Zone",$I$277="Local Redevelopment Plan"))</formula>
    </cfRule>
  </conditionalFormatting>
  <conditionalFormatting sqref="F1879:F1883">
    <cfRule type="expression" dxfId="38" priority="47">
      <formula>AND($O$126&gt;0,$O$126&lt;4,OR($I$127="Statutory Redevelopment Plan",$I$127="Redevelopment Zone",$I$127="Local Redevelopment Plan"))</formula>
    </cfRule>
  </conditionalFormatting>
  <conditionalFormatting sqref="O1700">
    <cfRule type="cellIs" dxfId="37" priority="25" operator="notEqual">
      <formula>$M1700</formula>
    </cfRule>
  </conditionalFormatting>
  <conditionalFormatting sqref="O1736">
    <cfRule type="cellIs" dxfId="36" priority="19" operator="notEqual">
      <formula>$M1736</formula>
    </cfRule>
  </conditionalFormatting>
  <conditionalFormatting sqref="O1735">
    <cfRule type="cellIs" dxfId="35" priority="20" operator="notEqual">
      <formula>$M1735</formula>
    </cfRule>
  </conditionalFormatting>
  <conditionalFormatting sqref="O1737">
    <cfRule type="cellIs" dxfId="34" priority="18" operator="notEqual">
      <formula>$M1737</formula>
    </cfRule>
  </conditionalFormatting>
  <conditionalFormatting sqref="O1701">
    <cfRule type="cellIs" dxfId="33" priority="7" operator="notEqual">
      <formula>$M1701</formula>
    </cfRule>
  </conditionalFormatting>
  <conditionalFormatting sqref="O1744">
    <cfRule type="cellIs" dxfId="32" priority="16" operator="notEqual">
      <formula>$M1744</formula>
    </cfRule>
  </conditionalFormatting>
  <conditionalFormatting sqref="O1743">
    <cfRule type="cellIs" dxfId="31" priority="17" operator="notEqual">
      <formula>$M1743</formula>
    </cfRule>
  </conditionalFormatting>
  <conditionalFormatting sqref="O1745">
    <cfRule type="cellIs" dxfId="30" priority="15" operator="notEqual">
      <formula>$M1745</formula>
    </cfRule>
  </conditionalFormatting>
  <conditionalFormatting sqref="O1748">
    <cfRule type="cellIs" dxfId="29" priority="14" operator="notEqual">
      <formula>$M1748</formula>
    </cfRule>
  </conditionalFormatting>
  <conditionalFormatting sqref="O1757">
    <cfRule type="cellIs" dxfId="28" priority="13" operator="notEqual">
      <formula>$M1757</formula>
    </cfRule>
  </conditionalFormatting>
  <conditionalFormatting sqref="O1763">
    <cfRule type="cellIs" dxfId="27" priority="12" operator="notEqual">
      <formula>$M1763</formula>
    </cfRule>
  </conditionalFormatting>
  <conditionalFormatting sqref="O1785">
    <cfRule type="cellIs" dxfId="26" priority="11" operator="notEqual">
      <formula>$M1785</formula>
    </cfRule>
  </conditionalFormatting>
  <conditionalFormatting sqref="O1854">
    <cfRule type="cellIs" dxfId="25" priority="10" operator="notEqual">
      <formula>$M1854</formula>
    </cfRule>
  </conditionalFormatting>
  <conditionalFormatting sqref="O1855">
    <cfRule type="cellIs" dxfId="24" priority="9" operator="notEqual">
      <formula>$M1855</formula>
    </cfRule>
  </conditionalFormatting>
  <conditionalFormatting sqref="O1858">
    <cfRule type="cellIs" dxfId="23" priority="8" operator="notEqual">
      <formula>$M1858</formula>
    </cfRule>
  </conditionalFormatting>
  <conditionalFormatting sqref="F1884">
    <cfRule type="expression" dxfId="22" priority="6">
      <formula>AND($O$126&gt;0,$O$126&lt;4,OR($I$127="Statutory Redevelopment Plan",$I$127="Redevelopment Zone",$I$127="Local Redevelopment Plan"))</formula>
    </cfRule>
  </conditionalFormatting>
  <conditionalFormatting sqref="J1697:K1697">
    <cfRule type="containsText" dxfId="21" priority="4" operator="containsText" text="&lt;&lt; Select Election or Income Averaging &gt;&gt;">
      <formula>NOT(ISERROR(SEARCH("&lt;&lt; Select Election or Income Averaging &gt;&gt;",J1697)))</formula>
    </cfRule>
  </conditionalFormatting>
  <conditionalFormatting sqref="H1736">
    <cfRule type="containsText" dxfId="20" priority="2" operator="containsText" text="Pick A1 or A2!">
      <formula>NOT(ISERROR(SEARCH("Pick A1 or A2!",H1736)))</formula>
    </cfRule>
  </conditionalFormatting>
  <conditionalFormatting sqref="F1746">
    <cfRule type="containsText" dxfId="19"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B00-000000000000}">
      <formula1>"Yes, No"</formula1>
    </dataValidation>
  </dataValidations>
  <hyperlinks>
    <hyperlink ref="N66" r:id="rId1" xr:uid="{00000000-0004-0000-1B00-000000000000}"/>
    <hyperlink ref="N67" r:id="rId2" xr:uid="{00000000-0004-0000-1B00-000001000000}"/>
    <hyperlink ref="N230" r:id="rId3" xr:uid="{00000000-0004-0000-1B00-000002000000}"/>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38" bestFit="1" customWidth="1"/>
    <col min="8" max="8" width="12.33203125" style="638" bestFit="1" customWidth="1"/>
    <col min="9" max="10" width="14.33203125" style="638" bestFit="1" customWidth="1"/>
    <col min="11" max="14" width="9.33203125" style="638" bestFit="1" customWidth="1"/>
    <col min="15" max="16" width="12.33203125" style="638" bestFit="1" customWidth="1"/>
    <col min="17" max="278" width="9.33203125" style="638" bestFit="1" customWidth="1"/>
    <col min="279" max="16384" width="9.33203125" style="638"/>
  </cols>
  <sheetData>
    <row r="1" spans="1:16" ht="15.6">
      <c r="A1" s="1326" t="s">
        <v>979</v>
      </c>
    </row>
    <row r="2" spans="1:16" ht="13.8">
      <c r="A2" s="1327" t="str">
        <f>'Part I-Project Information'!F34</f>
        <v>Dulles Park II</v>
      </c>
    </row>
    <row r="3" spans="1:16" ht="13.8">
      <c r="A3" s="1327" t="str">
        <f>CONCATENATE('Part I-Project Information'!F38,", ", 'Part I-Project Information'!J39," County")</f>
        <v>Gray, Jones County</v>
      </c>
    </row>
    <row r="5" spans="1:16" ht="12.75" customHeight="1">
      <c r="A5" s="1365" t="str">
        <f>'Project Narrative'!$A$5</f>
        <v>Magita Inc is proposing to develop a 48 unit senior complex in Gray, Ga to be named Dulles Park II.  The site is located adjacent to the original Dulles Park, which was developed by related parties some 15 years ago, and will make use of existing city utilities.  In spite of the fact that the original Dulles Park has some age on it, it remains a very desirable property, and well liked in the local community.
Like the original, Dulles Park II is designed to meet the needs of people fifty-five years or older in this area.
The development consists of 8 one bedroom and 40 two bedroom units restricted to a resident base for households making at or below 50% and 60% of AMI.  An access easement was obtained from Dulles Park.  Additionally, there is an alternate entrance to the property as well, which is located at 226 Old Clinton Road and all desirable activities were measured from this entry point.
Dulles Park II is partnering with the Jones County Health Department to offer preventative health screenings and education through a Memorandum of Understanding in order to remove barriers for our senior tenants and improve health outcomes and help them remain independent for as long as possible.
In addition, Dulles Park II ‘s management company will promote a healthy eating and lifestyle initiative through monthly newsletters, a well-maintained Community Garden and special programs to include education.</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303392063, 310320000,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4454</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2364</v>
      </c>
      <c r="C16" s="1330"/>
      <c r="D16" s="1330"/>
      <c r="E16" s="1330"/>
      <c r="F16" s="1328"/>
      <c r="G16" s="1332" t="s">
        <v>4476</v>
      </c>
      <c r="H16" s="1330"/>
      <c r="I16" s="1330"/>
      <c r="J16" s="1330"/>
      <c r="K16" s="1330"/>
      <c r="L16" s="1328"/>
      <c r="M16" s="1330"/>
      <c r="N16" s="1330"/>
      <c r="O16" s="1330"/>
      <c r="P16" s="1333" t="s">
        <v>3865</v>
      </c>
    </row>
    <row r="17" spans="1:16" ht="14.25" customHeight="1">
      <c r="A17" s="1330"/>
      <c r="B17" s="1314"/>
      <c r="C17" s="1314"/>
      <c r="D17" s="1314"/>
      <c r="E17" s="1314"/>
      <c r="F17" s="1328"/>
      <c r="G17" s="1332" t="s">
        <v>4477</v>
      </c>
      <c r="H17" s="1334"/>
      <c r="I17" s="1334"/>
      <c r="J17" s="1334"/>
      <c r="K17" s="1330"/>
      <c r="L17" s="1330"/>
      <c r="M17" s="1330"/>
      <c r="N17" s="1330"/>
      <c r="O17" s="1311" t="str">
        <f>'Part I-Project Information'!$O$6</f>
        <v>2019-060</v>
      </c>
      <c r="P17" s="1311"/>
    </row>
    <row r="18" spans="1:16" ht="13.8">
      <c r="A18" s="1330"/>
      <c r="B18" s="1314"/>
      <c r="C18" s="1314"/>
      <c r="D18" s="1314"/>
      <c r="E18" s="1314"/>
      <c r="F18" s="1311"/>
      <c r="G18" s="1335" t="s">
        <v>3318</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2375</v>
      </c>
      <c r="C20" s="1330"/>
      <c r="D20" s="1336"/>
      <c r="E20" s="1334"/>
      <c r="F20" s="1337" t="s">
        <v>3793</v>
      </c>
      <c r="G20" s="1330"/>
      <c r="H20" s="1330"/>
      <c r="I20" s="1338">
        <f>'Part IV-A-Uses of Funds'!$J$175</f>
        <v>741000</v>
      </c>
      <c r="J20" s="1338"/>
      <c r="K20" s="1330"/>
      <c r="L20" s="1330" t="s">
        <v>3794</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2040</v>
      </c>
      <c r="C22" s="1330"/>
      <c r="D22" s="1330"/>
      <c r="E22" s="1330"/>
      <c r="F22" s="1393" t="str">
        <f>'Part I-Project Information'!$F$11</f>
        <v>9% Credit Competitive Round only</v>
      </c>
      <c r="G22" s="1393"/>
      <c r="H22" s="1393"/>
      <c r="I22" s="1797" t="s">
        <v>3712</v>
      </c>
      <c r="J22" s="1311" t="s">
        <v>4478</v>
      </c>
      <c r="K22" s="1311"/>
      <c r="L22" s="1334"/>
      <c r="M22" s="1330"/>
      <c r="N22" s="1330"/>
      <c r="O22" s="1330" t="str">
        <f>'Part I-Project Information'!$O$11</f>
        <v>PA19-001</v>
      </c>
      <c r="P22" s="1330"/>
    </row>
    <row r="23" spans="1:16" ht="13.5" customHeight="1">
      <c r="A23" s="1328"/>
      <c r="B23" s="1341" t="s">
        <v>4455</v>
      </c>
      <c r="C23" s="1341"/>
      <c r="D23" s="1341"/>
      <c r="E23" s="1330"/>
      <c r="F23" s="1330"/>
      <c r="G23" s="1330"/>
      <c r="H23" s="1334"/>
      <c r="I23" s="1330"/>
      <c r="J23" s="1337" t="s">
        <v>2733</v>
      </c>
      <c r="K23" s="1331"/>
      <c r="L23" s="1330"/>
      <c r="M23" s="1334"/>
      <c r="N23" s="1330"/>
      <c r="O23" s="1393" t="str">
        <f>'Part I-Project Information'!$O$12</f>
        <v>Yes - see Comment</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3791</v>
      </c>
      <c r="K25" s="1330"/>
      <c r="L25" s="1330"/>
      <c r="M25" s="1330"/>
      <c r="N25" s="1330"/>
      <c r="O25" s="1330"/>
      <c r="P25" s="1330"/>
    </row>
    <row r="26" spans="1:16" ht="13.8">
      <c r="A26" s="1328"/>
      <c r="B26" s="1330" t="s">
        <v>3866</v>
      </c>
      <c r="C26" s="1330"/>
      <c r="D26" s="1311"/>
      <c r="E26" s="1330"/>
      <c r="F26" s="1706" t="str">
        <f>'Part I-Project Information'!$F$15</f>
        <v>No</v>
      </c>
      <c r="G26" s="1706"/>
      <c r="H26" s="1706"/>
      <c r="I26" s="1706"/>
      <c r="J26" s="1706"/>
      <c r="K26" s="1706"/>
      <c r="L26" s="1330" t="s">
        <v>3790</v>
      </c>
      <c r="M26" s="1330"/>
      <c r="N26" s="1330"/>
      <c r="O26" s="1330">
        <f>'Part I-Project Information'!$O$15</f>
        <v>0</v>
      </c>
      <c r="P26" s="1330"/>
    </row>
    <row r="27" spans="1:16" ht="13.8">
      <c r="A27" s="1328"/>
      <c r="B27" s="1330" t="s">
        <v>3792</v>
      </c>
      <c r="C27" s="1330"/>
      <c r="D27" s="1330"/>
      <c r="E27" s="1330"/>
      <c r="F27" s="1412">
        <f>'Part I-Project Information'!F16</f>
        <v>0</v>
      </c>
      <c r="G27" s="1330" t="s">
        <v>3848</v>
      </c>
      <c r="H27" s="1334"/>
      <c r="I27" s="1335"/>
      <c r="J27" s="1337"/>
      <c r="K27" s="1330"/>
      <c r="L27" s="1330"/>
      <c r="M27" s="1534" t="str">
        <f>'Part I-Project Information'!N16</f>
        <v>&lt;&lt; Select Designation &gt;&gt;</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3875</v>
      </c>
      <c r="C31" s="1330"/>
      <c r="D31" s="1330"/>
      <c r="E31" s="1330"/>
      <c r="F31" s="1330" t="str">
        <f>'Part I-Project Information'!F20</f>
        <v>Magita, Inc</v>
      </c>
      <c r="G31" s="1330">
        <f>'Part I-Project Information'!G20</f>
        <v>0</v>
      </c>
      <c r="H31" s="1330">
        <f>'Part I-Project Information'!H20</f>
        <v>0</v>
      </c>
      <c r="I31" s="1330" t="s">
        <v>1797</v>
      </c>
      <c r="J31" s="1330" t="str">
        <f>'Part I-Project Information'!J20</f>
        <v>Roya Collins</v>
      </c>
      <c r="K31" s="1330">
        <f>'Part I-Project Information'!K20</f>
        <v>0</v>
      </c>
      <c r="L31" s="1330">
        <f>'Part I-Project Information'!L20</f>
        <v>0</v>
      </c>
      <c r="M31" s="1337" t="s">
        <v>1980</v>
      </c>
      <c r="N31" s="1330" t="str">
        <f>'Part I-Project Information'!N20</f>
        <v>President</v>
      </c>
      <c r="O31" s="1330">
        <f>'Part I-Project Information'!O20</f>
        <v>0</v>
      </c>
      <c r="P31" s="1330">
        <f>'Part I-Project Information'!P20</f>
        <v>0</v>
      </c>
    </row>
    <row r="32" spans="1:16" ht="12.75" customHeight="1">
      <c r="A32" s="1330"/>
      <c r="B32" s="1337" t="s">
        <v>1981</v>
      </c>
      <c r="C32" s="1330"/>
      <c r="D32" s="1330"/>
      <c r="E32" s="1330"/>
      <c r="F32" s="1330" t="str">
        <f>'Part I-Project Information'!F21</f>
        <v>1820 The Exchange SE #350</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3874</v>
      </c>
      <c r="N32" s="1342"/>
      <c r="O32" s="1342"/>
      <c r="P32" s="1342"/>
    </row>
    <row r="33" spans="1:16" ht="12.75" customHeight="1">
      <c r="A33" s="1330"/>
      <c r="B33" s="1337" t="s">
        <v>618</v>
      </c>
      <c r="C33" s="1330"/>
      <c r="D33" s="1330"/>
      <c r="E33" s="1330"/>
      <c r="F33" s="1330" t="str">
        <f>'Part I-Project Information'!F22</f>
        <v>Atlanta</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ht="13.8">
      <c r="A34" s="1330"/>
      <c r="B34" s="1337" t="s">
        <v>2229</v>
      </c>
      <c r="C34" s="1330"/>
      <c r="D34" s="1330"/>
      <c r="E34" s="1330"/>
      <c r="F34" s="1798">
        <f>'Part I-Project Information'!F23</f>
        <v>303392063</v>
      </c>
      <c r="G34" s="1798">
        <f>'Part I-Project Information'!G23</f>
        <v>0</v>
      </c>
      <c r="H34" s="1798">
        <f>'Part I-Project Information'!H23</f>
        <v>0</v>
      </c>
      <c r="I34" s="1337" t="s">
        <v>1720</v>
      </c>
      <c r="J34" s="1799">
        <f>'Part I-Project Information'!J23</f>
        <v>4043344590</v>
      </c>
      <c r="K34" s="1799">
        <f>'Part I-Project Information'!K23</f>
        <v>0</v>
      </c>
      <c r="L34" s="1334" t="s">
        <v>1719</v>
      </c>
      <c r="M34" s="1334">
        <f>'Part I-Project Information'!M23</f>
        <v>0</v>
      </c>
      <c r="N34" s="1337" t="s">
        <v>1721</v>
      </c>
      <c r="O34" s="1799">
        <f>'Part I-Project Information'!O23</f>
        <v>4043344590</v>
      </c>
      <c r="P34" s="1799">
        <f>'Part I-Project Information'!P23</f>
        <v>0</v>
      </c>
    </row>
    <row r="35" spans="1:16" ht="13.8">
      <c r="A35" s="1330"/>
      <c r="B35" s="1337" t="s">
        <v>1984</v>
      </c>
      <c r="C35" s="1330"/>
      <c r="D35" s="1330"/>
      <c r="E35" s="1330"/>
      <c r="F35" s="1330" t="str">
        <f>'Part I-Project Information'!F24</f>
        <v>magitaenterprise@bellsouth.net</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7703630414</v>
      </c>
      <c r="P35" s="1799">
        <f>'Part I-Project Information'!P24</f>
        <v>0</v>
      </c>
    </row>
    <row r="36" spans="1:16" ht="13.8">
      <c r="A36" s="1328"/>
      <c r="B36" s="1311" t="s">
        <v>4063</v>
      </c>
      <c r="C36" s="1336"/>
      <c r="D36" s="1330"/>
      <c r="E36" s="1330"/>
      <c r="F36" s="1330"/>
      <c r="G36" s="1330"/>
      <c r="H36" s="1334"/>
      <c r="I36" s="1330"/>
      <c r="J36" s="1336"/>
      <c r="K36" s="1330"/>
      <c r="L36" s="1330"/>
      <c r="M36" s="1330"/>
      <c r="N36" s="1330"/>
      <c r="O36" s="1330"/>
      <c r="P36" s="1343"/>
    </row>
    <row r="37" spans="1:16" ht="13.8">
      <c r="A37" s="1330"/>
      <c r="B37" s="1330" t="s">
        <v>3875</v>
      </c>
      <c r="C37" s="1330"/>
      <c r="D37" s="1330"/>
      <c r="E37" s="1330"/>
      <c r="F37" s="1330">
        <f>'Part I-Project Information'!F26</f>
        <v>0</v>
      </c>
      <c r="G37" s="1330">
        <f>'Part I-Project Information'!G26</f>
        <v>0</v>
      </c>
      <c r="H37" s="1330">
        <f>'Part I-Project Information'!H26</f>
        <v>0</v>
      </c>
      <c r="I37" s="1330" t="s">
        <v>1797</v>
      </c>
      <c r="J37" s="1330">
        <f>'Part I-Project Information'!J26</f>
        <v>0</v>
      </c>
      <c r="K37" s="1330">
        <f>'Part I-Project Information'!K26</f>
        <v>0</v>
      </c>
      <c r="L37" s="1330">
        <f>'Part I-Project Information'!L26</f>
        <v>0</v>
      </c>
      <c r="M37" s="1337" t="s">
        <v>1980</v>
      </c>
      <c r="N37" s="1330">
        <f>'Part I-Project Information'!N26</f>
        <v>0</v>
      </c>
      <c r="O37" s="1330">
        <f>'Part I-Project Information'!O26</f>
        <v>0</v>
      </c>
      <c r="P37" s="1330">
        <f>'Part I-Project Information'!P26</f>
        <v>0</v>
      </c>
    </row>
    <row r="38" spans="1:16" ht="12.75" customHeight="1">
      <c r="A38" s="1330"/>
      <c r="B38" s="1337" t="s">
        <v>1981</v>
      </c>
      <c r="C38" s="1330"/>
      <c r="D38" s="1330"/>
      <c r="E38" s="1330"/>
      <c r="F38" s="1330">
        <f>'Part I-Project Information'!F27</f>
        <v>0</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3874</v>
      </c>
      <c r="N38" s="1342"/>
      <c r="O38" s="1342"/>
      <c r="P38" s="1342"/>
    </row>
    <row r="39" spans="1:16" ht="12.75" customHeight="1">
      <c r="A39" s="1330"/>
      <c r="B39" s="1337" t="s">
        <v>618</v>
      </c>
      <c r="C39" s="1330"/>
      <c r="D39" s="1330"/>
      <c r="E39" s="1330"/>
      <c r="F39" s="1330">
        <f>'Part I-Project Information'!F28</f>
        <v>0</v>
      </c>
      <c r="G39" s="1330">
        <f>'Part I-Project Information'!G28</f>
        <v>0</v>
      </c>
      <c r="H39" s="1330">
        <f>'Part I-Project Information'!H28</f>
        <v>0</v>
      </c>
      <c r="I39" s="1337" t="s">
        <v>1799</v>
      </c>
      <c r="J39" s="1363">
        <f>'Part I-Project Information'!J28</f>
        <v>0</v>
      </c>
      <c r="K39" s="1330"/>
      <c r="L39" s="1330"/>
      <c r="M39" s="1342"/>
      <c r="N39" s="1342"/>
      <c r="O39" s="1342"/>
      <c r="P39" s="1342"/>
    </row>
    <row r="40" spans="1:16" ht="13.8">
      <c r="A40" s="1330"/>
      <c r="B40" s="1337" t="s">
        <v>2229</v>
      </c>
      <c r="C40" s="1330"/>
      <c r="D40" s="1330"/>
      <c r="E40" s="1330"/>
      <c r="F40" s="1798">
        <f>'Part I-Project Information'!F29</f>
        <v>0</v>
      </c>
      <c r="G40" s="1798">
        <f>'Part I-Project Information'!G29</f>
        <v>0</v>
      </c>
      <c r="H40" s="1798">
        <f>'Part I-Project Information'!H29</f>
        <v>0</v>
      </c>
      <c r="I40" s="1337" t="s">
        <v>1720</v>
      </c>
      <c r="J40" s="1799">
        <f>'Part I-Project Information'!J29</f>
        <v>0</v>
      </c>
      <c r="K40" s="1799">
        <f>'Part I-Project Information'!K29</f>
        <v>0</v>
      </c>
      <c r="L40" s="1334" t="s">
        <v>1719</v>
      </c>
      <c r="M40" s="1334">
        <f>'Part I-Project Information'!M29</f>
        <v>0</v>
      </c>
      <c r="N40" s="1337" t="s">
        <v>1721</v>
      </c>
      <c r="O40" s="1799">
        <f>'Part I-Project Information'!O29</f>
        <v>0</v>
      </c>
      <c r="P40" s="1799">
        <f>'Part I-Project Information'!P29</f>
        <v>0</v>
      </c>
    </row>
    <row r="41" spans="1:16" ht="13.8">
      <c r="A41" s="1330"/>
      <c r="B41" s="1337" t="s">
        <v>1984</v>
      </c>
      <c r="C41" s="1330"/>
      <c r="D41" s="1330"/>
      <c r="E41" s="1330"/>
      <c r="F41" s="1330">
        <f>'Part I-Project Information'!F30</f>
        <v>0</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0</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Dulles Park II</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ht="13.8">
      <c r="A46" s="1333"/>
      <c r="B46" s="1330" t="s">
        <v>2699</v>
      </c>
      <c r="C46" s="1330"/>
      <c r="D46" s="1340"/>
      <c r="E46" s="1330"/>
      <c r="F46" s="1330" t="str">
        <f>'Part I-Project Information'!F35</f>
        <v>226 Old Clinton Road</v>
      </c>
      <c r="G46" s="1330">
        <f>'Part I-Project Information'!G35</f>
        <v>0</v>
      </c>
      <c r="H46" s="1330">
        <f>'Part I-Project Information'!H35</f>
        <v>0</v>
      </c>
      <c r="I46" s="1330">
        <f>'Part I-Project Information'!I35</f>
        <v>0</v>
      </c>
      <c r="J46" s="1330">
        <f>'Part I-Project Information'!J35</f>
        <v>0</v>
      </c>
      <c r="K46" s="1330">
        <f>'Part I-Project Information'!K35</f>
        <v>0</v>
      </c>
      <c r="L46" s="1330" t="s">
        <v>3680</v>
      </c>
      <c r="M46" s="1330"/>
      <c r="N46" s="1330"/>
      <c r="O46" s="1330">
        <f>'Part I-Project Information'!O35</f>
        <v>0</v>
      </c>
      <c r="P46" s="1330">
        <f>'Part I-Project Information'!P35</f>
        <v>0</v>
      </c>
    </row>
    <row r="47" spans="1:16" ht="13.8">
      <c r="A47" s="1333"/>
      <c r="B47" s="1330" t="s">
        <v>4479</v>
      </c>
      <c r="C47" s="1330"/>
      <c r="D47" s="1340"/>
      <c r="E47" s="1330"/>
      <c r="F47" s="1330" t="str">
        <f>'Part I-Project Information'!F36</f>
        <v>226 Old Clinton Road</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3679</v>
      </c>
      <c r="P47" s="1334">
        <f>'Part I-Project Information'!P36</f>
        <v>0</v>
      </c>
    </row>
    <row r="48" spans="1:16" ht="13.8">
      <c r="A48" s="1333"/>
      <c r="B48" s="1330" t="s">
        <v>3733</v>
      </c>
      <c r="C48" s="1330"/>
      <c r="D48" s="1340"/>
      <c r="E48" s="1330"/>
      <c r="F48" s="1330" t="s">
        <v>3714</v>
      </c>
      <c r="G48" s="1800">
        <f>'Part I-Project Information'!G37</f>
        <v>33.00714</v>
      </c>
      <c r="H48" s="1800">
        <f>'Part I-Project Information'!H37</f>
        <v>0</v>
      </c>
      <c r="I48" s="1334" t="s">
        <v>3715</v>
      </c>
      <c r="J48" s="1800">
        <f>'Part I-Project Information'!J37</f>
        <v>-83.544801000000007</v>
      </c>
      <c r="K48" s="1800">
        <f>'Part I-Project Information'!K37</f>
        <v>0</v>
      </c>
      <c r="L48" s="1337" t="s">
        <v>2283</v>
      </c>
      <c r="M48" s="1330"/>
      <c r="N48" s="1330"/>
      <c r="O48" s="1801">
        <f>'Part I-Project Information'!O37</f>
        <v>24.58</v>
      </c>
      <c r="P48" s="1801">
        <f>'Part I-Project Information'!P37</f>
        <v>0</v>
      </c>
    </row>
    <row r="49" spans="1:16" ht="14.4">
      <c r="A49" s="1328"/>
      <c r="B49" s="1330" t="s">
        <v>618</v>
      </c>
      <c r="C49" s="1330"/>
      <c r="D49" s="1330"/>
      <c r="E49" s="1330"/>
      <c r="F49" s="1330" t="str">
        <f>'Part I-Project Information'!F38</f>
        <v>Gray</v>
      </c>
      <c r="G49" s="1330">
        <f>'Part I-Project Information'!G38</f>
        <v>0</v>
      </c>
      <c r="H49" s="1330">
        <f>'Part I-Project Information'!H38</f>
        <v>0</v>
      </c>
      <c r="I49" s="1344" t="s">
        <v>4480</v>
      </c>
      <c r="J49" s="1798">
        <f>'Part I-Project Information'!J38</f>
        <v>310325400</v>
      </c>
      <c r="K49" s="1798">
        <f>'Part I-Project Information'!K38</f>
        <v>0</v>
      </c>
      <c r="L49" s="1311" t="str">
        <f>IF(AND(NOT(F45=""),NOT(F49="Select from list"),J49=""),"Enter Zip!","")</f>
        <v/>
      </c>
      <c r="M49" s="1345" t="s">
        <v>2906</v>
      </c>
      <c r="N49" s="1330"/>
      <c r="O49" s="1802" t="str">
        <f>'Part I-Project Information'!O38</f>
        <v>13169030301</v>
      </c>
      <c r="P49" s="1803">
        <f>'Part I-Project Information'!P38</f>
        <v>0</v>
      </c>
    </row>
    <row r="50" spans="1:16" ht="13.8">
      <c r="A50" s="1328"/>
      <c r="B50" s="1330" t="s">
        <v>3568</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Jones</v>
      </c>
      <c r="K50" s="1706">
        <f>'Part I-Project Information'!K39</f>
        <v>0</v>
      </c>
      <c r="L50" s="1330"/>
      <c r="M50" s="1337" t="s">
        <v>451</v>
      </c>
      <c r="N50" s="1347" t="str">
        <f>'Part I-Project Information'!N39</f>
        <v>No</v>
      </c>
      <c r="O50" s="1334" t="s">
        <v>452</v>
      </c>
      <c r="P50" s="1347" t="str">
        <f>'Part I-Project Information'!P39</f>
        <v>No</v>
      </c>
    </row>
    <row r="51" spans="1:16" ht="13.8">
      <c r="A51" s="1328"/>
      <c r="B51" s="1311"/>
      <c r="C51" s="1330" t="s">
        <v>1558</v>
      </c>
      <c r="D51" s="1330"/>
      <c r="E51" s="1330"/>
      <c r="F51" s="1337" t="str">
        <f>'Part I-Project Information'!F40</f>
        <v>Yes</v>
      </c>
      <c r="G51" s="1330" t="s">
        <v>2781</v>
      </c>
      <c r="H51" s="1330"/>
      <c r="I51" s="1334" t="str">
        <f>'Part I-Project Information'!I40</f>
        <v>Yes</v>
      </c>
      <c r="J51" s="1334" t="s">
        <v>2801</v>
      </c>
      <c r="K51" s="1334" t="str">
        <f>'Part I-Project Information'!K40</f>
        <v>Rural</v>
      </c>
      <c r="L51" s="1330"/>
      <c r="M51" s="1337" t="s">
        <v>2611</v>
      </c>
      <c r="N51" s="1328" t="str">
        <f>'Part I-Project Information'!N40</f>
        <v>MSA</v>
      </c>
      <c r="O51" s="1330" t="str">
        <f>'Part I-Project Information'!O40</f>
        <v>Macon</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4481</v>
      </c>
      <c r="D53" s="1330"/>
      <c r="E53" s="1330"/>
      <c r="F53" s="1348" t="s">
        <v>2762</v>
      </c>
      <c r="G53" s="1348"/>
      <c r="H53" s="1330" t="s">
        <v>736</v>
      </c>
      <c r="I53" s="1330"/>
      <c r="J53" s="1330" t="s">
        <v>737</v>
      </c>
      <c r="K53" s="1330"/>
      <c r="L53" s="1349" t="s">
        <v>4482</v>
      </c>
      <c r="M53" s="1330"/>
      <c r="N53" s="1330"/>
      <c r="O53" s="1330"/>
      <c r="P53" s="1330"/>
    </row>
    <row r="54" spans="1:16" ht="13.8">
      <c r="A54" s="1328"/>
      <c r="B54" s="1330" t="s">
        <v>4483</v>
      </c>
      <c r="C54" s="1330"/>
      <c r="D54" s="1311"/>
      <c r="E54" s="1330"/>
      <c r="F54" s="1804">
        <f>'Part I-Project Information'!F43</f>
        <v>8</v>
      </c>
      <c r="G54" s="1804">
        <f>'Part I-Project Information'!G43</f>
        <v>0</v>
      </c>
      <c r="H54" s="1804">
        <f>'Part I-Project Information'!H43</f>
        <v>26</v>
      </c>
      <c r="I54" s="1804">
        <f>'Part I-Project Information'!I43</f>
        <v>0</v>
      </c>
      <c r="J54" s="1804">
        <f>'Part I-Project Information'!J43</f>
        <v>129</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Gray</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grayga.us</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Ed Barbee</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ht="13.8">
      <c r="A59" s="1328"/>
      <c r="B59" s="1330" t="s">
        <v>1981</v>
      </c>
      <c r="C59" s="1330"/>
      <c r="D59" s="1330"/>
      <c r="E59" s="1330"/>
      <c r="F59" s="1462" t="str">
        <f>'Part I-Project Information'!F48</f>
        <v>109 James Street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Gray</v>
      </c>
      <c r="N59" s="1462">
        <f>'Part I-Project Information'!N48</f>
        <v>0</v>
      </c>
      <c r="O59" s="1462">
        <f>'Part I-Project Information'!O48</f>
        <v>0</v>
      </c>
      <c r="P59" s="1462">
        <f>'Part I-Project Information'!P48</f>
        <v>0</v>
      </c>
    </row>
    <row r="60" spans="1:16" ht="13.8">
      <c r="A60" s="1328"/>
      <c r="B60" s="1337" t="s">
        <v>2229</v>
      </c>
      <c r="C60" s="1330"/>
      <c r="D60" s="1330"/>
      <c r="E60" s="1330"/>
      <c r="F60" s="1798">
        <f>'Part I-Project Information'!F49</f>
        <v>310320000</v>
      </c>
      <c r="G60" s="1798">
        <f>'Part I-Project Information'!G49</f>
        <v>0</v>
      </c>
      <c r="H60" s="1334" t="s">
        <v>1982</v>
      </c>
      <c r="I60" s="1799">
        <f>'Part I-Project Information'!I49</f>
        <v>4789865433</v>
      </c>
      <c r="J60" s="1799">
        <f>'Part I-Project Information'!J49</f>
        <v>0</v>
      </c>
      <c r="K60" s="1799">
        <f>'Part I-Project Information'!K49</f>
        <v>0</v>
      </c>
      <c r="L60" s="1337" t="s">
        <v>1800</v>
      </c>
      <c r="M60" s="1462" t="str">
        <f>'Part I-Project Information'!M49</f>
        <v>ed.barbee@grayga.us</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1983</v>
      </c>
      <c r="C65" s="1311" t="s">
        <v>4484</v>
      </c>
      <c r="D65" s="1330"/>
      <c r="E65" s="1330"/>
      <c r="F65" s="1330"/>
      <c r="G65" s="1330"/>
      <c r="H65" s="1330"/>
      <c r="I65" s="1330"/>
      <c r="J65" s="1330"/>
      <c r="K65" s="1335"/>
      <c r="L65" s="1330"/>
      <c r="M65" s="1350"/>
      <c r="N65" s="1350"/>
      <c r="O65" s="1350"/>
      <c r="P65" s="1350"/>
    </row>
    <row r="66" spans="1:16" ht="13.8">
      <c r="A66" s="1336"/>
      <c r="B66" s="1328"/>
      <c r="C66" s="1330" t="s">
        <v>2295</v>
      </c>
      <c r="D66" s="1330"/>
      <c r="E66" s="1330"/>
      <c r="F66" s="1336"/>
      <c r="G66" s="1336"/>
      <c r="H66" s="1355">
        <f>'Part VI-Revenues &amp; Expenses'!$O$103</f>
        <v>48</v>
      </c>
      <c r="I66" s="1336"/>
      <c r="J66" s="1336"/>
      <c r="K66" s="1337" t="s">
        <v>3671</v>
      </c>
      <c r="L66" s="1330"/>
      <c r="M66" s="1356" t="s">
        <v>3670</v>
      </c>
      <c r="N66" s="1355">
        <f>'Part VI-Revenues &amp; Expenses'!$O$110</f>
        <v>0</v>
      </c>
      <c r="O66" s="1357" t="s">
        <v>3357</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2910</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2276</v>
      </c>
      <c r="D72" s="1330"/>
      <c r="E72" s="1330"/>
      <c r="F72" s="1330"/>
      <c r="G72" s="1330"/>
      <c r="H72" s="1330"/>
      <c r="I72" s="1361" t="s">
        <v>3564</v>
      </c>
      <c r="J72" s="1333" t="s">
        <v>2115</v>
      </c>
      <c r="K72" s="1362" t="s">
        <v>2302</v>
      </c>
      <c r="L72" s="1330"/>
      <c r="M72" s="1330"/>
      <c r="N72" s="1330"/>
      <c r="O72" s="1330"/>
      <c r="P72" s="1334"/>
    </row>
    <row r="73" spans="1:16" ht="13.8">
      <c r="A73" s="1328"/>
      <c r="B73" s="1363"/>
      <c r="C73" s="1336" t="s">
        <v>2277</v>
      </c>
      <c r="D73" s="1330"/>
      <c r="E73" s="1330"/>
      <c r="F73" s="1330"/>
      <c r="G73" s="1330"/>
      <c r="H73" s="1364">
        <f>SUM(H74:H75)</f>
        <v>0</v>
      </c>
      <c r="I73" s="1364">
        <f>SUM(I74:I75)</f>
        <v>0</v>
      </c>
      <c r="J73" s="1328"/>
      <c r="K73" s="1336" t="s">
        <v>2773</v>
      </c>
      <c r="L73" s="1330"/>
      <c r="M73" s="1330"/>
      <c r="N73" s="1330"/>
      <c r="O73" s="1330"/>
      <c r="P73" s="1364">
        <f>'Part VI-Revenues &amp; Expenses'!$O$152</f>
        <v>43920</v>
      </c>
    </row>
    <row r="74" spans="1:16" ht="13.8">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0</v>
      </c>
    </row>
    <row r="75" spans="1:16" ht="13.8">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43920</v>
      </c>
    </row>
    <row r="76" spans="1:16" ht="13.8">
      <c r="A76" s="1328"/>
      <c r="B76" s="1330"/>
      <c r="C76" s="1336" t="s">
        <v>253</v>
      </c>
      <c r="D76" s="1330"/>
      <c r="E76" s="1330"/>
      <c r="F76" s="1330"/>
      <c r="G76" s="1330"/>
      <c r="H76" s="1364">
        <f>'Part VI-Revenues &amp; Expenses'!$O$64</f>
        <v>0</v>
      </c>
      <c r="I76" s="1330"/>
      <c r="J76" s="1328"/>
      <c r="K76" s="1336" t="s">
        <v>2776</v>
      </c>
      <c r="L76" s="1330"/>
      <c r="M76" s="1330"/>
      <c r="N76" s="1330"/>
      <c r="O76" s="1330"/>
      <c r="P76" s="1364">
        <f>'Part VI-Revenues &amp; Expenses'!$O$155</f>
        <v>0</v>
      </c>
    </row>
    <row r="77" spans="1:16" ht="13.8">
      <c r="A77" s="1328"/>
      <c r="B77" s="1330"/>
      <c r="C77" s="1336" t="s">
        <v>2407</v>
      </c>
      <c r="D77" s="1330"/>
      <c r="E77" s="1330"/>
      <c r="F77" s="1330"/>
      <c r="G77" s="1330"/>
      <c r="H77" s="1364">
        <f>H73+H76</f>
        <v>0</v>
      </c>
      <c r="I77" s="1330"/>
      <c r="J77" s="1328"/>
      <c r="K77" s="1336" t="s">
        <v>1420</v>
      </c>
      <c r="L77" s="1330"/>
      <c r="M77" s="1330"/>
      <c r="N77" s="1330"/>
      <c r="O77" s="1330"/>
      <c r="P77" s="1364">
        <f>+P75+P76</f>
        <v>43920</v>
      </c>
    </row>
    <row r="78" spans="1:16" ht="13.8">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0</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2297</v>
      </c>
      <c r="D81" s="1348" t="s">
        <v>1996</v>
      </c>
      <c r="E81" s="1330"/>
      <c r="F81" s="1330"/>
      <c r="G81" s="1330"/>
      <c r="H81" s="1364">
        <f>'Part I-Project Information'!H74</f>
        <v>7</v>
      </c>
      <c r="I81" s="1330"/>
      <c r="J81" s="1330"/>
      <c r="K81" s="1336" t="s">
        <v>4055</v>
      </c>
      <c r="L81" s="1330"/>
      <c r="M81" s="1330"/>
      <c r="N81" s="1330"/>
      <c r="O81" s="1330"/>
      <c r="P81" s="1364">
        <f>'Part I-Project Information'!P74</f>
        <v>2000</v>
      </c>
    </row>
    <row r="82" spans="1:16" ht="13.8">
      <c r="A82" s="1328"/>
      <c r="B82" s="1328"/>
      <c r="C82" s="1330"/>
      <c r="D82" s="1363" t="s">
        <v>1997</v>
      </c>
      <c r="E82" s="1330"/>
      <c r="F82" s="1330"/>
      <c r="G82" s="1330"/>
      <c r="H82" s="1364">
        <f>'Part I-Project Information'!H75</f>
        <v>1</v>
      </c>
      <c r="I82" s="1330"/>
      <c r="J82" s="1330"/>
      <c r="K82" s="1336" t="s">
        <v>252</v>
      </c>
      <c r="L82" s="1330"/>
      <c r="M82" s="1330"/>
      <c r="N82" s="1330"/>
      <c r="O82" s="1330"/>
      <c r="P82" s="1364">
        <f>+P77+P81</f>
        <v>45920</v>
      </c>
    </row>
    <row r="83" spans="1:16" ht="13.8">
      <c r="A83" s="1328"/>
      <c r="B83" s="1328"/>
      <c r="C83" s="1330"/>
      <c r="D83" s="1363" t="s">
        <v>1998</v>
      </c>
      <c r="E83" s="1330"/>
      <c r="F83" s="1330"/>
      <c r="G83" s="1330"/>
      <c r="H83" s="1364">
        <f>+H81+H82</f>
        <v>8</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2843</v>
      </c>
      <c r="D85" s="1330"/>
      <c r="E85" s="1330"/>
      <c r="F85" s="1330"/>
      <c r="G85" s="1330"/>
      <c r="H85" s="1364">
        <f>'Part I-Project Information'!H78</f>
        <v>130</v>
      </c>
      <c r="I85" s="1330"/>
      <c r="J85" s="1330"/>
      <c r="K85" s="1365" t="s">
        <v>3849</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1983</v>
      </c>
      <c r="C89" s="1331" t="s">
        <v>4485</v>
      </c>
      <c r="D89" s="1367"/>
      <c r="E89" s="1367"/>
      <c r="F89" s="1330"/>
      <c r="G89" s="1334"/>
      <c r="H89" s="1348" t="str">
        <f>'Part I-Project Information'!H82</f>
        <v>HFOP</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3869</v>
      </c>
      <c r="I91" s="1365"/>
      <c r="J91" s="1330"/>
      <c r="K91" s="1368" t="s">
        <v>2911</v>
      </c>
      <c r="L91" s="1364">
        <f>'Part I-Project Information'!M84</f>
        <v>0</v>
      </c>
      <c r="M91" s="1368" t="s">
        <v>2912</v>
      </c>
      <c r="N91" s="1364">
        <f>'Part I-Project Information'!O84</f>
        <v>0</v>
      </c>
      <c r="O91" s="1330"/>
      <c r="P91" s="1340" t="s">
        <v>3871</v>
      </c>
    </row>
    <row r="92" spans="1:16" ht="13.8">
      <c r="A92" s="1328"/>
      <c r="B92" s="1328"/>
      <c r="C92" s="1330"/>
      <c r="D92" s="1337"/>
      <c r="E92" s="1367"/>
      <c r="F92" s="1330"/>
      <c r="G92" s="1330"/>
      <c r="H92" s="1365"/>
      <c r="I92" s="1365"/>
      <c r="J92" s="1330"/>
      <c r="K92" s="1340" t="s">
        <v>2913</v>
      </c>
      <c r="L92" s="1364">
        <f>'Part I-Project Information'!M85</f>
        <v>48</v>
      </c>
      <c r="M92" s="1340" t="s">
        <v>3870</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1985</v>
      </c>
      <c r="C94" s="1311" t="s">
        <v>1411</v>
      </c>
      <c r="D94" s="1330"/>
      <c r="E94" s="1348"/>
      <c r="F94" s="1363" t="s">
        <v>796</v>
      </c>
      <c r="G94" s="1330"/>
      <c r="H94" s="1364">
        <f>'Part VIII-Threshold Criteria'!K306</f>
        <v>3</v>
      </c>
      <c r="I94" s="1330"/>
      <c r="J94" s="1330"/>
      <c r="K94" s="1330" t="s">
        <v>520</v>
      </c>
      <c r="L94" s="1330"/>
      <c r="M94" s="1330"/>
      <c r="N94" s="1369">
        <f>IF('Part VI-Revenues &amp; Expenses'!$O$67=0,0,H94/'Part VI-Revenues &amp; Expenses'!$O$67)</f>
        <v>6.25E-2</v>
      </c>
      <c r="O94" s="1340" t="s">
        <v>3693</v>
      </c>
      <c r="P94" s="1370">
        <f>'DCA Underwriting Assumptions'!$Q$139</f>
        <v>0.05</v>
      </c>
    </row>
    <row r="95" spans="1:16" ht="13.8">
      <c r="A95" s="1328"/>
      <c r="B95" s="1328"/>
      <c r="C95" s="1330"/>
      <c r="D95" s="1363" t="s">
        <v>2841</v>
      </c>
      <c r="E95" s="1363"/>
      <c r="F95" s="1363" t="s">
        <v>796</v>
      </c>
      <c r="G95" s="1330"/>
      <c r="H95" s="1364" t="e">
        <f>'Part VIII-Threshold Criteria'!#REF!</f>
        <v>#REF!</v>
      </c>
      <c r="I95" s="1330"/>
      <c r="J95" s="1330"/>
      <c r="K95" s="1330" t="s">
        <v>2842</v>
      </c>
      <c r="L95" s="1330"/>
      <c r="M95" s="1330"/>
      <c r="N95" s="1369" t="e">
        <f>IF(H94=0,0,H95/H94)</f>
        <v>#REF!</v>
      </c>
      <c r="O95" s="1340" t="s">
        <v>3693</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3693</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2377</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2041</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1983</v>
      </c>
      <c r="C107" s="1311" t="s">
        <v>2708</v>
      </c>
      <c r="D107" s="1330"/>
      <c r="E107" s="1330"/>
      <c r="F107" s="1348" t="s">
        <v>2600</v>
      </c>
      <c r="G107" s="1330"/>
      <c r="H107" s="1334" t="str">
        <f>'Part I-Project Information'!H100</f>
        <v>No</v>
      </c>
      <c r="I107" s="1330"/>
      <c r="J107" s="1330"/>
      <c r="K107" s="1348" t="s">
        <v>3893</v>
      </c>
      <c r="L107" s="1334" t="str">
        <f>'Part I-Project Information'!H101</f>
        <v>Yes</v>
      </c>
      <c r="M107" s="1330"/>
      <c r="N107" s="1330"/>
      <c r="O107" s="1340" t="s">
        <v>3887</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2783</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3661</v>
      </c>
      <c r="N117" s="1336"/>
      <c r="O117" s="1449">
        <f>'Part I-Project Information'!O111</f>
        <v>0</v>
      </c>
      <c r="P117" s="1449">
        <f>'Part I-Project Information'!P111</f>
        <v>0</v>
      </c>
    </row>
    <row r="118" spans="1:16" ht="13.8">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2153</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1983</v>
      </c>
      <c r="C125" s="1367" t="s">
        <v>1412</v>
      </c>
      <c r="D125" s="1363"/>
      <c r="E125" s="1363"/>
      <c r="F125" s="1334"/>
      <c r="G125" s="1334"/>
      <c r="H125" s="1344">
        <f>'Part I-Project Information'!H119</f>
        <v>1</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1985</v>
      </c>
      <c r="C127" s="1367" t="s">
        <v>416</v>
      </c>
      <c r="D127" s="1363"/>
      <c r="E127" s="1363"/>
      <c r="F127" s="1334"/>
      <c r="G127" s="1334"/>
      <c r="H127" s="1807">
        <f>'Part I-Project Information'!H121</f>
        <v>741000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8">
      <c r="A131" s="1328"/>
      <c r="B131" s="1328"/>
      <c r="C131" s="1393" t="str">
        <f>'Part I-Project Information'!C125</f>
        <v>Roya Collins</v>
      </c>
      <c r="D131" s="1393">
        <f>'Part I-Project Information'!D125</f>
        <v>0</v>
      </c>
      <c r="E131" s="1393">
        <f>'Part I-Project Information'!E125</f>
        <v>0</v>
      </c>
      <c r="F131" s="1393" t="str">
        <f>'Part I-Project Information'!F125</f>
        <v>Dulles Park II</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8">
      <c r="A132" s="1328"/>
      <c r="B132" s="1328"/>
      <c r="C132" s="1393">
        <f>'Part I-Project Information'!C126</f>
        <v>2</v>
      </c>
      <c r="D132" s="1393">
        <f>'Part I-Project Information'!D126</f>
        <v>0</v>
      </c>
      <c r="E132" s="1393">
        <f>'Part I-Project Information'!E126</f>
        <v>0</v>
      </c>
      <c r="F132" s="1393">
        <f>'Part I-Project Information'!F126</f>
        <v>0</v>
      </c>
      <c r="G132" s="1393">
        <f>'Part I-Project Information'!G126</f>
        <v>0</v>
      </c>
      <c r="H132" s="1393">
        <f>'Part I-Project Information'!H126</f>
        <v>0</v>
      </c>
      <c r="I132" s="1393">
        <f>'Part I-Project Information'!I126</f>
        <v>0</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1983</v>
      </c>
      <c r="C151" s="1331" t="s">
        <v>1713</v>
      </c>
      <c r="D151" s="1330"/>
      <c r="E151" s="1330"/>
      <c r="F151" s="1330"/>
      <c r="G151" s="1330"/>
      <c r="H151" s="1330"/>
      <c r="I151" s="1334" t="str">
        <f>'Part I-Project Information'!I145</f>
        <v>No</v>
      </c>
      <c r="J151" s="1330"/>
      <c r="K151" s="1330"/>
      <c r="L151" s="1330"/>
      <c r="M151" s="1334"/>
      <c r="N151" s="1330"/>
      <c r="O151" s="1330"/>
      <c r="P151" s="1343"/>
    </row>
    <row r="152" spans="1:16" ht="13.8">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ht="13.8">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ht="13.8">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1985</v>
      </c>
      <c r="C158" s="1367" t="s">
        <v>2490</v>
      </c>
      <c r="D158" s="1363"/>
      <c r="E158" s="1363"/>
      <c r="F158" s="1334"/>
      <c r="G158" s="1330"/>
      <c r="H158" s="1330"/>
      <c r="I158" s="1344" t="str">
        <f>'Part I-Project Information'!I155</f>
        <v>No</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2701</v>
      </c>
      <c r="D160" s="1363"/>
      <c r="E160" s="1363"/>
      <c r="F160" s="1334"/>
      <c r="G160" s="1334"/>
      <c r="H160" s="1330"/>
      <c r="I160" s="1330"/>
      <c r="J160" s="1330"/>
      <c r="K160" s="1330"/>
      <c r="L160" s="1330"/>
      <c r="M160" s="1330"/>
      <c r="N160" s="1330"/>
      <c r="O160" s="1330"/>
      <c r="P160" s="1343"/>
    </row>
    <row r="161" spans="1:16" ht="13.8">
      <c r="A161" s="1328"/>
      <c r="B161" s="1328"/>
      <c r="C161" s="1363" t="s">
        <v>4486</v>
      </c>
      <c r="D161" s="1363"/>
      <c r="E161" s="1363"/>
      <c r="F161" s="1334"/>
      <c r="G161" s="1334"/>
      <c r="H161" s="1330"/>
      <c r="I161" s="1344" t="str">
        <f>'Part I-Project Information'!I152</f>
        <v>No</v>
      </c>
      <c r="J161" s="1330"/>
      <c r="K161" s="1363" t="s">
        <v>1535</v>
      </c>
      <c r="L161" s="1363"/>
      <c r="M161" s="1334"/>
      <c r="N161" s="1334"/>
      <c r="O161" s="1344" t="str">
        <f>'Part I-Project Information'!O152</f>
        <v>No</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1983</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4487</v>
      </c>
      <c r="D168" s="1330"/>
      <c r="E168" s="1330"/>
      <c r="F168" s="1330"/>
      <c r="G168" s="1330"/>
      <c r="H168" s="1364">
        <f>'Part I-Project Information'!I162</f>
        <v>0</v>
      </c>
      <c r="I168" s="1335"/>
      <c r="J168" s="1377" t="s">
        <v>3723</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1985</v>
      </c>
      <c r="C174" s="1367" t="s">
        <v>2702</v>
      </c>
      <c r="D174" s="1367"/>
      <c r="E174" s="1367"/>
      <c r="F174" s="1367"/>
      <c r="G174" s="1367"/>
      <c r="H174" s="1330"/>
      <c r="I174" s="1344">
        <f>'Part I-Project Information'!I171</f>
        <v>0</v>
      </c>
      <c r="J174" s="1348" t="s">
        <v>761</v>
      </c>
      <c r="K174" s="1348"/>
      <c r="L174" s="1344">
        <f>'Part I-Project Information'!L171</f>
        <v>0</v>
      </c>
      <c r="M174" s="1330" t="s">
        <v>2326</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2703</v>
      </c>
      <c r="D176" s="1367"/>
      <c r="E176" s="1367"/>
      <c r="F176" s="1367"/>
      <c r="G176" s="1367"/>
      <c r="H176" s="1330"/>
      <c r="I176" s="1344" t="str">
        <f>'Part I-Project Information'!I172</f>
        <v>Yes</v>
      </c>
      <c r="J176" s="1348" t="s">
        <v>761</v>
      </c>
      <c r="K176" s="1348"/>
      <c r="L176" s="1344">
        <f>'Part I-Project Information'!L172</f>
        <v>0</v>
      </c>
      <c r="M176" s="1330" t="s">
        <v>2326</v>
      </c>
      <c r="N176" s="1330"/>
      <c r="O176" s="1330"/>
      <c r="P176" s="1419">
        <f>'Part I-Project Information'!P172</f>
        <v>0</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2115</v>
      </c>
      <c r="C180" s="1366" t="s">
        <v>1978</v>
      </c>
      <c r="D180" s="1366"/>
      <c r="E180" s="1366"/>
      <c r="F180" s="1366"/>
      <c r="G180" s="1367"/>
      <c r="H180" s="1330"/>
      <c r="I180" s="1344" t="str">
        <f>'Part I-Project Information'!I176</f>
        <v>No</v>
      </c>
      <c r="J180" s="1379" t="s">
        <v>2753</v>
      </c>
      <c r="K180" s="1330"/>
      <c r="L180" s="1348" t="s">
        <v>4488</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2213</v>
      </c>
      <c r="D185" s="1330"/>
      <c r="E185" s="1330"/>
      <c r="F185" s="1330"/>
      <c r="G185" s="1330"/>
      <c r="H185" s="1330"/>
      <c r="I185" s="1344" t="str">
        <f>'Part I-Project Information'!I181</f>
        <v>No</v>
      </c>
      <c r="J185" s="1330"/>
      <c r="K185" s="1330"/>
      <c r="L185" s="1330" t="s">
        <v>2846</v>
      </c>
      <c r="M185" s="1330"/>
      <c r="N185" s="1330"/>
      <c r="O185" s="1330"/>
      <c r="P185" s="1344" t="str">
        <f>'Part I-Project Information'!P181</f>
        <v>No</v>
      </c>
    </row>
    <row r="186" spans="1:16" ht="13.8">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f>'Part I-Project Information'!P182</f>
        <v>0</v>
      </c>
    </row>
    <row r="187" spans="1:16" ht="13.8">
      <c r="A187" s="1328"/>
      <c r="B187" s="1328"/>
      <c r="C187" s="1330" t="s">
        <v>1285</v>
      </c>
      <c r="D187" s="1381"/>
      <c r="E187" s="1330"/>
      <c r="F187" s="1330"/>
      <c r="G187" s="1330"/>
      <c r="H187" s="1330"/>
      <c r="I187" s="1344" t="str">
        <f>'Part I-Project Information'!I183</f>
        <v>No</v>
      </c>
      <c r="J187" s="1330"/>
      <c r="K187" s="1311"/>
      <c r="L187" s="1330" t="s">
        <v>3482</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ht="13.8">
      <c r="A189" s="1328"/>
      <c r="B189" s="1328"/>
      <c r="C189" s="1330" t="s">
        <v>2903</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2295</v>
      </c>
      <c r="D194" s="1363"/>
      <c r="E194" s="1363"/>
      <c r="F194" s="1334"/>
      <c r="G194" s="1334"/>
      <c r="H194" s="1806">
        <f>'Part I-Project Information'!H190</f>
        <v>44470</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The Applicant submitted a pre-application without a specific site location. The Project Team remained unchanged from pre-application.
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2019-060 Dulles Park II,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4453</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1858</v>
      </c>
      <c r="C206" s="1331"/>
      <c r="D206" s="1330"/>
      <c r="E206" s="1331"/>
      <c r="F206" s="1331"/>
      <c r="G206" s="1331"/>
      <c r="H206" s="1332" t="s">
        <v>4250</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1983</v>
      </c>
      <c r="C208" s="1331" t="s">
        <v>1854</v>
      </c>
      <c r="D208" s="1330"/>
      <c r="E208" s="1330"/>
      <c r="F208" s="1330"/>
      <c r="G208" s="1330"/>
      <c r="H208" s="1330" t="str">
        <f>'Part II-Development Team'!H5</f>
        <v>Dulles Park II,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Roya Collins</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1820 The Exchange SE #350</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Member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Atlanta</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4043344590</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GA</v>
      </c>
      <c r="I211" s="1334" t="s">
        <v>2229</v>
      </c>
      <c r="J211" s="1798">
        <f>'Part II-Development Team'!J8</f>
        <v>303392063</v>
      </c>
      <c r="K211" s="1798">
        <f>'Part II-Development Team'!K8</f>
        <v>0</v>
      </c>
      <c r="L211" s="1330" t="s">
        <v>3685</v>
      </c>
      <c r="M211" s="1330" t="str">
        <f>'Part II-Development Team'!M8</f>
        <v>For Profit</v>
      </c>
      <c r="N211" s="1330">
        <f>'Part II-Development Team'!N8</f>
        <v>0</v>
      </c>
      <c r="O211" s="1337" t="s">
        <v>1979</v>
      </c>
      <c r="P211" s="1330"/>
      <c r="Q211" s="1799">
        <f>'Part II-Development Team'!Q8</f>
        <v>7703630414</v>
      </c>
      <c r="R211" s="1799">
        <f>'Part II-Development Team'!R8</f>
        <v>0</v>
      </c>
      <c r="S211" s="1799">
        <f>'Part II-Development Team'!S8</f>
        <v>0</v>
      </c>
    </row>
    <row r="212" spans="1:19" ht="13.8">
      <c r="A212" s="1330"/>
      <c r="B212" s="1330"/>
      <c r="C212" s="1330"/>
      <c r="D212" s="1382"/>
      <c r="E212" s="1337" t="s">
        <v>4251</v>
      </c>
      <c r="F212" s="1330"/>
      <c r="G212" s="1330"/>
      <c r="H212" s="1799">
        <f>'Part II-Development Team'!H9</f>
        <v>4043344590</v>
      </c>
      <c r="I212" s="1799">
        <f>'Part II-Development Team'!I9</f>
        <v>0</v>
      </c>
      <c r="J212" s="1344">
        <f>'Part II-Development Team'!J9</f>
        <v>0</v>
      </c>
      <c r="K212" s="1334" t="s">
        <v>1984</v>
      </c>
      <c r="L212" s="1706" t="str">
        <f>'Part II-Development Team'!L9</f>
        <v>magitaenterprise@bellsouth.net</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4250</v>
      </c>
      <c r="F213" s="1330"/>
      <c r="G213" s="1330"/>
      <c r="H213" s="1378"/>
      <c r="I213" s="1330"/>
      <c r="J213" s="1330"/>
      <c r="K213" s="1393"/>
      <c r="L213" s="1330"/>
      <c r="M213" s="1330"/>
      <c r="N213" s="1311" t="s">
        <v>4489</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2116</v>
      </c>
      <c r="E217" s="1330" t="s">
        <v>1856</v>
      </c>
      <c r="F217" s="1330"/>
      <c r="G217" s="1330"/>
      <c r="H217" s="1330" t="str">
        <f>'Part II-Development Team'!H14</f>
        <v>Potemkin-Dulles II,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Roya Collins</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1820 The Exchange SE #350</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Member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Atlanta</v>
      </c>
      <c r="I219" s="1330">
        <f>'Part II-Development Team'!I16</f>
        <v>0</v>
      </c>
      <c r="J219" s="1330">
        <f>'Part II-Development Team'!J16</f>
        <v>0</v>
      </c>
      <c r="K219" s="1334" t="s">
        <v>2704</v>
      </c>
      <c r="L219" s="1330">
        <f>'Part II-Development Team'!L16</f>
        <v>0</v>
      </c>
      <c r="M219" s="1330">
        <f>'Part II-Development Team'!M16</f>
        <v>0</v>
      </c>
      <c r="N219" s="1330">
        <f>'Part II-Development Team'!N16</f>
        <v>0</v>
      </c>
      <c r="O219" s="1337" t="s">
        <v>1721</v>
      </c>
      <c r="P219" s="1330"/>
      <c r="Q219" s="1799">
        <f>'Part II-Development Team'!Q16</f>
        <v>4043344590</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GA</v>
      </c>
      <c r="I220" s="1330"/>
      <c r="J220" s="1330"/>
      <c r="K220" s="1334" t="s">
        <v>2229</v>
      </c>
      <c r="L220" s="1798">
        <f>'Part II-Development Team'!L17</f>
        <v>303392063</v>
      </c>
      <c r="M220" s="1798">
        <f>'Part II-Development Team'!M17</f>
        <v>0</v>
      </c>
      <c r="N220" s="1330"/>
      <c r="O220" s="1337" t="s">
        <v>1979</v>
      </c>
      <c r="P220" s="1330"/>
      <c r="Q220" s="1799">
        <f>'Part II-Development Team'!Q17</f>
        <v>7703630414</v>
      </c>
      <c r="R220" s="1799">
        <f>'Part II-Development Team'!R17</f>
        <v>0</v>
      </c>
      <c r="S220" s="1799">
        <f>'Part II-Development Team'!S17</f>
        <v>0</v>
      </c>
    </row>
    <row r="221" spans="1:19" ht="13.8">
      <c r="A221" s="1330"/>
      <c r="B221" s="1330"/>
      <c r="C221" s="1330"/>
      <c r="D221" s="1382"/>
      <c r="E221" s="1337" t="s">
        <v>4251</v>
      </c>
      <c r="F221" s="1330"/>
      <c r="G221" s="1330"/>
      <c r="H221" s="1799">
        <f>'Part II-Development Team'!H18</f>
        <v>4043344590</v>
      </c>
      <c r="I221" s="1799">
        <f>'Part II-Development Team'!I18</f>
        <v>0</v>
      </c>
      <c r="J221" s="1344">
        <f>'Part II-Development Team'!J18</f>
        <v>0</v>
      </c>
      <c r="K221" s="1334" t="s">
        <v>1984</v>
      </c>
      <c r="L221" s="1706" t="str">
        <f>'Part II-Development Team'!L18</f>
        <v>magitaenterprise@bellsouth.net</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2117</v>
      </c>
      <c r="E223" s="1330" t="s">
        <v>1857</v>
      </c>
      <c r="F223" s="1330"/>
      <c r="G223" s="1330"/>
      <c r="H223" s="1330" t="str">
        <f>'Part II-Development Team'!H20</f>
        <v>N/A</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ht="13.8">
      <c r="A227" s="1330"/>
      <c r="B227" s="1330"/>
      <c r="C227" s="1330"/>
      <c r="D227" s="1382"/>
      <c r="E227" s="1337" t="s">
        <v>4251</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1857</v>
      </c>
      <c r="F229" s="1330"/>
      <c r="G229" s="1330"/>
      <c r="H229" s="1330" t="str">
        <f>'Part II-Development Team'!H26</f>
        <v>N/A</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ht="13.8">
      <c r="A233" s="1330"/>
      <c r="B233" s="1330"/>
      <c r="C233" s="1330"/>
      <c r="D233" s="1382"/>
      <c r="E233" s="1337" t="s">
        <v>4251</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1988</v>
      </c>
      <c r="D235" s="1366" t="s">
        <v>1859</v>
      </c>
      <c r="E235" s="1330"/>
      <c r="F235" s="1330"/>
      <c r="G235" s="1330"/>
      <c r="H235" s="1330"/>
      <c r="I235" s="1330"/>
      <c r="J235" s="1330"/>
      <c r="K235" s="1332" t="s">
        <v>4250</v>
      </c>
      <c r="L235" s="1330"/>
      <c r="M235" s="1330"/>
      <c r="N235" s="1330"/>
      <c r="O235" s="1330"/>
      <c r="P235" s="1330"/>
      <c r="Q235" s="1330"/>
      <c r="R235" s="1330"/>
      <c r="S235" s="1330"/>
    </row>
    <row r="236" spans="1:19" ht="13.8">
      <c r="A236" s="1330"/>
      <c r="B236" s="1330"/>
      <c r="C236" s="1330"/>
      <c r="D236" s="1311" t="s">
        <v>2116</v>
      </c>
      <c r="E236" s="1330" t="s">
        <v>750</v>
      </c>
      <c r="F236" s="1330"/>
      <c r="G236" s="1330"/>
      <c r="H236" s="1330" t="str">
        <f>'Part II-Development Team'!H33</f>
        <v>Affordable Equity Partners, Inc</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Brian Kimes</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206 Peach Way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Columbia</v>
      </c>
      <c r="I238" s="1330">
        <f>'Part II-Development Team'!I35</f>
        <v>0</v>
      </c>
      <c r="J238" s="1330">
        <f>'Part II-Development Team'!J35</f>
        <v>0</v>
      </c>
      <c r="K238" s="1334" t="s">
        <v>2704</v>
      </c>
      <c r="L238" s="1330" t="str">
        <f>'Part II-Development Team'!L35</f>
        <v>www.aepartners.com</v>
      </c>
      <c r="M238" s="1330">
        <f>'Part II-Development Team'!M35</f>
        <v>0</v>
      </c>
      <c r="N238" s="1330">
        <f>'Part II-Development Team'!N35</f>
        <v>0</v>
      </c>
      <c r="O238" s="1337" t="s">
        <v>1721</v>
      </c>
      <c r="P238" s="1330"/>
      <c r="Q238" s="1799">
        <f>'Part II-Development Team'!Q35</f>
        <v>5734432021</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MO</v>
      </c>
      <c r="I239" s="1330"/>
      <c r="J239" s="1330"/>
      <c r="K239" s="1334" t="s">
        <v>2229</v>
      </c>
      <c r="L239" s="1798">
        <f>'Part II-Development Team'!L36</f>
        <v>652034905</v>
      </c>
      <c r="M239" s="1798">
        <f>'Part II-Development Team'!M36</f>
        <v>0</v>
      </c>
      <c r="N239" s="1330"/>
      <c r="O239" s="1337" t="s">
        <v>1979</v>
      </c>
      <c r="P239" s="1330"/>
      <c r="Q239" s="1799">
        <f>'Part II-Development Team'!Q36</f>
        <v>5734248811</v>
      </c>
      <c r="R239" s="1799">
        <f>'Part II-Development Team'!R36</f>
        <v>0</v>
      </c>
      <c r="S239" s="1799">
        <f>'Part II-Development Team'!S36</f>
        <v>0</v>
      </c>
    </row>
    <row r="240" spans="1:19" ht="13.8">
      <c r="A240" s="1330"/>
      <c r="B240" s="1330"/>
      <c r="C240" s="1330"/>
      <c r="D240" s="1382"/>
      <c r="E240" s="1337" t="s">
        <v>4251</v>
      </c>
      <c r="F240" s="1330"/>
      <c r="G240" s="1330"/>
      <c r="H240" s="1799">
        <f>'Part II-Development Team'!H37</f>
        <v>5734432021</v>
      </c>
      <c r="I240" s="1799">
        <f>'Part II-Development Team'!I37</f>
        <v>0</v>
      </c>
      <c r="J240" s="1344">
        <f>'Part II-Development Team'!J37</f>
        <v>0</v>
      </c>
      <c r="K240" s="1334" t="s">
        <v>1984</v>
      </c>
      <c r="L240" s="1706" t="str">
        <f>'Part II-Development Team'!L37</f>
        <v>bkimes@aepartners.com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2117</v>
      </c>
      <c r="E242" s="1330" t="s">
        <v>751</v>
      </c>
      <c r="F242" s="1311"/>
      <c r="G242" s="1330"/>
      <c r="H242" s="1330" t="str">
        <f>'Part II-Development Team'!H39</f>
        <v>Affordable Equity Partners, Inc</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Brian Kimes</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206 Peach Way</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Columbia</v>
      </c>
      <c r="I244" s="1330">
        <f>'Part II-Development Team'!I41</f>
        <v>0</v>
      </c>
      <c r="J244" s="1330">
        <f>'Part II-Development Team'!J41</f>
        <v>0</v>
      </c>
      <c r="K244" s="1334" t="s">
        <v>2704</v>
      </c>
      <c r="L244" s="1330" t="str">
        <f>'Part II-Development Team'!L41</f>
        <v>www.aepartners.com</v>
      </c>
      <c r="M244" s="1330">
        <f>'Part II-Development Team'!M41</f>
        <v>0</v>
      </c>
      <c r="N244" s="1330">
        <f>'Part II-Development Team'!N41</f>
        <v>0</v>
      </c>
      <c r="O244" s="1337" t="s">
        <v>1721</v>
      </c>
      <c r="P244" s="1330"/>
      <c r="Q244" s="1799">
        <f>'Part II-Development Team'!Q41</f>
        <v>5734432021</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MO</v>
      </c>
      <c r="I245" s="1330"/>
      <c r="J245" s="1330"/>
      <c r="K245" s="1334" t="s">
        <v>2229</v>
      </c>
      <c r="L245" s="1798">
        <f>'Part II-Development Team'!L42</f>
        <v>652034905</v>
      </c>
      <c r="M245" s="1798">
        <f>'Part II-Development Team'!M42</f>
        <v>0</v>
      </c>
      <c r="N245" s="1330"/>
      <c r="O245" s="1337" t="s">
        <v>1979</v>
      </c>
      <c r="P245" s="1330"/>
      <c r="Q245" s="1799">
        <f>'Part II-Development Team'!Q42</f>
        <v>5734248811</v>
      </c>
      <c r="R245" s="1799">
        <f>'Part II-Development Team'!R42</f>
        <v>0</v>
      </c>
      <c r="S245" s="1799">
        <f>'Part II-Development Team'!S42</f>
        <v>0</v>
      </c>
    </row>
    <row r="246" spans="1:19" ht="13.8">
      <c r="A246" s="1330"/>
      <c r="B246" s="1330"/>
      <c r="C246" s="1330"/>
      <c r="D246" s="1382"/>
      <c r="E246" s="1337" t="s">
        <v>4251</v>
      </c>
      <c r="F246" s="1330"/>
      <c r="G246" s="1330"/>
      <c r="H246" s="1799">
        <f>'Part II-Development Team'!H43</f>
        <v>5734432021</v>
      </c>
      <c r="I246" s="1799">
        <f>'Part II-Development Team'!I43</f>
        <v>0</v>
      </c>
      <c r="J246" s="1344">
        <f>'Part II-Development Team'!J43</f>
        <v>0</v>
      </c>
      <c r="K246" s="1334" t="s">
        <v>1984</v>
      </c>
      <c r="L246" s="1706" t="str">
        <f>'Part II-Development Team'!L43</f>
        <v>bkimes@aepartners.com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2534</v>
      </c>
      <c r="D248" s="1366" t="s">
        <v>651</v>
      </c>
      <c r="E248" s="1330"/>
      <c r="F248" s="1330"/>
      <c r="G248" s="1330"/>
      <c r="H248" s="1330"/>
      <c r="I248" s="1330"/>
      <c r="J248" s="1330"/>
      <c r="K248" s="1332" t="s">
        <v>4250</v>
      </c>
      <c r="L248" s="1330"/>
      <c r="M248" s="1330"/>
      <c r="N248" s="1330"/>
      <c r="O248" s="1330"/>
      <c r="P248" s="1330"/>
      <c r="Q248" s="1330"/>
      <c r="R248" s="1330"/>
      <c r="S248" s="1330"/>
    </row>
    <row r="249" spans="1:19" ht="13.8">
      <c r="A249" s="1330"/>
      <c r="B249" s="1330"/>
      <c r="C249" s="1330"/>
      <c r="D249" s="1330"/>
      <c r="E249" s="1330" t="s">
        <v>92</v>
      </c>
      <c r="F249" s="1330"/>
      <c r="G249" s="1330"/>
      <c r="H249" s="1330" t="str">
        <f>'Part II-Development Team'!H46</f>
        <v>N/A</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2704</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2229</v>
      </c>
      <c r="L252" s="1798">
        <f>'Part II-Development Team'!L49</f>
        <v>0</v>
      </c>
      <c r="M252" s="1798">
        <f>'Part II-Development Team'!M49</f>
        <v>0</v>
      </c>
      <c r="N252" s="1330"/>
      <c r="O252" s="1337" t="s">
        <v>1979</v>
      </c>
      <c r="P252" s="1330"/>
      <c r="Q252" s="1799">
        <f>'Part II-Development Team'!Q49</f>
        <v>0</v>
      </c>
      <c r="R252" s="1799">
        <f>'Part II-Development Team'!R49</f>
        <v>0</v>
      </c>
      <c r="S252" s="1799">
        <f>'Part II-Development Team'!S49</f>
        <v>0</v>
      </c>
    </row>
    <row r="253" spans="1:19" ht="13.8">
      <c r="A253" s="1330"/>
      <c r="B253" s="1330"/>
      <c r="C253" s="1330"/>
      <c r="D253" s="1382"/>
      <c r="E253" s="1337" t="s">
        <v>4251</v>
      </c>
      <c r="F253" s="1330"/>
      <c r="G253" s="1330"/>
      <c r="H253" s="1799">
        <f>'Part II-Development Team'!H50</f>
        <v>0</v>
      </c>
      <c r="I253" s="1799">
        <f>'Part II-Development Team'!I50</f>
        <v>0</v>
      </c>
      <c r="J253" s="1344">
        <f>'Part II-Development Team'!J50</f>
        <v>0</v>
      </c>
      <c r="K253" s="1334" t="s">
        <v>1984</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4250</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1983</v>
      </c>
      <c r="C257" s="1311" t="s">
        <v>282</v>
      </c>
      <c r="D257" s="1330"/>
      <c r="E257" s="1330"/>
      <c r="F257" s="1330"/>
      <c r="G257" s="1330"/>
      <c r="H257" s="1330" t="str">
        <f>'Part II-Development Team'!H54</f>
        <v>Magita, Inc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Roya Collins</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1820 The Exchange SE #350</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President</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Atlanta</v>
      </c>
      <c r="I259" s="1330">
        <f>'Part II-Development Team'!I56</f>
        <v>0</v>
      </c>
      <c r="J259" s="1330">
        <f>'Part II-Development Team'!J56</f>
        <v>0</v>
      </c>
      <c r="K259" s="1334" t="s">
        <v>2704</v>
      </c>
      <c r="L259" s="1330">
        <f>'Part II-Development Team'!L56</f>
        <v>0</v>
      </c>
      <c r="M259" s="1330">
        <f>'Part II-Development Team'!M56</f>
        <v>0</v>
      </c>
      <c r="N259" s="1330">
        <f>'Part II-Development Team'!N56</f>
        <v>0</v>
      </c>
      <c r="O259" s="1337" t="s">
        <v>1721</v>
      </c>
      <c r="P259" s="1330"/>
      <c r="Q259" s="1799">
        <f>'Part II-Development Team'!Q56</f>
        <v>4043344590</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GA</v>
      </c>
      <c r="I260" s="1330"/>
      <c r="J260" s="1330"/>
      <c r="K260" s="1334" t="s">
        <v>2229</v>
      </c>
      <c r="L260" s="1798">
        <f>'Part II-Development Team'!L57</f>
        <v>303392063</v>
      </c>
      <c r="M260" s="1798">
        <f>'Part II-Development Team'!M57</f>
        <v>0</v>
      </c>
      <c r="N260" s="1330"/>
      <c r="O260" s="1337" t="s">
        <v>1979</v>
      </c>
      <c r="P260" s="1330"/>
      <c r="Q260" s="1799">
        <f>'Part II-Development Team'!Q57</f>
        <v>7703630414</v>
      </c>
      <c r="R260" s="1799">
        <f>'Part II-Development Team'!R57</f>
        <v>0</v>
      </c>
      <c r="S260" s="1799">
        <f>'Part II-Development Team'!S57</f>
        <v>0</v>
      </c>
    </row>
    <row r="261" spans="1:19" ht="13.8">
      <c r="A261" s="1330"/>
      <c r="B261" s="1330"/>
      <c r="C261" s="1330"/>
      <c r="D261" s="1382"/>
      <c r="E261" s="1337" t="s">
        <v>4251</v>
      </c>
      <c r="F261" s="1330"/>
      <c r="G261" s="1330"/>
      <c r="H261" s="1799">
        <f>'Part II-Development Team'!H58</f>
        <v>4043344590</v>
      </c>
      <c r="I261" s="1799">
        <f>'Part II-Development Team'!I58</f>
        <v>0</v>
      </c>
      <c r="J261" s="1344">
        <f>'Part II-Development Team'!J58</f>
        <v>0</v>
      </c>
      <c r="K261" s="1334" t="s">
        <v>1984</v>
      </c>
      <c r="L261" s="1706" t="str">
        <f>'Part II-Development Team'!L58</f>
        <v>magitaenterprise@bellsouth.net</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1985</v>
      </c>
      <c r="C263" s="1311" t="s">
        <v>283</v>
      </c>
      <c r="D263" s="1330"/>
      <c r="E263" s="1330"/>
      <c r="F263" s="1330"/>
      <c r="G263" s="1330"/>
      <c r="H263" s="1330" t="str">
        <f>'Part II-Development Team'!H60</f>
        <v>N/A</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f>'Part II-Development Team'!Q60</f>
        <v>0</v>
      </c>
      <c r="R263" s="1330">
        <f>'Part II-Development Team'!R60</f>
        <v>0</v>
      </c>
      <c r="S263" s="1330">
        <f>'Part II-Development Team'!S60</f>
        <v>0</v>
      </c>
    </row>
    <row r="264" spans="1:19" ht="13.8">
      <c r="A264" s="1330"/>
      <c r="B264" s="1330"/>
      <c r="C264" s="1330"/>
      <c r="D264" s="1382"/>
      <c r="E264" s="1337" t="s">
        <v>1021</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f>'Part II-Development Team'!Q61</f>
        <v>0</v>
      </c>
      <c r="R264" s="1330">
        <f>'Part II-Development Team'!R61</f>
        <v>0</v>
      </c>
      <c r="S264" s="1330">
        <f>'Part II-Development Team'!S61</f>
        <v>0</v>
      </c>
    </row>
    <row r="265" spans="1:19" ht="13.8">
      <c r="A265" s="1330"/>
      <c r="B265" s="1330"/>
      <c r="C265" s="1330"/>
      <c r="D265" s="1382"/>
      <c r="E265" s="1337" t="s">
        <v>618</v>
      </c>
      <c r="F265" s="1330"/>
      <c r="G265" s="1330"/>
      <c r="H265" s="1330">
        <f>'Part II-Development Team'!H62</f>
        <v>0</v>
      </c>
      <c r="I265" s="1330">
        <f>'Part II-Development Team'!I62</f>
        <v>0</v>
      </c>
      <c r="J265" s="1330">
        <f>'Part II-Development Team'!J62</f>
        <v>0</v>
      </c>
      <c r="K265" s="1334" t="s">
        <v>2704</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ht="13.8">
      <c r="A266" s="1330"/>
      <c r="B266" s="1330"/>
      <c r="C266" s="1330"/>
      <c r="D266" s="1330"/>
      <c r="E266" s="1337" t="s">
        <v>1799</v>
      </c>
      <c r="F266" s="1330"/>
      <c r="G266" s="1330"/>
      <c r="H266" s="1337">
        <f>'Part II-Development Team'!H63</f>
        <v>0</v>
      </c>
      <c r="I266" s="1330"/>
      <c r="J266" s="1330"/>
      <c r="K266" s="1334" t="s">
        <v>2229</v>
      </c>
      <c r="L266" s="1798">
        <f>'Part II-Development Team'!L63</f>
        <v>0</v>
      </c>
      <c r="M266" s="1798">
        <f>'Part II-Development Team'!M63</f>
        <v>0</v>
      </c>
      <c r="N266" s="1330"/>
      <c r="O266" s="1337" t="s">
        <v>1979</v>
      </c>
      <c r="P266" s="1330"/>
      <c r="Q266" s="1799">
        <f>'Part II-Development Team'!Q63</f>
        <v>0</v>
      </c>
      <c r="R266" s="1799">
        <f>'Part II-Development Team'!R63</f>
        <v>0</v>
      </c>
      <c r="S266" s="1799">
        <f>'Part II-Development Team'!S63</f>
        <v>0</v>
      </c>
    </row>
    <row r="267" spans="1:19" ht="13.8">
      <c r="A267" s="1330"/>
      <c r="B267" s="1330"/>
      <c r="C267" s="1330"/>
      <c r="D267" s="1382"/>
      <c r="E267" s="1337" t="s">
        <v>4251</v>
      </c>
      <c r="F267" s="1330"/>
      <c r="G267" s="1330"/>
      <c r="H267" s="1799">
        <f>'Part II-Development Team'!H64</f>
        <v>0</v>
      </c>
      <c r="I267" s="1799">
        <f>'Part II-Development Team'!I64</f>
        <v>0</v>
      </c>
      <c r="J267" s="1344">
        <f>'Part II-Development Team'!J64</f>
        <v>0</v>
      </c>
      <c r="K267" s="1334" t="s">
        <v>1984</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t="str">
        <f>'Part II-Development Team'!H66</f>
        <v>N/A</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ht="13.8">
      <c r="A273" s="1330"/>
      <c r="B273" s="1330"/>
      <c r="C273" s="1330"/>
      <c r="D273" s="1382"/>
      <c r="E273" s="1337" t="s">
        <v>4251</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2115</v>
      </c>
      <c r="C275" s="1311" t="s">
        <v>284</v>
      </c>
      <c r="D275" s="1330"/>
      <c r="E275" s="1330"/>
      <c r="F275" s="1330"/>
      <c r="G275" s="1330"/>
      <c r="H275" s="1330" t="str">
        <f>'Part II-Development Team'!H72</f>
        <v>N/A</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ht="13.8">
      <c r="A279" s="1330"/>
      <c r="B279" s="1330"/>
      <c r="C279" s="1330"/>
      <c r="D279" s="1382"/>
      <c r="E279" s="1337" t="s">
        <v>4251</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4250</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1983</v>
      </c>
      <c r="C283" s="1311" t="s">
        <v>286</v>
      </c>
      <c r="D283" s="1330"/>
      <c r="E283" s="1330"/>
      <c r="F283" s="1330"/>
      <c r="G283" s="1330"/>
      <c r="H283" s="1330" t="str">
        <f>'Part II-Development Team'!H80</f>
        <v>N/A</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ht="13.8">
      <c r="A287" s="1330"/>
      <c r="B287" s="1330"/>
      <c r="C287" s="1330"/>
      <c r="D287" s="1382"/>
      <c r="E287" s="1337" t="s">
        <v>4251</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1985</v>
      </c>
      <c r="C289" s="1311" t="s">
        <v>287</v>
      </c>
      <c r="D289" s="1330"/>
      <c r="E289" s="1330"/>
      <c r="F289" s="1330"/>
      <c r="G289" s="1330"/>
      <c r="H289" s="1330" t="str">
        <f>'Part II-Development Team'!H86</f>
        <v>Fairway Construction Company, Inc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Will Markel</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206 Peach Way</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Executive Vice President</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Columbia</v>
      </c>
      <c r="I291" s="1330">
        <f>'Part II-Development Team'!I88</f>
        <v>0</v>
      </c>
      <c r="J291" s="1330">
        <f>'Part II-Development Team'!J88</f>
        <v>0</v>
      </c>
      <c r="K291" s="1334" t="s">
        <v>2704</v>
      </c>
      <c r="L291" s="1330" t="str">
        <f>'Part II-Development Team'!L88</f>
        <v>www.fairwayconstruction.net</v>
      </c>
      <c r="M291" s="1330">
        <f>'Part II-Development Team'!M88</f>
        <v>0</v>
      </c>
      <c r="N291" s="1330">
        <f>'Part II-Development Team'!N88</f>
        <v>0</v>
      </c>
      <c r="O291" s="1337" t="s">
        <v>1721</v>
      </c>
      <c r="P291" s="1330"/>
      <c r="Q291" s="1799">
        <f>'Part II-Development Team'!Q88</f>
        <v>5734432021</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MO</v>
      </c>
      <c r="I292" s="1330"/>
      <c r="J292" s="1330"/>
      <c r="K292" s="1334" t="s">
        <v>2229</v>
      </c>
      <c r="L292" s="1798">
        <f>'Part II-Development Team'!L89</f>
        <v>652034905</v>
      </c>
      <c r="M292" s="1798">
        <f>'Part II-Development Team'!M89</f>
        <v>0</v>
      </c>
      <c r="N292" s="1330"/>
      <c r="O292" s="1337" t="s">
        <v>1979</v>
      </c>
      <c r="P292" s="1330"/>
      <c r="Q292" s="1799">
        <f>'Part II-Development Team'!Q89</f>
        <v>0</v>
      </c>
      <c r="R292" s="1799">
        <f>'Part II-Development Team'!R89</f>
        <v>0</v>
      </c>
      <c r="S292" s="1799">
        <f>'Part II-Development Team'!S89</f>
        <v>0</v>
      </c>
    </row>
    <row r="293" spans="1:19" ht="13.8">
      <c r="A293" s="1330"/>
      <c r="B293" s="1330"/>
      <c r="C293" s="1330"/>
      <c r="D293" s="1382"/>
      <c r="E293" s="1337" t="s">
        <v>4251</v>
      </c>
      <c r="F293" s="1330"/>
      <c r="G293" s="1330"/>
      <c r="H293" s="1799">
        <f>'Part II-Development Team'!H90</f>
        <v>5734432021</v>
      </c>
      <c r="I293" s="1799">
        <f>'Part II-Development Team'!I90</f>
        <v>0</v>
      </c>
      <c r="J293" s="1344">
        <f>'Part II-Development Team'!J90</f>
        <v>0</v>
      </c>
      <c r="K293" s="1334" t="s">
        <v>1984</v>
      </c>
      <c r="L293" s="1706" t="str">
        <f>'Part II-Development Team'!L90</f>
        <v>tstanley@fairwayconstruction.net</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TMC Management and Realty, Inc.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Brenda Hoyt</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1341 Cassville Road, N.W.</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Director of Operations</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Cartersville</v>
      </c>
      <c r="I297" s="1330">
        <f>'Part II-Development Team'!I94</f>
        <v>0</v>
      </c>
      <c r="J297" s="1330">
        <f>'Part II-Development Team'!J94</f>
        <v>0</v>
      </c>
      <c r="K297" s="1334" t="s">
        <v>2704</v>
      </c>
      <c r="L297" s="1330">
        <f>'Part II-Development Team'!L94</f>
        <v>0</v>
      </c>
      <c r="M297" s="1330">
        <f>'Part II-Development Team'!M94</f>
        <v>0</v>
      </c>
      <c r="N297" s="1330">
        <f>'Part II-Development Team'!N94</f>
        <v>0</v>
      </c>
      <c r="O297" s="1337" t="s">
        <v>1721</v>
      </c>
      <c r="P297" s="1330"/>
      <c r="Q297" s="1799">
        <f>'Part II-Development Team'!Q94</f>
        <v>7703862921</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GA</v>
      </c>
      <c r="I298" s="1330"/>
      <c r="J298" s="1330"/>
      <c r="K298" s="1334" t="s">
        <v>2229</v>
      </c>
      <c r="L298" s="1798">
        <f>'Part II-Development Team'!L95</f>
        <v>301204886</v>
      </c>
      <c r="M298" s="1798">
        <f>'Part II-Development Team'!M95</f>
        <v>0</v>
      </c>
      <c r="N298" s="1330"/>
      <c r="O298" s="1337" t="s">
        <v>1979</v>
      </c>
      <c r="P298" s="1330"/>
      <c r="Q298" s="1799">
        <f>'Part II-Development Team'!Q95</f>
        <v>7706554683</v>
      </c>
      <c r="R298" s="1799">
        <f>'Part II-Development Team'!R95</f>
        <v>0</v>
      </c>
      <c r="S298" s="1799">
        <f>'Part II-Development Team'!S95</f>
        <v>0</v>
      </c>
    </row>
    <row r="299" spans="1:19" ht="13.8">
      <c r="A299" s="1330"/>
      <c r="B299" s="1330"/>
      <c r="C299" s="1330"/>
      <c r="D299" s="1382"/>
      <c r="E299" s="1337" t="s">
        <v>4251</v>
      </c>
      <c r="F299" s="1330"/>
      <c r="G299" s="1330"/>
      <c r="H299" s="1799">
        <f>'Part II-Development Team'!H96</f>
        <v>7703862921</v>
      </c>
      <c r="I299" s="1799">
        <f>'Part II-Development Team'!I96</f>
        <v>0</v>
      </c>
      <c r="J299" s="1344">
        <f>'Part II-Development Team'!J96</f>
        <v>0</v>
      </c>
      <c r="K299" s="1334" t="s">
        <v>1984</v>
      </c>
      <c r="L299" s="1706" t="str">
        <f>'Part II-Development Team'!L96</f>
        <v>Brenda@tmcmgt.com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2115</v>
      </c>
      <c r="C301" s="1311" t="s">
        <v>289</v>
      </c>
      <c r="D301" s="1330"/>
      <c r="E301" s="1330"/>
      <c r="F301" s="1330"/>
      <c r="G301" s="1330"/>
      <c r="H301" s="1330" t="str">
        <f>'Part II-Development Team'!H98</f>
        <v>Spivey, Pope, Green &amp; Greer</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Scott Spivey</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4875 Riverside Drive, Suite 200</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Macon</v>
      </c>
      <c r="I303" s="1330">
        <f>'Part II-Development Team'!I100</f>
        <v>0</v>
      </c>
      <c r="J303" s="1330">
        <f>'Part II-Development Team'!J100</f>
        <v>0</v>
      </c>
      <c r="K303" s="1334" t="s">
        <v>2704</v>
      </c>
      <c r="L303" s="1330">
        <f>'Part II-Development Team'!L100</f>
        <v>0</v>
      </c>
      <c r="M303" s="1330">
        <f>'Part II-Development Team'!M100</f>
        <v>0</v>
      </c>
      <c r="N303" s="1330">
        <f>'Part II-Development Team'!N100</f>
        <v>0</v>
      </c>
      <c r="O303" s="1337" t="s">
        <v>1721</v>
      </c>
      <c r="P303" s="1330"/>
      <c r="Q303" s="1799">
        <f>'Part II-Development Team'!Q100</f>
        <v>4782547985</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2229</v>
      </c>
      <c r="L304" s="1798">
        <f>'Part II-Development Team'!L101</f>
        <v>312101110</v>
      </c>
      <c r="M304" s="1798">
        <f>'Part II-Development Team'!M101</f>
        <v>0</v>
      </c>
      <c r="N304" s="1330"/>
      <c r="O304" s="1337" t="s">
        <v>1979</v>
      </c>
      <c r="P304" s="1330"/>
      <c r="Q304" s="1799">
        <f>'Part II-Development Team'!Q101</f>
        <v>4782561808</v>
      </c>
      <c r="R304" s="1799">
        <f>'Part II-Development Team'!R101</f>
        <v>0</v>
      </c>
      <c r="S304" s="1799">
        <f>'Part II-Development Team'!S101</f>
        <v>0</v>
      </c>
    </row>
    <row r="305" spans="1:19" ht="13.8">
      <c r="A305" s="1336"/>
      <c r="B305" s="1336"/>
      <c r="C305" s="1336"/>
      <c r="D305" s="1336"/>
      <c r="E305" s="1337" t="s">
        <v>4251</v>
      </c>
      <c r="F305" s="1330"/>
      <c r="G305" s="1330"/>
      <c r="H305" s="1799">
        <f>'Part II-Development Team'!H102</f>
        <v>4782548866</v>
      </c>
      <c r="I305" s="1799">
        <f>'Part II-Development Team'!I102</f>
        <v>0</v>
      </c>
      <c r="J305" s="1344">
        <f>'Part II-Development Team'!J102</f>
        <v>0</v>
      </c>
      <c r="K305" s="1334" t="s">
        <v>1984</v>
      </c>
      <c r="L305" s="1706" t="str">
        <f>'Part II-Development Team'!L102</f>
        <v>sspivey@spgglaw.com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Aprio</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Frank Gudger</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Five Concourse Parkway, Suite 1000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Partner-in-charge</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2704</v>
      </c>
      <c r="L309" s="1330" t="str">
        <f>'Part II-Development Team'!L106</f>
        <v>www.aprio.com</v>
      </c>
      <c r="M309" s="1330">
        <f>'Part II-Development Team'!M106</f>
        <v>0</v>
      </c>
      <c r="N309" s="1330">
        <f>'Part II-Development Team'!N106</f>
        <v>0</v>
      </c>
      <c r="O309" s="1337" t="s">
        <v>1721</v>
      </c>
      <c r="P309" s="1330"/>
      <c r="Q309" s="1799">
        <f>'Part II-Development Team'!Q106</f>
        <v>4048988244</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GA</v>
      </c>
      <c r="I310" s="1330"/>
      <c r="J310" s="1330"/>
      <c r="K310" s="1334" t="s">
        <v>2229</v>
      </c>
      <c r="L310" s="1798">
        <f>'Part II-Development Team'!L107</f>
        <v>303286132</v>
      </c>
      <c r="M310" s="1798">
        <f>'Part II-Development Team'!M107</f>
        <v>0</v>
      </c>
      <c r="N310" s="1330"/>
      <c r="O310" s="1337" t="s">
        <v>1979</v>
      </c>
      <c r="P310" s="1330"/>
      <c r="Q310" s="1799">
        <f>'Part II-Development Team'!Q107</f>
        <v>6783620453</v>
      </c>
      <c r="R310" s="1799">
        <f>'Part II-Development Team'!R107</f>
        <v>0</v>
      </c>
      <c r="S310" s="1799">
        <f>'Part II-Development Team'!S107</f>
        <v>0</v>
      </c>
    </row>
    <row r="311" spans="1:19" ht="13.8">
      <c r="A311" s="1336"/>
      <c r="B311" s="1336"/>
      <c r="C311" s="1336"/>
      <c r="D311" s="1336"/>
      <c r="E311" s="1337" t="s">
        <v>4251</v>
      </c>
      <c r="F311" s="1330"/>
      <c r="G311" s="1330"/>
      <c r="H311" s="1799">
        <f>'Part II-Development Team'!H108</f>
        <v>4048929651</v>
      </c>
      <c r="I311" s="1799">
        <f>'Part II-Development Team'!I108</f>
        <v>0</v>
      </c>
      <c r="J311" s="1344">
        <f>'Part II-Development Team'!J108</f>
        <v>0</v>
      </c>
      <c r="K311" s="1334" t="s">
        <v>1984</v>
      </c>
      <c r="L311" s="1706" t="str">
        <f>'Part II-Development Team'!L108</f>
        <v>Frank.Gudger@aprio.com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Martin Riley Associates Architects, P.C.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Mike Riley</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215 Church Street</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Vice Presient</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Decatur</v>
      </c>
      <c r="I315" s="1330">
        <f>'Part II-Development Team'!I112</f>
        <v>0</v>
      </c>
      <c r="J315" s="1330">
        <f>'Part II-Development Team'!J112</f>
        <v>0</v>
      </c>
      <c r="K315" s="1334" t="s">
        <v>2704</v>
      </c>
      <c r="L315" s="1330" t="str">
        <f>'Part II-Development Team'!L112</f>
        <v>www.martinriley.com</v>
      </c>
      <c r="M315" s="1330">
        <f>'Part II-Development Team'!M112</f>
        <v>0</v>
      </c>
      <c r="N315" s="1330">
        <f>'Part II-Development Team'!N112</f>
        <v>0</v>
      </c>
      <c r="O315" s="1337" t="s">
        <v>1721</v>
      </c>
      <c r="P315" s="1330"/>
      <c r="Q315" s="1799">
        <f>'Part II-Development Team'!Q112</f>
        <v>4043732800</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GA</v>
      </c>
      <c r="I316" s="1330"/>
      <c r="J316" s="1330"/>
      <c r="K316" s="1334" t="s">
        <v>2229</v>
      </c>
      <c r="L316" s="1798">
        <f>'Part II-Development Team'!L113</f>
        <v>300303330</v>
      </c>
      <c r="M316" s="1798">
        <f>'Part II-Development Team'!M113</f>
        <v>0</v>
      </c>
      <c r="N316" s="1330"/>
      <c r="O316" s="1337" t="s">
        <v>1979</v>
      </c>
      <c r="P316" s="1330"/>
      <c r="Q316" s="1799">
        <f>'Part II-Development Team'!Q113</f>
        <v>0</v>
      </c>
      <c r="R316" s="1799">
        <f>'Part II-Development Team'!R113</f>
        <v>0</v>
      </c>
      <c r="S316" s="1799">
        <f>'Part II-Development Team'!S113</f>
        <v>0</v>
      </c>
    </row>
    <row r="317" spans="1:19" ht="13.8">
      <c r="A317" s="1330"/>
      <c r="B317" s="1330"/>
      <c r="C317" s="1330"/>
      <c r="D317" s="1382"/>
      <c r="E317" s="1337" t="s">
        <v>4251</v>
      </c>
      <c r="F317" s="1330"/>
      <c r="G317" s="1330"/>
      <c r="H317" s="1799">
        <f>'Part II-Development Team'!H114</f>
        <v>4043732800</v>
      </c>
      <c r="I317" s="1799">
        <f>'Part II-Development Team'!I114</f>
        <v>0</v>
      </c>
      <c r="J317" s="1344">
        <f>'Part II-Development Team'!J114</f>
        <v>0</v>
      </c>
      <c r="K317" s="1334" t="s">
        <v>1984</v>
      </c>
      <c r="L317" s="1706" t="str">
        <f>'Part II-Development Team'!L114</f>
        <v>mriley@martinriley.com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1983</v>
      </c>
      <c r="C320" s="1311" t="s">
        <v>4490</v>
      </c>
      <c r="D320" s="1330"/>
      <c r="E320" s="1330"/>
      <c r="F320" s="1330"/>
      <c r="G320" s="1330"/>
      <c r="H320" s="1330" t="str">
        <f>'Part II-Development Team'!H117</f>
        <v>RAC, LLC &amp; Gateway Development Co., Inc</v>
      </c>
      <c r="I320" s="1330">
        <f>'Part II-Development Team'!I117</f>
        <v>0</v>
      </c>
      <c r="J320" s="1330">
        <f>'Part II-Development Team'!J117</f>
        <v>0</v>
      </c>
      <c r="K320" s="1334" t="s">
        <v>2474</v>
      </c>
      <c r="L320" s="1330" t="str">
        <f>'Part II-Development Team'!L117</f>
        <v>Sherri Rollins</v>
      </c>
      <c r="M320" s="1330">
        <f>'Part II-Development Team'!M117</f>
        <v>0</v>
      </c>
      <c r="N320" s="1330">
        <f>'Part II-Development Team'!N117</f>
        <v>0</v>
      </c>
      <c r="O320" s="1337" t="s">
        <v>3578</v>
      </c>
      <c r="P320" s="1330"/>
      <c r="Q320" s="1330">
        <f>'Part II-Development Team'!Q117</f>
        <v>4789868756</v>
      </c>
      <c r="R320" s="1330">
        <f>'Part II-Development Team'!R117</f>
        <v>0</v>
      </c>
      <c r="S320" s="1330">
        <f>'Part II-Development Team'!S117</f>
        <v>0</v>
      </c>
    </row>
    <row r="321" spans="1:19" ht="13.8">
      <c r="A321" s="1330"/>
      <c r="B321" s="1330"/>
      <c r="C321" s="1330"/>
      <c r="D321" s="1382"/>
      <c r="E321" s="1337" t="s">
        <v>1021</v>
      </c>
      <c r="F321" s="1340"/>
      <c r="G321" s="1330"/>
      <c r="H321" s="1330" t="str">
        <f>'Part II-Development Team'!H118</f>
        <v>P.O.Box 697</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f>'Part II-Development Team'!Q118</f>
        <v>0</v>
      </c>
      <c r="R321" s="1330">
        <f>'Part II-Development Team'!R118</f>
        <v>0</v>
      </c>
      <c r="S321" s="1330">
        <f>'Part II-Development Team'!S118</f>
        <v>0</v>
      </c>
    </row>
    <row r="322" spans="1:19" ht="13.8">
      <c r="A322" s="1330"/>
      <c r="B322" s="1330"/>
      <c r="C322" s="1330"/>
      <c r="D322" s="1382"/>
      <c r="E322" s="1337" t="s">
        <v>1799</v>
      </c>
      <c r="F322" s="1330"/>
      <c r="G322" s="1330"/>
      <c r="H322" s="1337" t="str">
        <f>'Part II-Development Team'!H119</f>
        <v>GA</v>
      </c>
      <c r="I322" s="1334" t="s">
        <v>2229</v>
      </c>
      <c r="J322" s="1798">
        <f>'Part II-Development Team'!J119</f>
        <v>310320000</v>
      </c>
      <c r="K322" s="1798">
        <f>'Part II-Development Team'!K119</f>
        <v>0</v>
      </c>
      <c r="L322" s="1334" t="s">
        <v>1984</v>
      </c>
      <c r="M322" s="1706" t="str">
        <f>'Part II-Development Team'!M119</f>
        <v>srollins@gatewaydco.com</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1985</v>
      </c>
      <c r="C323" s="1311" t="s">
        <v>2836</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3876</v>
      </c>
      <c r="B324" s="1386"/>
      <c r="C324" s="1386"/>
      <c r="D324" s="1386"/>
      <c r="E324" s="1386"/>
      <c r="F324" s="1344" t="s">
        <v>2510</v>
      </c>
      <c r="G324" s="1341" t="s">
        <v>3478</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2837</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2902</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2878</v>
      </c>
      <c r="E327" s="1365"/>
      <c r="F327" s="1812" t="str">
        <f>'Part II-Development Team'!F124</f>
        <v>No</v>
      </c>
      <c r="G327" s="1573">
        <f>'Part II-Development Team'!G124</f>
        <v>0</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2838</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3466</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3467</v>
      </c>
      <c r="E330" s="1365"/>
      <c r="F330" s="1812" t="str">
        <f>'Part II-Development Team'!F127</f>
        <v>Yes</v>
      </c>
      <c r="G330" s="1573" t="str">
        <f>'Part II-Development Team'!G127</f>
        <v>The Federal and State Syndicator and the General Contractor are related parties.</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2839</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Syndicator and Management Company?</v>
      </c>
      <c r="E332" s="1365">
        <f>'Part II-Development Team'!E130</f>
        <v>0</v>
      </c>
      <c r="F332" s="1812" t="str">
        <f>'Part II-Development Team'!F130</f>
        <v>No</v>
      </c>
      <c r="G332" s="1573">
        <f>'Part II-Development Team'!G130</f>
        <v>0</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4491</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2840</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3448</v>
      </c>
      <c r="F336" s="1365"/>
      <c r="G336" s="1365"/>
      <c r="H336" s="1365"/>
      <c r="I336" s="1365"/>
      <c r="J336" s="1365" t="s">
        <v>3449</v>
      </c>
      <c r="K336" s="1388" t="s">
        <v>4492</v>
      </c>
      <c r="L336" s="1388" t="s">
        <v>4493</v>
      </c>
      <c r="M336" s="1388" t="s">
        <v>4494</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4495</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2907</v>
      </c>
      <c r="O340" s="1348"/>
      <c r="P340" s="1348"/>
      <c r="Q340" s="1348"/>
      <c r="R340" s="1348"/>
      <c r="S340" s="1348"/>
    </row>
    <row r="341" spans="1:19" ht="13.5" customHeight="1">
      <c r="A341" s="1391" t="s">
        <v>3443</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3444</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Select</v>
      </c>
      <c r="J342" s="1812" t="str">
        <f>'Part II-Development Team'!J140</f>
        <v>Select</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3445</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3446</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3447</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2895</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Select</v>
      </c>
      <c r="J346" s="1812" t="str">
        <f>'Part II-Development Team'!J144</f>
        <v>Select</v>
      </c>
      <c r="K346" s="1813">
        <f>'Part II-Development Team'!K144</f>
        <v>0</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2896</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Select</v>
      </c>
      <c r="J348" s="1812" t="str">
        <f>'Part II-Development Team'!J146</f>
        <v>Select</v>
      </c>
      <c r="K348" s="1813">
        <f>'Part II-Development Team'!K146</f>
        <v>0</v>
      </c>
      <c r="L348" s="1814">
        <f>'Part II-Development Team'!L146</f>
        <v>0</v>
      </c>
      <c r="M348" s="1812" t="str">
        <f>'Part II-Development Team'!M146</f>
        <v>Select</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2897</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2899</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2898</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2900</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f>'Part II-Development Team'!A154</f>
        <v>0</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2019-060 Dulles Park II, Gray, Jones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2410</v>
      </c>
      <c r="D368" s="1330"/>
      <c r="E368" s="1393"/>
      <c r="F368" s="1393"/>
      <c r="G368" s="1393"/>
      <c r="H368" s="1334">
        <f>'Part III-Sources of Funds'!L11</f>
        <v>0</v>
      </c>
      <c r="I368" s="1337" t="s">
        <v>1537</v>
      </c>
      <c r="J368" s="1393"/>
      <c r="K368" s="1393"/>
      <c r="L368" s="1334">
        <f>'Part III-Sources of Funds'!B11</f>
        <v>0</v>
      </c>
      <c r="M368" s="1330" t="s">
        <v>3883</v>
      </c>
      <c r="N368" s="1393"/>
      <c r="O368" s="1393"/>
      <c r="P368" s="1393"/>
      <c r="Q368" s="1393"/>
    </row>
    <row r="369" spans="1:17" ht="13.8">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2601</v>
      </c>
      <c r="N369" s="1393"/>
      <c r="O369" s="1393"/>
      <c r="P369" s="1393"/>
      <c r="Q369" s="1393"/>
    </row>
    <row r="370" spans="1:17" ht="13.8">
      <c r="A370" s="1330"/>
      <c r="B370" s="1334">
        <f>'Part III-Sources of Funds'!E14</f>
        <v>0</v>
      </c>
      <c r="C370" s="1337" t="s">
        <v>3880</v>
      </c>
      <c r="D370" s="1393"/>
      <c r="E370" s="1393"/>
      <c r="F370" s="1449">
        <f>'Part III-Sources of Funds'!I14</f>
        <v>0</v>
      </c>
      <c r="G370" s="1449">
        <f>'Part III-Sources of Funds'!J14</f>
        <v>0</v>
      </c>
      <c r="H370" s="1334">
        <f>'Part III-Sources of Funds'!L13</f>
        <v>0</v>
      </c>
      <c r="I370" s="1337" t="s">
        <v>3678</v>
      </c>
      <c r="J370" s="1393"/>
      <c r="K370" s="1393"/>
      <c r="L370" s="1334">
        <f>'Part III-Sources of Funds'!B8</f>
        <v>0</v>
      </c>
      <c r="M370" s="1337" t="s">
        <v>2602</v>
      </c>
      <c r="N370" s="1393"/>
      <c r="O370" s="1393"/>
      <c r="P370" s="1393"/>
      <c r="Q370" s="1393"/>
    </row>
    <row r="371" spans="1:17" ht="13.8">
      <c r="A371" s="1328"/>
      <c r="B371" s="1334">
        <f>'Part III-Sources of Funds'!B14</f>
        <v>0</v>
      </c>
      <c r="C371" s="1337" t="s">
        <v>1803</v>
      </c>
      <c r="D371" s="1330"/>
      <c r="E371" s="1393"/>
      <c r="F371" s="1393"/>
      <c r="G371" s="1393"/>
      <c r="H371" s="1334">
        <f>'Part III-Sources of Funds'!L14</f>
        <v>0</v>
      </c>
      <c r="I371" s="1330" t="s">
        <v>2610</v>
      </c>
      <c r="J371" s="1393"/>
      <c r="K371" s="1393"/>
      <c r="L371" s="1334">
        <f>'Part III-Sources of Funds'!B9</f>
        <v>0</v>
      </c>
      <c r="M371" s="1337" t="s">
        <v>3683</v>
      </c>
      <c r="N371" s="1393"/>
      <c r="O371" s="1393"/>
      <c r="P371" s="1393"/>
      <c r="Q371" s="1393"/>
    </row>
    <row r="372" spans="1:17" ht="13.8">
      <c r="A372" s="1328"/>
      <c r="B372" s="1334">
        <f>'Part III-Sources of Funds'!B7</f>
        <v>0</v>
      </c>
      <c r="C372" s="1337" t="s">
        <v>551</v>
      </c>
      <c r="D372" s="1393"/>
      <c r="E372" s="1393"/>
      <c r="F372" s="1393"/>
      <c r="G372" s="1393"/>
      <c r="H372" s="1334">
        <f>'Part III-Sources of Funds'!B12</f>
        <v>0</v>
      </c>
      <c r="I372" s="1330" t="s">
        <v>2608</v>
      </c>
      <c r="J372" s="1393"/>
      <c r="K372" s="1393"/>
      <c r="L372" s="1334">
        <f>'Part III-Sources of Funds'!B10</f>
        <v>0</v>
      </c>
      <c r="M372" s="1337" t="s">
        <v>2609</v>
      </c>
      <c r="N372" s="1393"/>
      <c r="O372" s="1393"/>
      <c r="P372" s="1393"/>
      <c r="Q372" s="1393"/>
    </row>
    <row r="373" spans="1:17" ht="13.8">
      <c r="A373" s="1328"/>
      <c r="B373" s="1334">
        <f>'Part III-Sources of Funds'!L5</f>
        <v>0</v>
      </c>
      <c r="C373" s="1337" t="s">
        <v>3881</v>
      </c>
      <c r="D373" s="1393"/>
      <c r="E373" s="1393"/>
      <c r="F373" s="1393"/>
      <c r="G373" s="1394"/>
      <c r="H373" s="1334">
        <f>'Part III-Sources of Funds'!B13</f>
        <v>0</v>
      </c>
      <c r="I373" s="1330" t="s">
        <v>3717</v>
      </c>
      <c r="J373" s="1365"/>
      <c r="K373" s="1365"/>
      <c r="L373" s="1334">
        <f>'Part III-Sources of Funds'!E9</f>
        <v>0</v>
      </c>
      <c r="M373" s="1337" t="s">
        <v>3719</v>
      </c>
      <c r="N373" s="1393"/>
      <c r="O373" s="1393" t="str">
        <f>'Part III-Sources of Funds'!H9</f>
        <v>Specify Other PBRA Source here</v>
      </c>
      <c r="P373" s="1393">
        <f>'Part III-Sources of Funds'!I9</f>
        <v>0</v>
      </c>
      <c r="Q373" s="1393">
        <f>'Part III-Sources of Funds'!J9</f>
        <v>0</v>
      </c>
    </row>
    <row r="374" spans="1:17" ht="13.8">
      <c r="A374" s="1328"/>
      <c r="B374" s="1334">
        <f>'Part III-Sources of Funds'!E5</f>
        <v>0</v>
      </c>
      <c r="C374" s="1337" t="s">
        <v>4496</v>
      </c>
      <c r="D374" s="1330"/>
      <c r="E374" s="1815">
        <f>'Part III-Sources of Funds'!H5</f>
        <v>0</v>
      </c>
      <c r="F374" s="1794">
        <f>'Part III-Sources of Funds'!I5</f>
        <v>0</v>
      </c>
      <c r="G374" s="1393"/>
      <c r="H374" s="1334">
        <f>'Part III-Sources of Funds'!L6</f>
        <v>0</v>
      </c>
      <c r="I374" s="1330" t="s">
        <v>3722</v>
      </c>
      <c r="J374" s="1393"/>
      <c r="K374" s="1393"/>
      <c r="L374" s="1334">
        <f>'Part III-Sources of Funds'!L9</f>
        <v>0</v>
      </c>
      <c r="M374" s="1330" t="s">
        <v>3617</v>
      </c>
      <c r="N374" s="1393"/>
      <c r="O374" s="1393"/>
      <c r="P374" s="1393"/>
      <c r="Q374" s="1393"/>
    </row>
    <row r="375" spans="1:17" ht="13.8">
      <c r="A375" s="1328"/>
      <c r="B375" s="1334">
        <f>'Part III-Sources of Funds'!E6</f>
        <v>0</v>
      </c>
      <c r="C375" s="1337" t="s">
        <v>4497</v>
      </c>
      <c r="D375" s="1393"/>
      <c r="E375" s="1815">
        <f>'Part III-Sources of Funds'!H6</f>
        <v>0</v>
      </c>
      <c r="F375" s="1794">
        <f>'Part III-Sources of Funds'!I6</f>
        <v>0</v>
      </c>
      <c r="G375" s="1393"/>
      <c r="H375" s="1334">
        <f>'Part III-Sources of Funds'!L7</f>
        <v>0</v>
      </c>
      <c r="I375" s="1375" t="s">
        <v>2796</v>
      </c>
      <c r="J375" s="1375"/>
      <c r="K375" s="1375"/>
      <c r="L375" s="1334">
        <f>'Part III-Sources of Funds'!E12</f>
        <v>0</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3718</v>
      </c>
      <c r="D376" s="1393"/>
      <c r="E376" s="1393" t="str">
        <f>'Part III-Sources of Funds'!H7</f>
        <v>Specify Other HOME Source here</v>
      </c>
      <c r="F376" s="1393">
        <f>'Part III-Sources of Funds'!I7</f>
        <v>0</v>
      </c>
      <c r="G376" s="1393">
        <f>'Part III-Sources of Funds'!J7</f>
        <v>0</v>
      </c>
      <c r="H376" s="1334">
        <f>'Part III-Sources of Funds'!L8</f>
        <v>0</v>
      </c>
      <c r="I376" s="1337" t="s">
        <v>3882</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3684</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Sterling Bank</v>
      </c>
      <c r="I382" s="1386">
        <f>'Part III-Sources of Funds'!I20</f>
        <v>0</v>
      </c>
      <c r="J382" s="1386">
        <f>'Part III-Sources of Funds'!J20</f>
        <v>0</v>
      </c>
      <c r="K382" s="1386">
        <f>'Part III-Sources of Funds'!K20</f>
        <v>0</v>
      </c>
      <c r="L382" s="1412">
        <f>'Part III-Sources of Funds'!L20</f>
        <v>6147213</v>
      </c>
      <c r="M382" s="1412">
        <f>'Part III-Sources of Funds'!M20</f>
        <v>0</v>
      </c>
      <c r="N382" s="1395">
        <f>'Part III-Sources of Funds'!N20</f>
        <v>0.06</v>
      </c>
      <c r="O382" s="1395">
        <f>'Part III-Sources of Funds'!O20</f>
        <v>0</v>
      </c>
      <c r="P382" s="1467">
        <f>'Part III-Sources of Funds'!P20</f>
        <v>18</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41.4">
      <c r="A388" s="1330"/>
      <c r="B388" s="1330" t="s">
        <v>802</v>
      </c>
      <c r="C388" s="1330"/>
      <c r="D388" s="1330"/>
      <c r="E388" s="1330"/>
      <c r="F388" s="1393"/>
      <c r="G388" s="1393"/>
      <c r="H388" s="1386" t="str">
        <f>'Part III-Sources of Funds'!H26</f>
        <v>Affordable Equity Partners, Inc</v>
      </c>
      <c r="I388" s="1386">
        <f>'Part III-Sources of Funds'!I26</f>
        <v>0</v>
      </c>
      <c r="J388" s="1386">
        <f>'Part III-Sources of Funds'!J26</f>
        <v>0</v>
      </c>
      <c r="K388" s="1386">
        <f>'Part III-Sources of Funds'!K26</f>
        <v>0</v>
      </c>
      <c r="L388" s="1412">
        <f>'Part III-Sources of Funds'!L26</f>
        <v>1246852</v>
      </c>
      <c r="M388" s="1412">
        <f>'Part III-Sources of Funds'!M26</f>
        <v>0</v>
      </c>
      <c r="N388" s="1330"/>
      <c r="O388" s="1330"/>
      <c r="P388" s="1330"/>
      <c r="Q388" s="1330"/>
    </row>
    <row r="389" spans="1:17" ht="41.4">
      <c r="A389" s="1330"/>
      <c r="B389" s="1330" t="s">
        <v>803</v>
      </c>
      <c r="C389" s="1330"/>
      <c r="D389" s="1330"/>
      <c r="E389" s="1330"/>
      <c r="F389" s="1393"/>
      <c r="G389" s="1393"/>
      <c r="H389" s="1386" t="str">
        <f>'Part III-Sources of Funds'!H27</f>
        <v>Affordable Equity Partners, Inc</v>
      </c>
      <c r="I389" s="1386">
        <f>'Part III-Sources of Funds'!I27</f>
        <v>0</v>
      </c>
      <c r="J389" s="1386">
        <f>'Part III-Sources of Funds'!J27</f>
        <v>0</v>
      </c>
      <c r="K389" s="1386">
        <f>'Part III-Sources of Funds'!K27</f>
        <v>0</v>
      </c>
      <c r="L389" s="1412">
        <f>'Part III-Sources of Funds'!L27</f>
        <v>553528</v>
      </c>
      <c r="M389" s="1412">
        <f>'Part III-Sources of Funds'!M27</f>
        <v>0</v>
      </c>
      <c r="N389" s="1330"/>
      <c r="O389" s="1393"/>
      <c r="P389" s="1393"/>
      <c r="Q389" s="1330"/>
    </row>
    <row r="390" spans="1:17" ht="27.6">
      <c r="A390" s="1330"/>
      <c r="B390" s="1330" t="s">
        <v>242</v>
      </c>
      <c r="C390" s="1330"/>
      <c r="D390" s="1386" t="str">
        <f>'Part III-Sources of Funds'!D28</f>
        <v>GP/LP Equity</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110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7947703</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7947703</v>
      </c>
      <c r="M394" s="1396">
        <f>'Part III-Sources of Funds'!M32</f>
        <v>0</v>
      </c>
      <c r="N394" s="1341"/>
      <c r="O394" s="1393"/>
      <c r="P394" s="1393"/>
      <c r="Q394" s="1393"/>
    </row>
    <row r="395" spans="1:17" ht="13.8">
      <c r="A395" s="1330"/>
      <c r="B395" s="1337" t="s">
        <v>2157</v>
      </c>
      <c r="C395" s="1330"/>
      <c r="D395" s="1330"/>
      <c r="E395" s="1330"/>
      <c r="F395" s="1330"/>
      <c r="G395" s="1330"/>
      <c r="H395" s="1330"/>
      <c r="I395" s="1330"/>
      <c r="J395" s="1393"/>
      <c r="K395" s="1393"/>
      <c r="L395" s="1397">
        <f>L393-L394</f>
        <v>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ht="13.8">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13.8">
      <c r="A400" s="1330"/>
      <c r="B400" s="1330" t="s">
        <v>2614</v>
      </c>
      <c r="C400" s="1330"/>
      <c r="D400" s="1330"/>
      <c r="E400" s="1386">
        <f>'Part III-Sources of Funds'!E38</f>
        <v>0</v>
      </c>
      <c r="F400" s="1386">
        <f>'Part III-Sources of Funds'!F38</f>
        <v>0</v>
      </c>
      <c r="G400" s="1386">
        <f>'Part III-Sources of Funds'!G38</f>
        <v>0</v>
      </c>
      <c r="H400" s="1386">
        <f>'Part III-Sources of Funds'!H38</f>
        <v>0</v>
      </c>
      <c r="I400" s="1462">
        <f>'Part III-Sources of Funds'!I38</f>
        <v>0</v>
      </c>
      <c r="J400" s="1330">
        <f>'Part III-Sources of Funds'!J38</f>
        <v>0</v>
      </c>
      <c r="K400" s="1399">
        <f>'Part III-Sources of Funds'!K38</f>
        <v>0</v>
      </c>
      <c r="L400" s="1334">
        <f>'Part III-Sources of Funds'!L38</f>
        <v>0</v>
      </c>
      <c r="M400" s="1334">
        <f>'Part III-Sources of Funds'!M38</f>
        <v>0</v>
      </c>
      <c r="N400" s="1400" t="str">
        <f>'Part III-Sources of Funds'!P38</f>
        <v/>
      </c>
      <c r="O400" s="1400">
        <f>'Part III-Sources of Funds'!Q38</f>
        <v>0</v>
      </c>
      <c r="P400" s="1330">
        <f>'Part III-Sources of Funds'!N38</f>
        <v>0</v>
      </c>
      <c r="Q400" s="1330">
        <f>'Part III-Sources of Funds'!O38</f>
        <v>0</v>
      </c>
    </row>
    <row r="401" spans="1:17" ht="13.8">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13.8">
      <c r="A405" s="1330"/>
      <c r="B405" s="1330" t="s">
        <v>228</v>
      </c>
      <c r="C405" s="1330"/>
      <c r="D405" s="1401">
        <f>'Part III-Sources of Funds'!D43</f>
        <v>1.0240903774491581E-2</v>
      </c>
      <c r="E405" s="1386" t="str">
        <f>'Part III-Sources of Funds'!E43</f>
        <v>Magita Inc.</v>
      </c>
      <c r="F405" s="1386">
        <f>'Part III-Sources of Funds'!F43</f>
        <v>0</v>
      </c>
      <c r="G405" s="1386">
        <f>'Part III-Sources of Funds'!G43</f>
        <v>0</v>
      </c>
      <c r="H405" s="1386">
        <f>'Part III-Sources of Funds'!H43</f>
        <v>0</v>
      </c>
      <c r="I405" s="1462">
        <f>'Part III-Sources of Funds'!I43</f>
        <v>11295</v>
      </c>
      <c r="J405" s="1330">
        <f>'Part III-Sources of Funds'!J43</f>
        <v>0</v>
      </c>
      <c r="K405" s="1399">
        <f>'Part III-Sources of Funds'!K43</f>
        <v>0</v>
      </c>
      <c r="L405" s="1334">
        <f>'Part III-Sources of Funds'!L43</f>
        <v>15</v>
      </c>
      <c r="M405" s="1334">
        <f>'Part III-Sources of Funds'!M43</f>
        <v>0</v>
      </c>
      <c r="N405" s="1400">
        <f>'Part III-Sources of Funds'!P43</f>
        <v>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4179</v>
      </c>
      <c r="C407" s="1330"/>
      <c r="D407" s="1393"/>
      <c r="E407" s="1393" t="s">
        <v>4081</v>
      </c>
      <c r="F407" s="1402">
        <f>'Part III-Sources of Funds'!F45</f>
        <v>670737.04444887314</v>
      </c>
      <c r="G407" s="1393"/>
      <c r="H407" s="1394" t="s">
        <v>4178</v>
      </c>
      <c r="I407" s="1402">
        <f>'Part III-Sources of Funds'!I45</f>
        <v>11295</v>
      </c>
      <c r="J407" s="1393"/>
      <c r="K407" s="1399"/>
      <c r="L407" s="1334"/>
      <c r="M407" s="1334"/>
      <c r="N407" s="1817"/>
      <c r="O407" s="1817"/>
      <c r="P407" s="1334"/>
      <c r="Q407" s="1334"/>
    </row>
    <row r="408" spans="1:17" ht="13.8">
      <c r="A408" s="1330"/>
      <c r="B408" s="1393" t="s">
        <v>4498</v>
      </c>
      <c r="C408" s="1330"/>
      <c r="D408" s="1401"/>
      <c r="E408" s="1393"/>
      <c r="F408" s="1403" t="e">
        <f>'Part III-Sources of Funds'!#REF!</f>
        <v>#REF!</v>
      </c>
      <c r="G408" s="1403" t="e">
        <f>'Part III-Sources of Funds'!#REF!</f>
        <v>#REF!</v>
      </c>
      <c r="H408" s="1394" t="s">
        <v>4180</v>
      </c>
      <c r="I408" s="1403">
        <f>'Part III-Sources of Funds'!L45</f>
        <v>1.6839684185448265E-2</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55.2">
      <c r="A412" s="1330"/>
      <c r="B412" s="1330" t="s">
        <v>802</v>
      </c>
      <c r="C412" s="1330"/>
      <c r="D412" s="1330"/>
      <c r="E412" s="1386" t="str">
        <f>'Part III-Sources of Funds'!E49</f>
        <v>Affordable Equity Partners, Inc.</v>
      </c>
      <c r="F412" s="1386">
        <f>'Part III-Sources of Funds'!F49</f>
        <v>0</v>
      </c>
      <c r="G412" s="1386">
        <f>'Part III-Sources of Funds'!G49</f>
        <v>0</v>
      </c>
      <c r="H412" s="1386">
        <f>'Part III-Sources of Funds'!H49</f>
        <v>0</v>
      </c>
      <c r="I412" s="1462">
        <f>'Part III-Sources of Funds'!I49</f>
        <v>6234255</v>
      </c>
      <c r="J412" s="1330">
        <f>'Part III-Sources of Funds'!J49</f>
        <v>0</v>
      </c>
      <c r="K412" s="1393"/>
      <c r="L412" s="1406">
        <f>'Part IV-A-Uses of Funds'!$J$175*10*'Part IV-A-Uses of Funds'!$N$168</f>
        <v>6298500</v>
      </c>
      <c r="M412" s="1406"/>
      <c r="N412" s="1407">
        <f>I412-L412</f>
        <v>-64245</v>
      </c>
      <c r="O412" s="1407"/>
      <c r="P412" s="1408" t="s">
        <v>2560</v>
      </c>
      <c r="Q412" s="1330"/>
    </row>
    <row r="413" spans="1:17" ht="55.2">
      <c r="A413" s="1330"/>
      <c r="B413" s="1330" t="s">
        <v>803</v>
      </c>
      <c r="C413" s="1330"/>
      <c r="D413" s="1330"/>
      <c r="E413" s="1386" t="str">
        <f>'Part III-Sources of Funds'!E50</f>
        <v>Affordable Equity Partners, Inc.</v>
      </c>
      <c r="F413" s="1386">
        <f>'Part III-Sources of Funds'!F50</f>
        <v>0</v>
      </c>
      <c r="G413" s="1386">
        <f>'Part III-Sources of Funds'!G50</f>
        <v>0</v>
      </c>
      <c r="H413" s="1386">
        <f>'Part III-Sources of Funds'!H50</f>
        <v>0</v>
      </c>
      <c r="I413" s="1462">
        <f>'Part III-Sources of Funds'!I50</f>
        <v>2767635</v>
      </c>
      <c r="J413" s="1330">
        <f>'Part III-Sources of Funds'!J50</f>
        <v>0</v>
      </c>
      <c r="K413" s="1393"/>
      <c r="L413" s="1406">
        <f>'Part IV-A-Uses of Funds'!$J$175*10*'Part IV-A-Uses of Funds'!$Q$168</f>
        <v>2704650</v>
      </c>
      <c r="M413" s="1406"/>
      <c r="N413" s="1407">
        <f>I413-L413</f>
        <v>62985</v>
      </c>
      <c r="O413" s="1407"/>
      <c r="P413" s="1409">
        <f>I412/I422</f>
        <v>0.69167324491209925</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0.30706140207327065</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0.99873464698536996</v>
      </c>
      <c r="Q415" s="1330"/>
    </row>
    <row r="416" spans="1:17" ht="13.8">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27.6">
      <c r="A418" s="1330"/>
      <c r="B418" s="1330" t="s">
        <v>741</v>
      </c>
      <c r="C418" s="1386" t="str">
        <f>'Part III-Sources of Funds'!C55</f>
        <v>GP/LP Equity</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110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2216</v>
      </c>
      <c r="C421" s="1330"/>
      <c r="D421" s="1330"/>
      <c r="E421" s="1330"/>
      <c r="F421" s="1330"/>
      <c r="G421" s="1330"/>
      <c r="H421" s="1393"/>
      <c r="I421" s="1396">
        <f>SUM(I400:J405)+SUM(I410:J420)</f>
        <v>9013295</v>
      </c>
      <c r="J421" s="1396"/>
      <c r="K421" s="1330"/>
      <c r="L421" s="1334"/>
      <c r="M421" s="1386"/>
      <c r="N421" s="1386"/>
      <c r="O421" s="1386"/>
      <c r="P421" s="1386"/>
      <c r="Q421" s="1330"/>
    </row>
    <row r="422" spans="1:17" ht="13.8">
      <c r="A422" s="1330"/>
      <c r="B422" s="1337" t="s">
        <v>2217</v>
      </c>
      <c r="C422" s="1330"/>
      <c r="D422" s="1330"/>
      <c r="E422" s="1330"/>
      <c r="F422" s="1330"/>
      <c r="G422" s="1330"/>
      <c r="H422" s="1393"/>
      <c r="I422" s="1396">
        <f>'Part IV-A-Uses of Funds'!$G$132</f>
        <v>9013295</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3468</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f>'Part III-Sources of Funds'!A64</f>
        <v>0</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2019-060 Dulles Park II,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2019-060 Dulles Park II,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2000</v>
      </c>
      <c r="C444" s="1330"/>
      <c r="D444" s="1330"/>
      <c r="E444" s="1330"/>
      <c r="F444" s="1330"/>
      <c r="G444" s="1412">
        <f>'Part IV-A-Uses of Funds'!G8</f>
        <v>5000</v>
      </c>
      <c r="H444" s="1412">
        <f>'Part IV-A-Uses of Funds'!H8</f>
        <v>0</v>
      </c>
      <c r="I444" s="1330"/>
      <c r="J444" s="1412">
        <f>'Part IV-A-Uses of Funds'!J8</f>
        <v>5000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8000</v>
      </c>
      <c r="H445" s="1412">
        <f>'Part IV-A-Uses of Funds'!H9</f>
        <v>0</v>
      </c>
      <c r="I445" s="1330"/>
      <c r="J445" s="1412">
        <f>'Part IV-A-Uses of Funds'!J9</f>
        <v>8000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6000</v>
      </c>
      <c r="H446" s="1412">
        <f>'Part IV-A-Uses of Funds'!H10</f>
        <v>0</v>
      </c>
      <c r="I446" s="1330"/>
      <c r="J446" s="1412">
        <f>'Part IV-A-Uses of Funds'!J10</f>
        <v>6000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10000</v>
      </c>
      <c r="H447" s="1412">
        <f>'Part IV-A-Uses of Funds'!H11</f>
        <v>0</v>
      </c>
      <c r="I447" s="1330"/>
      <c r="J447" s="1412">
        <f>'Part IV-A-Uses of Funds'!J11</f>
        <v>10000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2500</v>
      </c>
      <c r="C448" s="1330"/>
      <c r="D448" s="1330"/>
      <c r="E448" s="1330"/>
      <c r="F448" s="1330"/>
      <c r="G448" s="1412">
        <f>'Part IV-A-Uses of Funds'!G12</f>
        <v>10000</v>
      </c>
      <c r="H448" s="1412">
        <f>'Part IV-A-Uses of Funds'!H12</f>
        <v>0</v>
      </c>
      <c r="I448" s="1330"/>
      <c r="J448" s="1412">
        <f>'Part IV-A-Uses of Funds'!J12</f>
        <v>10000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39000</v>
      </c>
      <c r="H453" s="1412"/>
      <c r="I453" s="1330"/>
      <c r="J453" s="1412">
        <f>SUM(J444:K452)</f>
        <v>39000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2198</v>
      </c>
      <c r="C455" s="1330"/>
      <c r="D455" s="1330"/>
      <c r="E455" s="1330"/>
      <c r="F455" s="1330"/>
      <c r="G455" s="1412">
        <f>'Part IV-A-Uses of Funds'!G19</f>
        <v>395000</v>
      </c>
      <c r="H455" s="1412">
        <f>'Part IV-A-Uses of Funds'!H19</f>
        <v>0</v>
      </c>
      <c r="I455" s="1330"/>
      <c r="J455" s="1347"/>
      <c r="K455" s="1412"/>
      <c r="L455" s="1347"/>
      <c r="M455" s="1347"/>
      <c r="N455" s="1412"/>
      <c r="O455" s="1330"/>
      <c r="P455" s="1347"/>
      <c r="Q455" s="1412"/>
      <c r="R455" s="1330"/>
      <c r="S455" s="1412">
        <f>'Part IV-A-Uses of Funds'!S19</f>
        <v>395000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395000</v>
      </c>
      <c r="H459" s="1412"/>
      <c r="I459" s="1330"/>
      <c r="J459" s="1347"/>
      <c r="K459" s="1412"/>
      <c r="L459" s="1347"/>
      <c r="M459" s="1412">
        <f>SUM(M457:N458)</f>
        <v>0</v>
      </c>
      <c r="N459" s="1412"/>
      <c r="O459" s="1330"/>
      <c r="P459" s="1347"/>
      <c r="Q459" s="1412"/>
      <c r="R459" s="1330"/>
      <c r="S459" s="1412">
        <f>SUM(S455:T458)</f>
        <v>395000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3724</v>
      </c>
      <c r="F461" s="1419">
        <f>IF('Part I-Project Information'!$O$37="","",G461/'Part I-Project Information'!$O$37)</f>
        <v>52888.527257933281</v>
      </c>
      <c r="G461" s="1412">
        <f>'Part IV-A-Uses of Funds'!G25</f>
        <v>1300000</v>
      </c>
      <c r="H461" s="1412">
        <f>'Part IV-A-Uses of Funds'!H25</f>
        <v>0</v>
      </c>
      <c r="I461" s="1330"/>
      <c r="J461" s="1412">
        <f>'Part IV-A-Uses of Funds'!J25</f>
        <v>1235000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65000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1300000</v>
      </c>
      <c r="H463" s="1412"/>
      <c r="I463" s="1330"/>
      <c r="J463" s="1412">
        <f>SUM(J461:K462)</f>
        <v>1235000</v>
      </c>
      <c r="K463" s="1412"/>
      <c r="L463" s="1347"/>
      <c r="M463" s="1412">
        <f>M461</f>
        <v>0</v>
      </c>
      <c r="N463" s="1412"/>
      <c r="O463" s="1330"/>
      <c r="P463" s="1412">
        <f>P461</f>
        <v>0</v>
      </c>
      <c r="Q463" s="1412"/>
      <c r="R463" s="1330"/>
      <c r="S463" s="1412">
        <f>SUM(S461:T462)</f>
        <v>65000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3703200</v>
      </c>
      <c r="H465" s="1412">
        <f>'Part IV-A-Uses of Funds'!H29</f>
        <v>0</v>
      </c>
      <c r="I465" s="1330"/>
      <c r="J465" s="1412">
        <f>'Part IV-A-Uses of Funds'!J29</f>
        <v>3703200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2780</v>
      </c>
      <c r="C467" s="1330"/>
      <c r="D467" s="1330"/>
      <c r="E467" s="1330"/>
      <c r="F467" s="1330"/>
      <c r="G467" s="1412">
        <f>'Part IV-A-Uses of Funds'!G31</f>
        <v>200000</v>
      </c>
      <c r="H467" s="1412">
        <f>'Part IV-A-Uses of Funds'!H31</f>
        <v>0</v>
      </c>
      <c r="I467" s="1330"/>
      <c r="J467" s="1412">
        <f>'Part IV-A-Uses of Funds'!J31</f>
        <v>200000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3903200</v>
      </c>
      <c r="H469" s="1412"/>
      <c r="I469" s="1330"/>
      <c r="J469" s="1412">
        <f>SUM(J465:K468)</f>
        <v>3903200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2343</v>
      </c>
      <c r="C470" s="1330"/>
      <c r="D470" s="1381" t="s">
        <v>3728</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2344</v>
      </c>
      <c r="C471" s="1330"/>
      <c r="D471" s="1425">
        <f>'DCA Underwriting Assumptions'!$R$73</f>
        <v>0.06</v>
      </c>
      <c r="E471" s="1426">
        <f>D471*(G463+G469)</f>
        <v>312192</v>
      </c>
      <c r="F471" s="1425" t="e">
        <f>IF(($G$27+$G$33)=0,0,G471/($G$27+$G$33))</f>
        <v>#VALUE!</v>
      </c>
      <c r="G471" s="1412">
        <f>'Part IV-A-Uses of Funds'!G35</f>
        <v>312192</v>
      </c>
      <c r="H471" s="1412">
        <f>'Part IV-A-Uses of Funds'!H35</f>
        <v>0</v>
      </c>
      <c r="I471" s="1336"/>
      <c r="J471" s="1412">
        <f>'Part IV-A-Uses of Funds'!J35</f>
        <v>312192</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2736</v>
      </c>
      <c r="C472" s="1330"/>
      <c r="D472" s="1425">
        <f>'DCA Underwriting Assumptions'!$R$74</f>
        <v>0.02</v>
      </c>
      <c r="E472" s="1426">
        <f>D472*(G463+G469)</f>
        <v>104064</v>
      </c>
      <c r="F472" s="1425" t="e">
        <f>IF(($G$27+$G$33)=0,0,G472/($G$27+$G$33))</f>
        <v>#VALUE!</v>
      </c>
      <c r="G472" s="1412">
        <f>'Part IV-A-Uses of Funds'!G36</f>
        <v>104064</v>
      </c>
      <c r="H472" s="1412">
        <f>'Part IV-A-Uses of Funds'!H36</f>
        <v>0</v>
      </c>
      <c r="I472" s="1336"/>
      <c r="J472" s="1412">
        <f>'Part IV-A-Uses of Funds'!J36</f>
        <v>104064</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2737</v>
      </c>
      <c r="C473" s="1330"/>
      <c r="D473" s="1425">
        <f>'DCA Underwriting Assumptions'!$R$75</f>
        <v>0.06</v>
      </c>
      <c r="E473" s="1426">
        <f>D473*(G463+G469)</f>
        <v>312192</v>
      </c>
      <c r="F473" s="1425" t="e">
        <f>IF(($G$27+$G$33)=0,0,G473/($G$27+$G$33))</f>
        <v>#VALUE!</v>
      </c>
      <c r="G473" s="1412">
        <f>'Part IV-A-Uses of Funds'!G37</f>
        <v>312192</v>
      </c>
      <c r="H473" s="1412">
        <f>'Part IV-A-Uses of Funds'!H37</f>
        <v>0</v>
      </c>
      <c r="I473" s="1336"/>
      <c r="J473" s="1412">
        <f>'Part IV-A-Uses of Funds'!J37</f>
        <v>312192</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3729</v>
      </c>
      <c r="C474" s="1330"/>
      <c r="D474" s="1423">
        <f>SUM(D471:D473)</f>
        <v>0.14000000000000001</v>
      </c>
      <c r="E474" s="1427">
        <f>SUM(E471:E473)</f>
        <v>728448</v>
      </c>
      <c r="F474" s="1416" t="s">
        <v>191</v>
      </c>
      <c r="G474" s="1412">
        <f>SUM(G471:H473)</f>
        <v>728448</v>
      </c>
      <c r="H474" s="1412"/>
      <c r="I474" s="1330"/>
      <c r="J474" s="1412">
        <f>SUM(J471:K473)</f>
        <v>728448</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4499</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4500</v>
      </c>
      <c r="C479" s="1429"/>
      <c r="D479" s="1330"/>
      <c r="E479" s="1329" t="s">
        <v>2744</v>
      </c>
      <c r="F479" s="1430">
        <f>B480/'Part VI-Revenues &amp; Expenses'!$O$65</f>
        <v>123576</v>
      </c>
      <c r="G479" s="1431" t="s">
        <v>4501</v>
      </c>
      <c r="H479" s="1330"/>
      <c r="I479" s="1330"/>
      <c r="J479" s="1432">
        <f>B480/'Part VI-Revenues &amp; Expenses'!$O$67</f>
        <v>123576</v>
      </c>
      <c r="K479" s="1432"/>
      <c r="L479" s="1330"/>
      <c r="M479" s="1433" t="s">
        <v>1402</v>
      </c>
      <c r="N479" s="1433"/>
      <c r="O479" s="1330"/>
      <c r="P479" s="1432">
        <f>B480/'Part I-Project Information'!$P$75</f>
        <v>129.17351916376307</v>
      </c>
      <c r="Q479" s="1432"/>
      <c r="R479" s="1330"/>
      <c r="S479" s="1354" t="s">
        <v>2778</v>
      </c>
      <c r="T479" s="1354"/>
      <c r="U479" s="1330"/>
      <c r="V479" s="1418"/>
      <c r="W479" s="1203">
        <f>'Part IV-A-Uses of Funds'!W43</f>
        <v>0</v>
      </c>
      <c r="X479" s="1203">
        <f>'Part IV-A-Uses of Funds'!X43</f>
        <v>0</v>
      </c>
    </row>
    <row r="480" spans="1:24" ht="13.8">
      <c r="A480" s="1330"/>
      <c r="B480" s="1434">
        <f>G463+G469+G474+G477</f>
        <v>5931648</v>
      </c>
      <c r="C480" s="1434"/>
      <c r="D480" s="1330"/>
      <c r="E480" s="1329"/>
      <c r="F480" s="1430">
        <f>B480/'Part VI-Revenues &amp; Expenses'!$O$154</f>
        <v>135.05573770491804</v>
      </c>
      <c r="G480" s="1354" t="s">
        <v>4502</v>
      </c>
      <c r="H480" s="1330"/>
      <c r="I480" s="1330"/>
      <c r="J480" s="1432">
        <f>B480/'Part VI-Revenues &amp; Expenses'!$O$156</f>
        <v>135.05573770491804</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4184</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1961</v>
      </c>
      <c r="C483" s="1336"/>
      <c r="D483" s="1436" t="s">
        <v>4183</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296582.40000000002</v>
      </c>
      <c r="F483" s="1438">
        <f>G483/B480</f>
        <v>4.9999932565115125E-2</v>
      </c>
      <c r="G483" s="1412">
        <f>'Part IV-A-Uses of Funds'!G47</f>
        <v>296582</v>
      </c>
      <c r="H483" s="1412">
        <f>'Part IV-A-Uses of Funds'!H47</f>
        <v>0</v>
      </c>
      <c r="I483" s="1330"/>
      <c r="J483" s="1412">
        <f>'Part IV-A-Uses of Funds'!J47</f>
        <v>296582</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4503</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3730</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3731</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2346</v>
      </c>
      <c r="C490" s="1330"/>
      <c r="D490" s="1330"/>
      <c r="E490" s="1330"/>
      <c r="F490" s="1330"/>
      <c r="G490" s="1412">
        <f>'Part IV-A-Uses of Funds'!G54</f>
        <v>61473</v>
      </c>
      <c r="H490" s="1412">
        <f>'Part IV-A-Uses of Funds'!H54</f>
        <v>0</v>
      </c>
      <c r="I490" s="1330"/>
      <c r="J490" s="1412">
        <f>'Part IV-A-Uses of Funds'!J54</f>
        <v>61473</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2347</v>
      </c>
      <c r="C491" s="1330"/>
      <c r="D491" s="1330"/>
      <c r="E491" s="1330"/>
      <c r="F491" s="1330"/>
      <c r="G491" s="1412">
        <f>'Part IV-A-Uses of Funds'!G55</f>
        <v>230622</v>
      </c>
      <c r="H491" s="1412">
        <f>'Part IV-A-Uses of Funds'!H55</f>
        <v>0</v>
      </c>
      <c r="I491" s="1330"/>
      <c r="J491" s="1412">
        <f>'Part IV-A-Uses of Funds'!J55</f>
        <v>230622</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0</v>
      </c>
      <c r="T491" s="1412">
        <f>'Part IV-A-Uses of Funds'!T55</f>
        <v>0</v>
      </c>
      <c r="U491" s="1330"/>
      <c r="V491" s="1418"/>
      <c r="W491" s="1203"/>
      <c r="X491" s="1203"/>
    </row>
    <row r="492" spans="1:24" ht="13.8">
      <c r="A492" s="1330"/>
      <c r="B492" s="1330" t="s">
        <v>2348</v>
      </c>
      <c r="C492" s="1330"/>
      <c r="D492" s="1330"/>
      <c r="E492" s="1330"/>
      <c r="F492" s="1330"/>
      <c r="G492" s="1412">
        <f>'Part IV-A-Uses of Funds'!G56</f>
        <v>20000</v>
      </c>
      <c r="H492" s="1412">
        <f>'Part IV-A-Uses of Funds'!H56</f>
        <v>0</v>
      </c>
      <c r="I492" s="1330"/>
      <c r="J492" s="1412">
        <f>'Part IV-A-Uses of Funds'!J56</f>
        <v>20000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2687</v>
      </c>
      <c r="C493" s="1330"/>
      <c r="D493" s="1330"/>
      <c r="E493" s="1330"/>
      <c r="F493" s="1330"/>
      <c r="G493" s="1412">
        <f>'Part IV-A-Uses of Funds'!G57</f>
        <v>5000</v>
      </c>
      <c r="H493" s="1412">
        <f>'Part IV-A-Uses of Funds'!H57</f>
        <v>0</v>
      </c>
      <c r="I493" s="1330"/>
      <c r="J493" s="1412">
        <f>'Part IV-A-Uses of Funds'!J57</f>
        <v>5000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7500</v>
      </c>
      <c r="H494" s="1412">
        <f>'Part IV-A-Uses of Funds'!H58</f>
        <v>0</v>
      </c>
      <c r="I494" s="1330"/>
      <c r="J494" s="1412">
        <f>'Part IV-A-Uses of Funds'!J58</f>
        <v>7500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2349</v>
      </c>
      <c r="C495" s="1330"/>
      <c r="D495" s="1330"/>
      <c r="E495" s="1330"/>
      <c r="F495" s="1330"/>
      <c r="G495" s="1412">
        <f>'Part IV-A-Uses of Funds'!G59</f>
        <v>25000</v>
      </c>
      <c r="H495" s="1412">
        <f>'Part IV-A-Uses of Funds'!H59</f>
        <v>0</v>
      </c>
      <c r="I495" s="1330"/>
      <c r="J495" s="1412">
        <f>'Part IV-A-Uses of Funds'!J59</f>
        <v>25000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25000</v>
      </c>
      <c r="H496" s="1412">
        <f>'Part IV-A-Uses of Funds'!H60</f>
        <v>0</v>
      </c>
      <c r="I496" s="1330"/>
      <c r="J496" s="1412">
        <f>'Part IV-A-Uses of Funds'!J60</f>
        <v>25000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ht="13.8">
      <c r="A497" s="1330"/>
      <c r="B497" s="1439" t="s">
        <v>1153</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374595</v>
      </c>
      <c r="H500" s="1412"/>
      <c r="I500" s="1330"/>
      <c r="J500" s="1412">
        <f>SUM(J488:K499)</f>
        <v>374595</v>
      </c>
      <c r="K500" s="1412"/>
      <c r="L500" s="1347"/>
      <c r="M500" s="1412">
        <f>SUM(M488:N499)</f>
        <v>0</v>
      </c>
      <c r="N500" s="1412"/>
      <c r="O500" s="1330"/>
      <c r="P500" s="1412">
        <f>SUM(P488:Q499)</f>
        <v>0</v>
      </c>
      <c r="Q500" s="1412"/>
      <c r="R500" s="1330"/>
      <c r="S500" s="1412">
        <f>SUM(S488:T499)</f>
        <v>0</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120000</v>
      </c>
      <c r="H502" s="1412">
        <f>'Part IV-A-Uses of Funds'!H66</f>
        <v>0</v>
      </c>
      <c r="I502" s="1330"/>
      <c r="J502" s="1412">
        <f>'Part IV-A-Uses of Funds'!J66</f>
        <v>120000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24000</v>
      </c>
      <c r="H503" s="1412">
        <f>'Part IV-A-Uses of Funds'!H67</f>
        <v>0</v>
      </c>
      <c r="I503" s="1330"/>
      <c r="J503" s="1412">
        <f>'Part IV-A-Uses of Funds'!J67</f>
        <v>24000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3843</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10000</v>
      </c>
      <c r="H505" s="1412">
        <f>'Part IV-A-Uses of Funds'!H69</f>
        <v>0</v>
      </c>
      <c r="I505" s="1330"/>
      <c r="J505" s="1412">
        <f>'Part IV-A-Uses of Funds'!J69</f>
        <v>10000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17500</v>
      </c>
      <c r="H506" s="1412">
        <f>'Part IV-A-Uses of Funds'!H70</f>
        <v>0</v>
      </c>
      <c r="I506" s="1330"/>
      <c r="J506" s="1412">
        <f>'Part IV-A-Uses of Funds'!J70</f>
        <v>17500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25000</v>
      </c>
      <c r="H507" s="1412">
        <f>'Part IV-A-Uses of Funds'!H71</f>
        <v>0</v>
      </c>
      <c r="I507" s="1330"/>
      <c r="J507" s="1412">
        <f>'Part IV-A-Uses of Funds'!J71</f>
        <v>25000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70000</v>
      </c>
      <c r="H508" s="1412">
        <f>'Part IV-A-Uses of Funds'!H72</f>
        <v>0</v>
      </c>
      <c r="I508" s="1330"/>
      <c r="J508" s="1412">
        <f>'Part IV-A-Uses of Funds'!J72</f>
        <v>70000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25000</v>
      </c>
      <c r="H509" s="1412">
        <f>'Part IV-A-Uses of Funds'!H73</f>
        <v>0</v>
      </c>
      <c r="I509" s="1330"/>
      <c r="J509" s="1412">
        <f>'Part IV-A-Uses of Funds'!J73</f>
        <v>15000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10000</v>
      </c>
      <c r="T509" s="1412">
        <f>'Part IV-A-Uses of Funds'!T73</f>
        <v>0</v>
      </c>
      <c r="U509" s="1330"/>
      <c r="V509" s="1418"/>
      <c r="W509" s="1203"/>
      <c r="X509" s="1203"/>
    </row>
    <row r="510" spans="1:24" ht="13.8">
      <c r="A510" s="1330"/>
      <c r="B510" s="1330" t="s">
        <v>2049</v>
      </c>
      <c r="C510" s="1330"/>
      <c r="D510" s="1330"/>
      <c r="E510" s="1330"/>
      <c r="F510" s="1330"/>
      <c r="G510" s="1412">
        <f>'Part IV-A-Uses of Funds'!G74</f>
        <v>15000</v>
      </c>
      <c r="H510" s="1412">
        <f>'Part IV-A-Uses of Funds'!H74</f>
        <v>0</v>
      </c>
      <c r="I510" s="1330"/>
      <c r="J510" s="1412">
        <f>'Part IV-A-Uses of Funds'!J74</f>
        <v>15000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10000</v>
      </c>
      <c r="H511" s="1412">
        <f>'Part IV-A-Uses of Funds'!H75</f>
        <v>0</v>
      </c>
      <c r="I511" s="1330"/>
      <c r="J511" s="1412">
        <f>'Part IV-A-Uses of Funds'!J75</f>
        <v>10000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336500</v>
      </c>
      <c r="H513" s="1412"/>
      <c r="I513" s="1330"/>
      <c r="J513" s="1412">
        <f>SUM(J502:K512)</f>
        <v>326500</v>
      </c>
      <c r="K513" s="1412"/>
      <c r="L513" s="1347"/>
      <c r="M513" s="1412">
        <f>SUM(M502:N512)</f>
        <v>0</v>
      </c>
      <c r="N513" s="1412"/>
      <c r="O513" s="1330"/>
      <c r="P513" s="1412">
        <f>SUM(P502:Q512)</f>
        <v>0</v>
      </c>
      <c r="Q513" s="1412"/>
      <c r="R513" s="1330"/>
      <c r="S513" s="1412">
        <f>SUM(S502:T512)</f>
        <v>10000</v>
      </c>
      <c r="T513" s="1412"/>
      <c r="U513" s="1330"/>
      <c r="V513" s="1418">
        <f>SUM(V502:V512)</f>
        <v>0</v>
      </c>
      <c r="W513" s="1203"/>
      <c r="X513" s="1203"/>
    </row>
    <row r="514" spans="1:24" ht="13.8">
      <c r="A514" s="1330"/>
      <c r="B514" s="1311" t="s">
        <v>1269</v>
      </c>
      <c r="C514" s="1330"/>
      <c r="D514" s="1442" t="s">
        <v>3732</v>
      </c>
      <c r="E514" s="1443">
        <f>G519/'Part VI-Revenues &amp; Expenses'!$O$67</f>
        <v>4288.875</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9066</v>
      </c>
      <c r="H515" s="1412">
        <f>'Part IV-A-Uses of Funds'!H79</f>
        <v>0</v>
      </c>
      <c r="I515" s="1330"/>
      <c r="J515" s="1412">
        <f>'Part IV-A-Uses of Funds'!J79</f>
        <v>9066</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72000</v>
      </c>
      <c r="H517" s="1412">
        <f>'Part IV-A-Uses of Funds'!H81</f>
        <v>0</v>
      </c>
      <c r="I517" s="1336"/>
      <c r="J517" s="1412">
        <f>'Part IV-A-Uses of Funds'!J81</f>
        <v>72000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124800</v>
      </c>
      <c r="H518" s="1412">
        <f>'Part IV-A-Uses of Funds'!H82</f>
        <v>0</v>
      </c>
      <c r="I518" s="1336"/>
      <c r="J518" s="1412">
        <f>'Part IV-A-Uses of Funds'!J82</f>
        <v>124800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205866</v>
      </c>
      <c r="H519" s="1412"/>
      <c r="I519" s="1330"/>
      <c r="J519" s="1412">
        <f>SUM(J515:K518)</f>
        <v>205866</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ht="13.8">
      <c r="A522" s="1330"/>
      <c r="B522" s="1330" t="s">
        <v>1275</v>
      </c>
      <c r="C522" s="1330"/>
      <c r="D522" s="1330"/>
      <c r="E522" s="1330"/>
      <c r="F522" s="1330"/>
      <c r="G522" s="1412">
        <f>'Part IV-A-Uses of Funds'!G86</f>
        <v>0</v>
      </c>
      <c r="H522" s="1412">
        <f>'Part IV-A-Uses of Funds'!H86</f>
        <v>0</v>
      </c>
      <c r="I522" s="1330"/>
      <c r="J522" s="1412"/>
      <c r="K522" s="1412"/>
      <c r="L522" s="1347"/>
      <c r="M522" s="1412"/>
      <c r="N522" s="1412"/>
      <c r="O522" s="1330"/>
      <c r="P522" s="1412"/>
      <c r="Q522" s="1412"/>
      <c r="R522" s="1330"/>
      <c r="S522" s="1412">
        <f>'Part IV-A-Uses of Funds'!S86</f>
        <v>0</v>
      </c>
      <c r="T522" s="1412">
        <f>'Part IV-A-Uses of Funds'!T86</f>
        <v>0</v>
      </c>
      <c r="U522" s="1330"/>
      <c r="V522" s="1418"/>
      <c r="W522" s="1203"/>
      <c r="X522" s="1203"/>
    </row>
    <row r="523" spans="1:24" ht="13.8">
      <c r="A523" s="1330"/>
      <c r="B523" s="1330" t="s">
        <v>1276</v>
      </c>
      <c r="C523" s="1330"/>
      <c r="D523" s="1330"/>
      <c r="E523" s="1330"/>
      <c r="F523" s="1330"/>
      <c r="G523" s="1412">
        <f>'Part IV-A-Uses of Funds'!G87</f>
        <v>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0</v>
      </c>
      <c r="H527" s="1412"/>
      <c r="I527" s="1330"/>
      <c r="J527" s="1412"/>
      <c r="K527" s="1412"/>
      <c r="L527" s="1347"/>
      <c r="M527" s="1412"/>
      <c r="N527" s="1412"/>
      <c r="O527" s="1330"/>
      <c r="P527" s="1412"/>
      <c r="Q527" s="1412"/>
      <c r="R527" s="1330"/>
      <c r="S527" s="1412">
        <f>SUM(S521:T526)</f>
        <v>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4504</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3945</v>
      </c>
      <c r="C534" s="1330"/>
      <c r="D534" s="1330"/>
      <c r="E534" s="1330"/>
      <c r="F534" s="1330"/>
      <c r="G534" s="1412">
        <f>'Part IV-A-Uses of Funds'!G98</f>
        <v>1000</v>
      </c>
      <c r="H534" s="1412">
        <f>'Part IV-A-Uses of Funds'!H98</f>
        <v>0</v>
      </c>
      <c r="I534" s="1330"/>
      <c r="J534" s="1347"/>
      <c r="K534" s="1347"/>
      <c r="L534" s="1445"/>
      <c r="M534" s="1347"/>
      <c r="N534" s="1347"/>
      <c r="O534" s="1330"/>
      <c r="P534" s="1347"/>
      <c r="Q534" s="1347"/>
      <c r="R534" s="1330"/>
      <c r="S534" s="1412">
        <f>'Part IV-A-Uses of Funds'!S98</f>
        <v>1000</v>
      </c>
      <c r="T534" s="1412">
        <f>'Part IV-A-Uses of Funds'!T98</f>
        <v>0</v>
      </c>
      <c r="U534" s="1330"/>
      <c r="V534" s="1418"/>
      <c r="W534" s="1203"/>
      <c r="X534" s="1203"/>
    </row>
    <row r="535" spans="1:24" ht="13.8">
      <c r="A535" s="1330"/>
      <c r="B535" s="1330" t="s">
        <v>519</v>
      </c>
      <c r="C535" s="1330"/>
      <c r="D535" s="1330"/>
      <c r="E535" s="1446">
        <f>'DCA Underwriting Assumptions'!$Q$88*J611</f>
        <v>59280</v>
      </c>
      <c r="F535" s="1446"/>
      <c r="G535" s="1412">
        <f>'Part IV-A-Uses of Funds'!G99</f>
        <v>59280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59280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38400</v>
      </c>
      <c r="F536" s="1446"/>
      <c r="G536" s="1412">
        <f>'Part IV-A-Uses of Funds'!G100</f>
        <v>38400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38400</v>
      </c>
      <c r="T536" s="1412">
        <f>'Part IV-A-Uses of Funds'!T100</f>
        <v>0</v>
      </c>
      <c r="U536" s="1330"/>
      <c r="V536" s="1418"/>
      <c r="W536" s="1203"/>
      <c r="X536" s="1203"/>
    </row>
    <row r="537" spans="1:24" ht="13.8">
      <c r="A537" s="1330"/>
      <c r="B537" s="1330" t="s">
        <v>4235</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4236</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111180</v>
      </c>
      <c r="H541" s="1412"/>
      <c r="I541" s="1330"/>
      <c r="J541" s="1347"/>
      <c r="K541" s="1347"/>
      <c r="L541" s="1347"/>
      <c r="M541" s="1347"/>
      <c r="N541" s="1347"/>
      <c r="O541" s="1330"/>
      <c r="P541" s="1347"/>
      <c r="Q541" s="1347"/>
      <c r="R541" s="1330"/>
      <c r="S541" s="1412">
        <f>SUM(S532:T540)</f>
        <v>111180</v>
      </c>
      <c r="T541" s="1412"/>
      <c r="U541" s="1330"/>
      <c r="V541" s="1418">
        <f>SUM(V532:V540)</f>
        <v>0</v>
      </c>
      <c r="W541" s="1521"/>
      <c r="X541" s="1521"/>
    </row>
    <row r="542" spans="1:24" ht="13.8">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2500</v>
      </c>
      <c r="H543" s="1412">
        <f>'Part IV-A-Uses of Funds'!H107</f>
        <v>0</v>
      </c>
      <c r="I543" s="1330"/>
      <c r="J543" s="1412"/>
      <c r="K543" s="1412"/>
      <c r="L543" s="1347"/>
      <c r="M543" s="1412"/>
      <c r="N543" s="1412"/>
      <c r="O543" s="1330"/>
      <c r="P543" s="1412"/>
      <c r="Q543" s="1412"/>
      <c r="R543" s="1330"/>
      <c r="S543" s="1412">
        <f>'Part IV-A-Uses of Funds'!S107</f>
        <v>2500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2386</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2500</v>
      </c>
      <c r="H547" s="1412"/>
      <c r="I547" s="1330"/>
      <c r="J547" s="1412"/>
      <c r="K547" s="1412"/>
      <c r="L547" s="1347"/>
      <c r="M547" s="1412"/>
      <c r="N547" s="1412"/>
      <c r="O547" s="1330"/>
      <c r="P547" s="1412"/>
      <c r="Q547" s="1412"/>
      <c r="R547" s="1330"/>
      <c r="S547" s="1412">
        <f>SUM(S543:T546)</f>
        <v>2500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1860</v>
      </c>
      <c r="C549" s="1330"/>
      <c r="D549" s="1330"/>
      <c r="E549" s="1330"/>
      <c r="F549" s="1399">
        <f>IF($G$118=0,0,G549/$G$118)</f>
        <v>0</v>
      </c>
      <c r="G549" s="1412">
        <f>'Part IV-A-Uses of Funds'!G113</f>
        <v>0</v>
      </c>
      <c r="H549" s="1412">
        <f>'Part IV-A-Uses of Funds'!H113</f>
        <v>0</v>
      </c>
      <c r="I549" s="1330"/>
      <c r="J549" s="1412">
        <f>'Part IV-A-Uses of Funds'!J113</f>
        <v>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4192</v>
      </c>
      <c r="C550" s="1330"/>
      <c r="D550" s="1330"/>
      <c r="E550" s="1330"/>
      <c r="F550" s="1819">
        <f>'Part IV-A-Uses of Funds'!F114</f>
        <v>275732</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3631</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1853</v>
      </c>
      <c r="C553" s="1330"/>
      <c r="D553" s="1330"/>
      <c r="E553" s="1330"/>
      <c r="F553" s="1399">
        <f>IF($G$118=0,0,G553/$G$118)</f>
        <v>0</v>
      </c>
      <c r="G553" s="1412">
        <f>'Part IV-A-Uses of Funds'!G117</f>
        <v>1102930</v>
      </c>
      <c r="H553" s="1412">
        <f>'Part IV-A-Uses of Funds'!H117</f>
        <v>0</v>
      </c>
      <c r="I553" s="1330"/>
      <c r="J553" s="1412">
        <f>'Part IV-A-Uses of Funds'!J117</f>
        <v>1102930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1102930</v>
      </c>
      <c r="H554" s="1412"/>
      <c r="I554" s="1330"/>
      <c r="J554" s="1412">
        <f>SUM(J549:K553)</f>
        <v>1102930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20000</v>
      </c>
      <c r="H556" s="1412">
        <f>'Part IV-A-Uses of Funds'!H120</f>
        <v>0</v>
      </c>
      <c r="I556" s="1330"/>
      <c r="J556" s="1445"/>
      <c r="K556" s="1445"/>
      <c r="L556" s="1445"/>
      <c r="M556" s="1445"/>
      <c r="N556" s="1445"/>
      <c r="O556" s="1330"/>
      <c r="P556" s="1445"/>
      <c r="Q556" s="1445"/>
      <c r="R556" s="1330"/>
      <c r="S556" s="1412">
        <f>'Part IV-A-Uses of Funds'!S120</f>
        <v>20000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54164.5</v>
      </c>
      <c r="G557" s="1412">
        <f>'Part IV-A-Uses of Funds'!G121</f>
        <v>54165</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54165</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108329</v>
      </c>
      <c r="G558" s="1412">
        <f>'Part IV-A-Uses of Funds'!G122</f>
        <v>108329</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108329</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3566</v>
      </c>
      <c r="F560" s="1419">
        <f>IF('Part VI-Revenues &amp; Expenses'!$O$67=0,0,G560/'Part VI-Revenues &amp; Expenses'!$O$67)</f>
        <v>729.16666666666663</v>
      </c>
      <c r="G560" s="1412">
        <f>'Part IV-A-Uses of Funds'!G124</f>
        <v>35000</v>
      </c>
      <c r="H560" s="1412">
        <f>'Part IV-A-Uses of Funds'!H124</f>
        <v>0</v>
      </c>
      <c r="I560" s="1330"/>
      <c r="J560" s="1412">
        <f>'Part IV-A-Uses of Funds'!J124</f>
        <v>35000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217494</v>
      </c>
      <c r="H562" s="1412"/>
      <c r="I562" s="1330"/>
      <c r="J562" s="1412">
        <f>SUM(J560:K561)</f>
        <v>35000</v>
      </c>
      <c r="K562" s="1412"/>
      <c r="L562" s="1347"/>
      <c r="M562" s="1412">
        <f>SUM(M560:N561)</f>
        <v>0</v>
      </c>
      <c r="N562" s="1412"/>
      <c r="O562" s="1330"/>
      <c r="P562" s="1412">
        <f>SUM(P560:Q561)</f>
        <v>0</v>
      </c>
      <c r="Q562" s="1412"/>
      <c r="R562" s="1330"/>
      <c r="S562" s="1412">
        <f>SUM(S556:T561)</f>
        <v>182494</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4505</v>
      </c>
      <c r="C568" s="1330"/>
      <c r="D568" s="1330"/>
      <c r="E568" s="1330"/>
      <c r="F568" s="1330"/>
      <c r="G568" s="1454">
        <f>G453+G459+G463+G469+G474+G477+G483+G500+G513+G519+G527+G541+G547+G554+G562+G566</f>
        <v>9013295</v>
      </c>
      <c r="H568" s="1454"/>
      <c r="I568" s="1330"/>
      <c r="J568" s="1454">
        <f>J453+J459+J463+J469+J474+J477+J483+J500+J513+J519+J527+J541+J547+J554+J562+J566</f>
        <v>8247121</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766174</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4506</v>
      </c>
      <c r="C570" s="1429"/>
      <c r="D570" s="1456">
        <f>IF('Part VI-Revenues &amp; Expenses'!$O$67=0,0,G568/'Part VI-Revenues &amp; Expenses'!$O$67)</f>
        <v>187776.97916666666</v>
      </c>
      <c r="E570" s="1456"/>
      <c r="F570" s="1457" t="s">
        <v>2763</v>
      </c>
      <c r="G570" s="1456">
        <f>IF('Part I-Project Information'!$P$75=0,0,G568/'Part I-Project Information'!$P$75)</f>
        <v>196.28255662020905</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8247121</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2221</v>
      </c>
      <c r="C587" s="1330"/>
      <c r="D587" s="1330"/>
      <c r="E587" s="1330"/>
      <c r="F587" s="1330"/>
      <c r="G587" s="1330"/>
      <c r="H587" s="1330"/>
      <c r="I587" s="1330"/>
      <c r="J587" s="1462">
        <f>J585-J586</f>
        <v>8247121</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&lt;&lt;Select&gt;&gt;</v>
      </c>
      <c r="I588" s="1330">
        <f>'Part IV-A-Uses of Funds'!I152</f>
        <v>0</v>
      </c>
      <c r="J588" s="1463">
        <f>'Part IV-A-Uses of Funds'!J152</f>
        <v>1</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2054</v>
      </c>
      <c r="C589" s="1330"/>
      <c r="D589" s="1330"/>
      <c r="E589" s="1330"/>
      <c r="F589" s="1330"/>
      <c r="G589" s="1330"/>
      <c r="H589" s="1330"/>
      <c r="I589" s="1330"/>
      <c r="J589" s="1462">
        <f>J587*J588</f>
        <v>8247121</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2045</v>
      </c>
      <c r="C591" s="1330"/>
      <c r="D591" s="1330"/>
      <c r="E591" s="1330"/>
      <c r="F591" s="1330"/>
      <c r="G591" s="1330"/>
      <c r="H591" s="1330"/>
      <c r="I591" s="1330"/>
      <c r="J591" s="1462">
        <f>J589*J590</f>
        <v>8247121</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2542</v>
      </c>
      <c r="C593" s="1330"/>
      <c r="D593" s="1330"/>
      <c r="E593" s="1330"/>
      <c r="F593" s="1330"/>
      <c r="G593" s="1330"/>
      <c r="H593" s="1330"/>
      <c r="I593" s="1330"/>
      <c r="J593" s="1462">
        <f>J591*J592</f>
        <v>742240.89</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742240.89</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4507</v>
      </c>
      <c r="C598" s="1330"/>
      <c r="D598" s="1330"/>
      <c r="E598" s="1330"/>
      <c r="F598" s="1330"/>
      <c r="G598" s="1424" t="str">
        <f>IF(J599&gt;J598,"TDC exceeds QAP PUCL!","")</f>
        <v/>
      </c>
      <c r="H598" s="1424"/>
      <c r="I598" s="1424"/>
      <c r="J598" s="1467">
        <f>'Part VIII-Threshold Criteria'!$P$63</f>
        <v>9016824</v>
      </c>
      <c r="K598" s="1467"/>
      <c r="L598" s="1467"/>
      <c r="M598" s="1468" t="s">
        <v>2746</v>
      </c>
      <c r="N598" s="1468"/>
      <c r="O598" s="1468"/>
      <c r="P598" s="1468"/>
      <c r="Q598" s="1468"/>
      <c r="R598" s="1468"/>
      <c r="S598" s="1468" t="s">
        <v>3672</v>
      </c>
      <c r="T598" s="1468"/>
      <c r="U598" s="1330"/>
      <c r="V598" s="1418"/>
      <c r="W598" s="1203"/>
      <c r="X598" s="1203"/>
    </row>
    <row r="599" spans="1:24" ht="13.8">
      <c r="A599" s="1330"/>
      <c r="B599" s="1330" t="s">
        <v>4508</v>
      </c>
      <c r="C599" s="1330"/>
      <c r="D599" s="1330"/>
      <c r="E599" s="1330"/>
      <c r="F599" s="1330"/>
      <c r="G599" s="1330"/>
      <c r="H599" s="1330"/>
      <c r="I599" s="1330"/>
      <c r="J599" s="1462">
        <f>'Part IV-A-Uses of Funds'!J163</f>
        <v>9013295</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110</v>
      </c>
      <c r="K600" s="1462"/>
      <c r="L600" s="1462"/>
      <c r="M600" s="1468"/>
      <c r="N600" s="1468"/>
      <c r="O600" s="1468"/>
      <c r="P600" s="1468"/>
      <c r="Q600" s="1468"/>
      <c r="R600" s="1468"/>
      <c r="S600" s="1468"/>
      <c r="T600" s="1468"/>
      <c r="U600" s="1330"/>
      <c r="V600" s="1418"/>
      <c r="W600" s="1203"/>
      <c r="X600" s="1203"/>
    </row>
    <row r="601" spans="1:24" ht="13.8">
      <c r="A601" s="1330"/>
      <c r="B601" s="1330" t="s">
        <v>2232</v>
      </c>
      <c r="C601" s="1330"/>
      <c r="D601" s="1330"/>
      <c r="E601" s="1330"/>
      <c r="F601" s="1330"/>
      <c r="G601" s="1330"/>
      <c r="H601" s="1330"/>
      <c r="I601" s="1330"/>
      <c r="J601" s="1462">
        <f>+J599-J600</f>
        <v>9013185</v>
      </c>
      <c r="K601" s="1462"/>
      <c r="L601" s="1462"/>
      <c r="M601" s="1393" t="s">
        <v>2747</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901318.5</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4509</v>
      </c>
      <c r="C604" s="1330"/>
      <c r="D604" s="1330"/>
      <c r="E604" s="1330"/>
      <c r="F604" s="1330"/>
      <c r="G604" s="1330"/>
      <c r="H604" s="1330"/>
      <c r="I604" s="1330"/>
      <c r="J604" s="1471">
        <f>N604+Q604</f>
        <v>1.2149999999999999</v>
      </c>
      <c r="K604" s="1471"/>
      <c r="L604" s="1471"/>
      <c r="M604" s="1334" t="s">
        <v>1289</v>
      </c>
      <c r="N604" s="1821">
        <f>'Part IV-A-Uses of Funds'!N168</f>
        <v>0.85</v>
      </c>
      <c r="O604" s="1821">
        <f>'Part IV-A-Uses of Funds'!O168</f>
        <v>0</v>
      </c>
      <c r="P604" s="1334" t="s">
        <v>612</v>
      </c>
      <c r="Q604" s="1821">
        <f>'Part IV-A-Uses of Funds'!Q168</f>
        <v>0.36499999999999999</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741825.92592592596</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4510</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741825.92592592596</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4511</v>
      </c>
      <c r="C609" s="1330"/>
      <c r="D609" s="1330"/>
      <c r="E609" s="1330"/>
      <c r="F609" s="1330"/>
      <c r="G609" s="1330"/>
      <c r="H609" s="1330"/>
      <c r="I609" s="1330"/>
      <c r="J609" s="1397">
        <f>'Part IV-A-Uses of Funds'!J173</f>
        <v>741000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4512</v>
      </c>
      <c r="C611" s="1330"/>
      <c r="D611" s="1336"/>
      <c r="E611" s="1336"/>
      <c r="F611" s="1337"/>
      <c r="G611" s="1330"/>
      <c r="H611" s="1330"/>
      <c r="I611" s="1330"/>
      <c r="J611" s="1397">
        <f>IF(J609="",0,+MIN(J607,J609))</f>
        <v>741000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Pleases see Tab 1 for the Local Government Fee documentation.</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6">
      <c r="A623" s="1474" t="str">
        <f>CONCATENATE("PART FOUR (b) -  OTHER COSTS","  -  ",'Part I-Project Information'!$O$6," - ",'Part I-Project Information'!$F$34,"  -  ",'Part I-Project Information'!$F$38,"  -  ",'Part I-Project Information'!$J$39,",  ","County")</f>
        <v>PART FOUR (b) -  OTHER COSTS  -  2019-060 - Dulles Park II  -  Gray  -  Jones,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3711</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4513</v>
      </c>
      <c r="B627" s="1475"/>
      <c r="C627" s="1475"/>
      <c r="D627" s="1475"/>
      <c r="E627" s="1822"/>
      <c r="F627" s="1476" t="s">
        <v>3702</v>
      </c>
      <c r="G627" s="1477"/>
      <c r="H627" s="1476" t="s">
        <v>3703</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3705</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3704</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3705</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3705</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3705</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3705</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4514</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3705</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4515</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3705</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3705</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4516</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3705</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2019-060 Dulles Park II,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South</v>
      </c>
    </row>
    <row r="714" spans="1:13">
      <c r="A714" s="1489" t="s">
        <v>3800</v>
      </c>
    </row>
    <row r="716" spans="1:13">
      <c r="A716" s="1324" t="s">
        <v>616</v>
      </c>
      <c r="B716" s="1324" t="s">
        <v>2227</v>
      </c>
      <c r="F716" s="638" t="s">
        <v>2519</v>
      </c>
      <c r="I716" s="1318" t="str">
        <f>'Part V-Utility Allowances'!I7</f>
        <v>DCA GA South</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MF</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4</v>
      </c>
      <c r="K721" s="1320">
        <f>'Part V-Utility Allowances'!K12</f>
        <v>5</v>
      </c>
      <c r="L721" s="1320">
        <f>'Part V-Utility Allowances'!L12</f>
        <v>0</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9</v>
      </c>
      <c r="L722" s="1320">
        <f>'Part V-Utility Allowances'!L13</f>
        <v>0</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13</v>
      </c>
      <c r="K723" s="1320">
        <f>'Part V-Utility Allowances'!K14</f>
        <v>18</v>
      </c>
      <c r="L723" s="1320">
        <f>'Part V-Utility Allowances'!L14</f>
        <v>0</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12</v>
      </c>
      <c r="K724" s="1320">
        <f>'Part V-Utility Allowances'!K15</f>
        <v>15</v>
      </c>
      <c r="L724" s="1320">
        <f>'Part V-Utility Allowances'!L15</f>
        <v>0</v>
      </c>
      <c r="M724" s="1320">
        <f>'Part V-Utility Allowances'!M15</f>
        <v>0</v>
      </c>
    </row>
    <row r="725" spans="1:13">
      <c r="B725" s="638" t="s">
        <v>3797</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3798</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3799</v>
      </c>
      <c r="D727" s="638" t="s">
        <v>1596</v>
      </c>
      <c r="F727" s="1827" t="str">
        <f>'Part V-Utility Allowances'!F18</f>
        <v>X</v>
      </c>
      <c r="G727" s="1827">
        <f>'Part V-Utility Allowances'!G18</f>
        <v>0</v>
      </c>
      <c r="I727" s="1320">
        <f>'Part V-Utility Allowances'!I18</f>
        <v>0</v>
      </c>
      <c r="J727" s="1320">
        <f>'Part V-Utility Allowances'!J18</f>
        <v>21</v>
      </c>
      <c r="K727" s="1320">
        <f>'Part V-Utility Allowances'!K18</f>
        <v>27</v>
      </c>
      <c r="L727" s="1320">
        <f>'Part V-Utility Allowances'!L18</f>
        <v>0</v>
      </c>
      <c r="M727" s="1320">
        <f>'Part V-Utility Allowances'!M18</f>
        <v>0</v>
      </c>
    </row>
    <row r="728" spans="1:13">
      <c r="B728" s="638" t="s">
        <v>1370</v>
      </c>
      <c r="D728" s="638" t="s">
        <v>4517</v>
      </c>
      <c r="E728" s="1320" t="str">
        <f>'Part V-Utility Allowances'!E19</f>
        <v>Yes</v>
      </c>
      <c r="F728" s="1827" t="str">
        <f>'Part V-Utility Allowances'!F19</f>
        <v>X</v>
      </c>
      <c r="G728" s="1827">
        <f>'Part V-Utility Allowances'!G19</f>
        <v>0</v>
      </c>
      <c r="I728" s="1320">
        <f>'Part V-Utility Allowances'!I19</f>
        <v>0</v>
      </c>
      <c r="J728" s="1320">
        <f>'Part V-Utility Allowances'!J19</f>
        <v>39</v>
      </c>
      <c r="K728" s="1320">
        <f>'Part V-Utility Allowances'!K19</f>
        <v>48</v>
      </c>
      <c r="L728" s="1320">
        <f>'Part V-Utility Allowances'!L19</f>
        <v>0</v>
      </c>
      <c r="M728" s="1320">
        <f>'Part V-Utility Allowances'!M19</f>
        <v>0</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96</v>
      </c>
      <c r="K730" s="1322">
        <f>IF(SUM(K721:K729)=0,0,IF(OR($D721="&lt;&lt;Select Fuel &gt;&gt;",$D722="&lt;&lt;Select Fuel &gt;&gt;",$D723="&lt;&lt;Select Fuel &gt;&gt;"),"Select Fuel",IF($E728="&lt;Select&gt;","Submeter?",SUM(K721:K729))))</f>
        <v>122</v>
      </c>
      <c r="L730" s="1322">
        <f>IF(SUM(L721:L729)=0,0,IF(OR($D721="&lt;&lt;Select Fuel &gt;&gt;",$D722="&lt;&lt;Select Fuel &gt;&gt;",$D723="&lt;&lt;Select Fuel &gt;&gt;"),"Select Fuel",IF($E728="&lt;Select&gt;","Submeter?",SUM(L721:L729))))</f>
        <v>0</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3797</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3798</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3799</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4517</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4518</v>
      </c>
      <c r="F748" s="1320"/>
      <c r="G748" s="1320"/>
      <c r="I748" s="1322"/>
      <c r="J748" s="1322"/>
      <c r="K748" s="1322"/>
      <c r="L748" s="1322"/>
      <c r="M748" s="1322"/>
    </row>
    <row r="749" spans="1:13">
      <c r="A749" s="1324"/>
      <c r="B749" s="1324" t="s">
        <v>572</v>
      </c>
    </row>
    <row r="750" spans="1:13" ht="79.8">
      <c r="B750" s="1203" t="str">
        <f>'Part V-Utility Allowances'!B43</f>
        <v>Applicant used GA DCA Souther Region UA's for Row House</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5" customHeight="1">
      <c r="A758" s="1312" t="str">
        <f>CONCATENATE("PART SIX - PROJECTED REVENUES &amp; EXPENSES","  -  ",'Part I-Project Information'!$O$6," ",'Part I-Project Information'!$F$34,", ",'Part I-Project Information'!F802,", ",'Part I-Project Information'!J803," County")</f>
        <v>PART SIX - PROJECTED REVENUES &amp; EXPENSES  -  2019-060 Dulles Park II,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2019-060 Dulles Park II,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3569</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3423</v>
      </c>
      <c r="JD760" s="1318" t="s">
        <v>3424</v>
      </c>
      <c r="JE760" s="1318" t="s">
        <v>3425</v>
      </c>
      <c r="JF760" s="1318" t="s">
        <v>3426</v>
      </c>
      <c r="JG760" s="1318" t="s">
        <v>3427</v>
      </c>
    </row>
    <row r="761" spans="1:277" s="1314" customFormat="1" ht="3" customHeight="1">
      <c r="B761" s="1312"/>
      <c r="D761" s="1312"/>
      <c r="P761" s="1491" t="s">
        <v>4519</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2" customHeight="1">
      <c r="A762" s="1494" t="str">
        <f>IF(A805&gt;0,"Finish Row!","")</f>
        <v/>
      </c>
      <c r="B762" s="1312" t="s">
        <v>1846</v>
      </c>
      <c r="E762" s="1312"/>
      <c r="G762" s="1313" t="str">
        <f>'Part VI-Revenues &amp; Expenses'!G5</f>
        <v>&lt;Select&gt;</v>
      </c>
      <c r="H762" s="1312"/>
      <c r="I762" s="1495" t="s">
        <v>798</v>
      </c>
      <c r="J762" s="1495" t="s">
        <v>3564</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3418</v>
      </c>
      <c r="JI762" s="1319" t="s">
        <v>3419</v>
      </c>
      <c r="JJ762" s="1319" t="s">
        <v>3420</v>
      </c>
      <c r="JK762" s="1319" t="s">
        <v>3421</v>
      </c>
      <c r="JL762" s="1319" t="s">
        <v>3422</v>
      </c>
      <c r="JM762" s="1318" t="s">
        <v>3432</v>
      </c>
      <c r="JN762" s="1318" t="s">
        <v>3434</v>
      </c>
      <c r="JO762" s="1318" t="s">
        <v>3435</v>
      </c>
      <c r="JP762" s="1318" t="s">
        <v>3436</v>
      </c>
      <c r="JQ762" s="1318" t="s">
        <v>3437</v>
      </c>
    </row>
    <row r="763" spans="1:277" s="1314" customFormat="1" ht="13.2" customHeight="1">
      <c r="A763" s="1494"/>
      <c r="B763" s="1497" t="s">
        <v>1805</v>
      </c>
      <c r="E763" s="1312"/>
      <c r="F763" s="1320" t="str">
        <f>'Part VI-Revenues &amp; Expenses'!F6</f>
        <v>No</v>
      </c>
      <c r="G763" s="1495" t="s">
        <v>3662</v>
      </c>
      <c r="H763" s="1491" t="s">
        <v>3884</v>
      </c>
      <c r="I763" s="1495" t="s">
        <v>799</v>
      </c>
      <c r="J763" s="1495" t="s">
        <v>3665</v>
      </c>
      <c r="K763" s="1319"/>
      <c r="L763" s="1319"/>
      <c r="M763" s="1498" t="str">
        <f>'Part I-Project Information'!$O$40</f>
        <v>Macon</v>
      </c>
      <c r="N763" s="1498"/>
      <c r="O763" s="1499">
        <f>VLOOKUP('Part I-Project Information'!$O$40,'DCA Underwriting Assumptions'!$C$158:$D$268,2)</f>
        <v>53600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3663</v>
      </c>
      <c r="H764" s="1491"/>
      <c r="I764" s="1468" t="s">
        <v>3845</v>
      </c>
      <c r="J764" s="1495" t="s">
        <v>3666</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3663</v>
      </c>
      <c r="I765" s="1468"/>
      <c r="J765" s="1495" t="s">
        <v>4520</v>
      </c>
      <c r="K765" s="1503" t="s">
        <v>145</v>
      </c>
      <c r="L765" s="1503"/>
      <c r="M765" s="1495" t="s">
        <v>2367</v>
      </c>
      <c r="N765" s="1495" t="s">
        <v>532</v>
      </c>
      <c r="O765" s="1495" t="s">
        <v>383</v>
      </c>
      <c r="P765" s="1491"/>
      <c r="Q765" s="1503" t="s">
        <v>3573</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3366</v>
      </c>
      <c r="FH765" s="1318" t="s">
        <v>3366</v>
      </c>
      <c r="FI765" s="1318" t="s">
        <v>3366</v>
      </c>
      <c r="FJ765" s="1318" t="s">
        <v>3366</v>
      </c>
      <c r="FK765" s="1318" t="s">
        <v>3366</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3362</v>
      </c>
      <c r="GB765" s="1318" t="s">
        <v>3362</v>
      </c>
      <c r="GC765" s="1318" t="s">
        <v>3362</v>
      </c>
      <c r="GD765" s="1318" t="s">
        <v>3362</v>
      </c>
      <c r="GE765" s="1318" t="s">
        <v>3362</v>
      </c>
      <c r="GF765" s="1318" t="s">
        <v>358</v>
      </c>
      <c r="GG765" s="1318" t="s">
        <v>358</v>
      </c>
      <c r="GH765" s="1318" t="s">
        <v>358</v>
      </c>
      <c r="GI765" s="1318" t="s">
        <v>358</v>
      </c>
      <c r="GJ765" s="1318" t="s">
        <v>358</v>
      </c>
      <c r="GK765" s="1318" t="s">
        <v>3361</v>
      </c>
      <c r="GL765" s="1318" t="s">
        <v>3361</v>
      </c>
      <c r="GM765" s="1318" t="s">
        <v>3361</v>
      </c>
      <c r="GN765" s="1318" t="s">
        <v>3361</v>
      </c>
      <c r="GO765" s="1318" t="s">
        <v>3361</v>
      </c>
      <c r="GP765" s="1318" t="s">
        <v>359</v>
      </c>
      <c r="GQ765" s="1318" t="s">
        <v>359</v>
      </c>
      <c r="GR765" s="1318" t="s">
        <v>359</v>
      </c>
      <c r="GS765" s="1318" t="s">
        <v>359</v>
      </c>
      <c r="GT765" s="1318" t="s">
        <v>359</v>
      </c>
      <c r="GU765" s="1318" t="s">
        <v>3360</v>
      </c>
      <c r="GV765" s="1318" t="s">
        <v>3360</v>
      </c>
      <c r="GW765" s="1318" t="s">
        <v>3360</v>
      </c>
      <c r="GX765" s="1318" t="s">
        <v>3360</v>
      </c>
      <c r="GY765" s="1318" t="s">
        <v>3360</v>
      </c>
      <c r="GZ765" s="1318" t="s">
        <v>360</v>
      </c>
      <c r="HA765" s="1318" t="s">
        <v>360</v>
      </c>
      <c r="HB765" s="1318" t="s">
        <v>360</v>
      </c>
      <c r="HC765" s="1318" t="s">
        <v>360</v>
      </c>
      <c r="HD765" s="1318" t="s">
        <v>360</v>
      </c>
      <c r="HE765" s="1318" t="s">
        <v>3363</v>
      </c>
      <c r="HF765" s="1318" t="s">
        <v>3363</v>
      </c>
      <c r="HG765" s="1318" t="s">
        <v>3363</v>
      </c>
      <c r="HH765" s="1318" t="s">
        <v>3363</v>
      </c>
      <c r="HI765" s="1318" t="s">
        <v>3363</v>
      </c>
      <c r="HJ765" s="1318" t="s">
        <v>361</v>
      </c>
      <c r="HK765" s="1318" t="s">
        <v>361</v>
      </c>
      <c r="HL765" s="1318" t="s">
        <v>361</v>
      </c>
      <c r="HM765" s="1318" t="s">
        <v>361</v>
      </c>
      <c r="HN765" s="1318" t="s">
        <v>361</v>
      </c>
      <c r="HO765" s="1318" t="s">
        <v>3364</v>
      </c>
      <c r="HP765" s="1318" t="s">
        <v>3364</v>
      </c>
      <c r="HQ765" s="1318" t="s">
        <v>3364</v>
      </c>
      <c r="HR765" s="1318" t="s">
        <v>3364</v>
      </c>
      <c r="HS765" s="1318" t="s">
        <v>3364</v>
      </c>
      <c r="HT765" s="1318" t="s">
        <v>1461</v>
      </c>
      <c r="HU765" s="1318" t="s">
        <v>1461</v>
      </c>
      <c r="HV765" s="1318" t="s">
        <v>1461</v>
      </c>
      <c r="HW765" s="1318" t="s">
        <v>1461</v>
      </c>
      <c r="HX765" s="1318" t="s">
        <v>1461</v>
      </c>
      <c r="HY765" s="1318" t="s">
        <v>3365</v>
      </c>
      <c r="HZ765" s="1318" t="s">
        <v>3365</v>
      </c>
      <c r="IA765" s="1318" t="s">
        <v>3365</v>
      </c>
      <c r="IB765" s="1318" t="s">
        <v>3365</v>
      </c>
      <c r="IC765" s="1318" t="s">
        <v>3365</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3664</v>
      </c>
      <c r="H766" s="1495" t="s">
        <v>1478</v>
      </c>
      <c r="I766" s="1468"/>
      <c r="J766" s="1504" t="s">
        <v>350</v>
      </c>
      <c r="K766" s="1495" t="s">
        <v>1530</v>
      </c>
      <c r="L766" s="1495" t="s">
        <v>539</v>
      </c>
      <c r="M766" s="1495" t="s">
        <v>1476</v>
      </c>
      <c r="N766" s="1495" t="s">
        <v>3315</v>
      </c>
      <c r="O766" s="1495" t="s">
        <v>384</v>
      </c>
      <c r="P766" s="1491"/>
      <c r="Q766" s="1495" t="s">
        <v>3574</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3367</v>
      </c>
      <c r="FR766" s="1320" t="s">
        <v>3367</v>
      </c>
      <c r="FS766" s="1320" t="s">
        <v>3367</v>
      </c>
      <c r="FT766" s="1320" t="s">
        <v>3367</v>
      </c>
      <c r="FU766" s="1320" t="s">
        <v>3367</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2</v>
      </c>
      <c r="F774" s="1831">
        <f>'Part VI-Revenues &amp; Expenses'!F17</f>
        <v>740</v>
      </c>
      <c r="G774" s="1831">
        <f>'Part VI-Revenues &amp; Expenses'!G17</f>
        <v>547</v>
      </c>
      <c r="H774" s="1831">
        <f>'Part VI-Revenues &amp; Expenses'!H17</f>
        <v>488</v>
      </c>
      <c r="I774" s="1831">
        <f>'Part VI-Revenues &amp; Expenses'!I17</f>
        <v>96</v>
      </c>
      <c r="J774" s="1832">
        <f>'Part VI-Revenues &amp; Expenses'!J17</f>
        <v>0</v>
      </c>
      <c r="K774" s="1505">
        <f t="shared" si="1"/>
        <v>392</v>
      </c>
      <c r="L774" s="1505">
        <f t="shared" si="2"/>
        <v>784</v>
      </c>
      <c r="M774" s="1816" t="str">
        <f>'Part VI-Revenues &amp; Expenses'!M17</f>
        <v>No</v>
      </c>
      <c r="N774" s="1816" t="str">
        <f>'Part VI-Revenues &amp; Expenses'!N17</f>
        <v>1-Story</v>
      </c>
      <c r="O774" s="1816" t="str">
        <f>'Part VI-Revenues &amp; Expenses'!O17</f>
        <v>New Construction</v>
      </c>
      <c r="P774" s="1316" t="str">
        <f>'Part VI-Revenues &amp; Expenses'!P17</f>
        <v>No</v>
      </c>
      <c r="Q774" s="1506">
        <f>'Part VI-Revenues &amp; Expenses'!Q17</f>
        <v>19520</v>
      </c>
      <c r="R774" s="1507">
        <f>'Part VI-Revenues &amp; Expenses'!R17</f>
        <v>0.48557213930348259</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2</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f t="shared" si="179"/>
        <v>2</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2</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2</v>
      </c>
      <c r="E775" s="1831">
        <f>'Part VI-Revenues &amp; Expenses'!E18</f>
        <v>14</v>
      </c>
      <c r="F775" s="1831">
        <f>'Part VI-Revenues &amp; Expenses'!F18</f>
        <v>950</v>
      </c>
      <c r="G775" s="1831">
        <f>'Part VI-Revenues &amp; Expenses'!G18</f>
        <v>657</v>
      </c>
      <c r="H775" s="1831">
        <f>'Part VI-Revenues &amp; Expenses'!H18</f>
        <v>588</v>
      </c>
      <c r="I775" s="1831">
        <f>'Part VI-Revenues &amp; Expenses'!I18</f>
        <v>122</v>
      </c>
      <c r="J775" s="1832">
        <f>'Part VI-Revenues &amp; Expenses'!J18</f>
        <v>0</v>
      </c>
      <c r="K775" s="1505">
        <f t="shared" si="1"/>
        <v>466</v>
      </c>
      <c r="L775" s="1505">
        <f t="shared" si="2"/>
        <v>6524</v>
      </c>
      <c r="M775" s="1816" t="str">
        <f>'Part VI-Revenues &amp; Expenses'!M18</f>
        <v>No</v>
      </c>
      <c r="N775" s="1816" t="str">
        <f>'Part VI-Revenues &amp; Expenses'!N18</f>
        <v>1-Story</v>
      </c>
      <c r="O775" s="1816" t="str">
        <f>'Part VI-Revenues &amp; Expenses'!O18</f>
        <v>New Construction</v>
      </c>
      <c r="P775" s="1316" t="str">
        <f>'Part VI-Revenues &amp; Expenses'!P18</f>
        <v>No</v>
      </c>
      <c r="Q775" s="1506">
        <f>'Part VI-Revenues &amp; Expenses'!Q18</f>
        <v>23520</v>
      </c>
      <c r="R775" s="1507">
        <f>'Part VI-Revenues &amp; Expenses'!R18</f>
        <v>0.48756218905472637</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14</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14</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f t="shared" si="180"/>
        <v>14</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14</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60</v>
      </c>
      <c r="C776" s="1829">
        <f>'Part VI-Revenues &amp; Expenses'!C19</f>
        <v>1</v>
      </c>
      <c r="D776" s="1830">
        <f>'Part VI-Revenues &amp; Expenses'!D19</f>
        <v>1</v>
      </c>
      <c r="E776" s="1831">
        <f>'Part VI-Revenues &amp; Expenses'!E19</f>
        <v>6</v>
      </c>
      <c r="F776" s="1831">
        <f>'Part VI-Revenues &amp; Expenses'!F19</f>
        <v>740</v>
      </c>
      <c r="G776" s="1831">
        <f>'Part VI-Revenues &amp; Expenses'!G19</f>
        <v>657</v>
      </c>
      <c r="H776" s="1831">
        <f>'Part VI-Revenues &amp; Expenses'!H19</f>
        <v>588</v>
      </c>
      <c r="I776" s="1831">
        <f>'Part VI-Revenues &amp; Expenses'!I19</f>
        <v>96</v>
      </c>
      <c r="J776" s="1832">
        <f>'Part VI-Revenues &amp; Expenses'!J19</f>
        <v>0</v>
      </c>
      <c r="K776" s="1505">
        <f t="shared" si="1"/>
        <v>492</v>
      </c>
      <c r="L776" s="1505">
        <f t="shared" si="2"/>
        <v>2952</v>
      </c>
      <c r="M776" s="1816" t="str">
        <f>'Part VI-Revenues &amp; Expenses'!M19</f>
        <v>No</v>
      </c>
      <c r="N776" s="1816" t="str">
        <f>'Part VI-Revenues &amp; Expenses'!N19</f>
        <v>1-Story</v>
      </c>
      <c r="O776" s="1816" t="str">
        <f>'Part VI-Revenues &amp; Expenses'!O19</f>
        <v>New Construction</v>
      </c>
      <c r="P776" s="1316" t="str">
        <f>'Part VI-Revenues &amp; Expenses'!P19</f>
        <v>No</v>
      </c>
      <c r="Q776" s="1506">
        <f>'Part VI-Revenues &amp; Expenses'!Q19</f>
        <v>23520</v>
      </c>
      <c r="R776" s="1507">
        <f>'Part VI-Revenues &amp; Expenses'!R19</f>
        <v>0.58507462686567169</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f t="shared" si="89"/>
        <v>6</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f t="shared" si="134"/>
        <v>6</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f t="shared" si="179"/>
        <v>6</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6</v>
      </c>
      <c r="JJ776" s="1320">
        <f t="shared" si="250"/>
        <v>0</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2</v>
      </c>
      <c r="D777" s="1830">
        <f>'Part VI-Revenues &amp; Expenses'!D20</f>
        <v>2</v>
      </c>
      <c r="E777" s="1831">
        <f>'Part VI-Revenues &amp; Expenses'!E20</f>
        <v>26</v>
      </c>
      <c r="F777" s="1831">
        <f>'Part VI-Revenues &amp; Expenses'!F20</f>
        <v>950</v>
      </c>
      <c r="G777" s="1831">
        <f>'Part VI-Revenues &amp; Expenses'!G20</f>
        <v>789</v>
      </c>
      <c r="H777" s="1831">
        <f>'Part VI-Revenues &amp; Expenses'!H20</f>
        <v>704</v>
      </c>
      <c r="I777" s="1831">
        <f>'Part VI-Revenues &amp; Expenses'!I20</f>
        <v>122</v>
      </c>
      <c r="J777" s="1832">
        <f>'Part VI-Revenues &amp; Expenses'!J20</f>
        <v>0</v>
      </c>
      <c r="K777" s="1505">
        <f t="shared" si="1"/>
        <v>582</v>
      </c>
      <c r="L777" s="1505">
        <f t="shared" si="2"/>
        <v>15132</v>
      </c>
      <c r="M777" s="1816" t="str">
        <f>'Part VI-Revenues &amp; Expenses'!M20</f>
        <v>No</v>
      </c>
      <c r="N777" s="1816" t="str">
        <f>'Part VI-Revenues &amp; Expenses'!N20</f>
        <v>1-Story</v>
      </c>
      <c r="O777" s="1816" t="str">
        <f>'Part VI-Revenues &amp; Expenses'!O20</f>
        <v>New Construction</v>
      </c>
      <c r="P777" s="1316" t="str">
        <f>'Part VI-Revenues &amp; Expenses'!P20</f>
        <v>No</v>
      </c>
      <c r="Q777" s="1506">
        <f>'Part VI-Revenues &amp; Expenses'!Q20</f>
        <v>28160</v>
      </c>
      <c r="R777" s="1507">
        <f>'Part VI-Revenues &amp; Expenses'!R20</f>
        <v>0.58374792703150913</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26</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f t="shared" si="135"/>
        <v>26</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f t="shared" si="180"/>
        <v>26</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0</v>
      </c>
      <c r="JJ777" s="1320">
        <f t="shared" si="250"/>
        <v>26</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0</v>
      </c>
      <c r="D778" s="1830">
        <f>'Part VI-Revenues &amp; Expenses'!D21</f>
        <v>0</v>
      </c>
      <c r="E778" s="1831">
        <f>'Part VI-Revenues &amp; Expenses'!E21</f>
        <v>0</v>
      </c>
      <c r="F778" s="1831">
        <f>'Part VI-Revenues &amp; Expenses'!F21</f>
        <v>0</v>
      </c>
      <c r="G778" s="1831">
        <f>'Part VI-Revenues &amp; Expenses'!G21</f>
        <v>0</v>
      </c>
      <c r="H778" s="1831">
        <f>'Part VI-Revenues &amp; Expenses'!H21</f>
        <v>0</v>
      </c>
      <c r="I778" s="1831">
        <f>'Part VI-Revenues &amp; Expenses'!I21</f>
        <v>0</v>
      </c>
      <c r="J778" s="1832">
        <f>'Part VI-Revenues &amp; Expenses'!J21</f>
        <v>0</v>
      </c>
      <c r="K778" s="1505">
        <f t="shared" si="1"/>
        <v>0</v>
      </c>
      <c r="L778" s="1505">
        <f t="shared" si="2"/>
        <v>0</v>
      </c>
      <c r="M778" s="1816">
        <f>'Part VI-Revenues &amp; Expenses'!M21</f>
        <v>0</v>
      </c>
      <c r="N778" s="1816">
        <f>'Part VI-Revenues &amp; Expenses'!N21</f>
        <v>0</v>
      </c>
      <c r="O778" s="1816">
        <f>'Part VI-Revenues &amp; Expenses'!O21</f>
        <v>0</v>
      </c>
      <c r="P778" s="1316">
        <f>'Part VI-Revenues &amp; Expenses'!P21</f>
        <v>0</v>
      </c>
      <c r="Q778" s="1506" t="str">
        <f>'Part VI-Revenues &amp; Expenses'!Q21</f>
        <v/>
      </c>
      <c r="R778" s="1507" t="str">
        <f>'Part VI-Revenues &amp; Expenses'!R21</f>
        <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0</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0</v>
      </c>
      <c r="D779" s="1830">
        <f>'Part VI-Revenues &amp; Expenses'!D22</f>
        <v>0</v>
      </c>
      <c r="E779" s="1831">
        <f>'Part VI-Revenues &amp; Expenses'!E22</f>
        <v>0</v>
      </c>
      <c r="F779" s="1831">
        <f>'Part VI-Revenues &amp; Expenses'!F22</f>
        <v>0</v>
      </c>
      <c r="G779" s="1831">
        <f>'Part VI-Revenues &amp; Expenses'!G22</f>
        <v>0</v>
      </c>
      <c r="H779" s="1831">
        <f>'Part VI-Revenues &amp; Expenses'!H22</f>
        <v>0</v>
      </c>
      <c r="I779" s="1831">
        <f>'Part VI-Revenues &amp; Expenses'!I22</f>
        <v>0</v>
      </c>
      <c r="J779" s="1832">
        <f>'Part VI-Revenues &amp; Expenses'!J22</f>
        <v>0</v>
      </c>
      <c r="K779" s="1505">
        <f t="shared" si="1"/>
        <v>0</v>
      </c>
      <c r="L779" s="1505">
        <f t="shared" si="2"/>
        <v>0</v>
      </c>
      <c r="M779" s="1816">
        <f>'Part VI-Revenues &amp; Expenses'!M22</f>
        <v>0</v>
      </c>
      <c r="N779" s="1816">
        <f>'Part VI-Revenues &amp; Expenses'!N22</f>
        <v>0</v>
      </c>
      <c r="O779" s="1816">
        <f>'Part VI-Revenues &amp; Expenses'!O22</f>
        <v>0</v>
      </c>
      <c r="P779" s="1316">
        <f>'Part VI-Revenues &amp; Expenses'!P22</f>
        <v>0</v>
      </c>
      <c r="Q779" s="1506" t="str">
        <f>'Part VI-Revenues &amp; Expenses'!Q22</f>
        <v/>
      </c>
      <c r="R779" s="1507" t="str">
        <f>'Part VI-Revenues &amp; Expenses'!R22</f>
        <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80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80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48</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43920</v>
      </c>
      <c r="G805" s="458"/>
      <c r="H805" s="458"/>
      <c r="I805" s="458"/>
      <c r="J805" s="458"/>
      <c r="K805" s="1511" t="s">
        <v>1302</v>
      </c>
      <c r="L805" s="1509">
        <f>SUM(L767:L804)</f>
        <v>25392</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8</v>
      </c>
      <c r="DF805" s="1323">
        <f t="shared" si="259"/>
        <v>40</v>
      </c>
      <c r="DG805" s="1323">
        <f t="shared" si="259"/>
        <v>0</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8</v>
      </c>
      <c r="EY805" s="1323">
        <f t="shared" si="260"/>
        <v>40</v>
      </c>
      <c r="EZ805" s="1323">
        <f t="shared" si="260"/>
        <v>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8</v>
      </c>
      <c r="GR805" s="1323">
        <f t="shared" si="260"/>
        <v>40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8</v>
      </c>
      <c r="JJ805" s="1323">
        <f t="shared" si="261"/>
        <v>40</v>
      </c>
      <c r="JK805" s="1323">
        <f t="shared" si="261"/>
        <v>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304704</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4521</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7"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7"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3667</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3668</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8</v>
      </c>
      <c r="L829" s="1516">
        <f>DF805</f>
        <v>40</v>
      </c>
      <c r="M829" s="1516">
        <f>DG805</f>
        <v>0</v>
      </c>
      <c r="N829" s="1516">
        <f>DH805</f>
        <v>0</v>
      </c>
      <c r="O829" s="1516">
        <f t="shared" ref="O829:O839" si="263">SUM(J829:N829)</f>
        <v>48</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8</v>
      </c>
      <c r="L831" s="1516">
        <f>SUM(L829:L830)+DP805</f>
        <v>40</v>
      </c>
      <c r="M831" s="1516">
        <f>SUM(M829:M830)+DQ805</f>
        <v>0</v>
      </c>
      <c r="N831" s="1516">
        <f>SUM(N829:N830)+DR805</f>
        <v>0</v>
      </c>
      <c r="O831" s="1516">
        <f t="shared" si="263"/>
        <v>48</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4522</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3357</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4523</v>
      </c>
      <c r="D843" s="1521"/>
      <c r="E843" s="1317" t="s">
        <v>39</v>
      </c>
      <c r="F843" s="1314"/>
      <c r="G843" s="1335"/>
      <c r="J843" s="1516">
        <f t="shared" ref="J843:O843" si="264">SUM(J844:J851)</f>
        <v>0</v>
      </c>
      <c r="K843" s="1516">
        <f t="shared" si="264"/>
        <v>8</v>
      </c>
      <c r="L843" s="1516">
        <f t="shared" si="264"/>
        <v>40</v>
      </c>
      <c r="M843" s="1516">
        <f t="shared" si="264"/>
        <v>0</v>
      </c>
      <c r="N843" s="1516">
        <f t="shared" si="264"/>
        <v>0</v>
      </c>
      <c r="O843" s="1516">
        <f t="shared" si="264"/>
        <v>48</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8</v>
      </c>
      <c r="L844" s="1516">
        <f>GR805</f>
        <v>40</v>
      </c>
      <c r="M844" s="1516">
        <f>GS805</f>
        <v>0</v>
      </c>
      <c r="N844" s="1516">
        <f>GT805</f>
        <v>0</v>
      </c>
      <c r="O844" s="1516">
        <f t="shared" ref="O844:O859" si="265">SUM(J844:N844)</f>
        <v>48</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3357</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3357</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3357</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3357</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3357</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3357</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3357</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3357</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4524</v>
      </c>
      <c r="D861" s="1521"/>
      <c r="E861" s="1317" t="s">
        <v>3352</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3357</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3353</v>
      </c>
      <c r="F863" s="1335"/>
      <c r="H863" s="1335"/>
      <c r="J863" s="1516">
        <f>J844+J854</f>
        <v>0</v>
      </c>
      <c r="K863" s="1516">
        <f t="shared" ref="K863:N864" si="268">K844+K854</f>
        <v>8</v>
      </c>
      <c r="L863" s="1516">
        <f t="shared" si="268"/>
        <v>40</v>
      </c>
      <c r="M863" s="1516">
        <f t="shared" si="268"/>
        <v>0</v>
      </c>
      <c r="N863" s="1516">
        <f t="shared" si="268"/>
        <v>0</v>
      </c>
      <c r="O863" s="1516">
        <f t="shared" si="267"/>
        <v>48</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3357</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3354</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3357</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3355</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3357</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5" customHeight="1">
      <c r="A877" s="1324" t="s">
        <v>742</v>
      </c>
      <c r="B877" s="1324" t="s">
        <v>4525</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6094.08</v>
      </c>
      <c r="I879" s="1834">
        <f>'Part VI-Revenues &amp; Expenses'!I173</f>
        <v>0</v>
      </c>
      <c r="J879" s="1204"/>
      <c r="K879" s="1532" t="s">
        <v>4526</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4527</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4528</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4527</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4528</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4527</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4528</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4527</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4528</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2"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25688</v>
      </c>
      <c r="G921" s="1530">
        <f>'Part VI-Revenues &amp; Expenses'!G215</f>
        <v>0</v>
      </c>
      <c r="I921" s="1314" t="s">
        <v>1378</v>
      </c>
      <c r="K921" s="1530">
        <f>'Part VI-Revenues &amp; Expenses'!K215</f>
        <v>0</v>
      </c>
      <c r="L921" s="1530">
        <f>'Part VI-Revenues &amp; Expenses'!L215</f>
        <v>0</v>
      </c>
      <c r="N921" s="1314" t="s">
        <v>929</v>
      </c>
      <c r="P921" s="1545">
        <f>'Part VI-Revenues &amp; Expenses'!P215</f>
        <v>37695</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23442</v>
      </c>
      <c r="G922" s="1530">
        <f>'Part VI-Revenues &amp; Expenses'!G216</f>
        <v>0</v>
      </c>
      <c r="I922" s="1314" t="s">
        <v>1379</v>
      </c>
      <c r="K922" s="1530">
        <f>'Part VI-Revenues &amp; Expenses'!K216</f>
        <v>600</v>
      </c>
      <c r="L922" s="1530">
        <f>'Part VI-Revenues &amp; Expenses'!L216</f>
        <v>0</v>
      </c>
      <c r="N922" s="1314" t="s">
        <v>147</v>
      </c>
      <c r="P922" s="1545">
        <f>'Part VI-Revenues &amp; Expenses'!P216</f>
        <v>13708</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0</v>
      </c>
      <c r="G923" s="1530">
        <f>'Part VI-Revenues &amp; Expenses'!G217</f>
        <v>0</v>
      </c>
      <c r="J923" s="1544" t="s">
        <v>191</v>
      </c>
      <c r="K923" s="1530">
        <f>SUM(K921:L922)</f>
        <v>600</v>
      </c>
      <c r="L923" s="1530"/>
      <c r="N923" s="1837" t="str">
        <f>'Part VI-Revenues &amp; Expenses'!N217</f>
        <v>Personal Property Taxes</v>
      </c>
      <c r="O923" s="1837">
        <f>'Part VI-Revenues &amp; Expenses'!O217</f>
        <v>0</v>
      </c>
      <c r="P923" s="1545">
        <f>'Part VI-Revenues &amp; Expenses'!P217</f>
        <v>500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Enriched Property Services</v>
      </c>
      <c r="C924" s="457">
        <f>'Part VI-Revenues &amp; Expenses'!C218</f>
        <v>0</v>
      </c>
      <c r="D924" s="457">
        <f>'Part VI-Revenues &amp; Expenses'!D218</f>
        <v>0</v>
      </c>
      <c r="E924" s="457">
        <f>'Part VI-Revenues &amp; Expenses'!E218</f>
        <v>0</v>
      </c>
      <c r="F924" s="1530">
        <f>'Part VI-Revenues &amp; Expenses'!F218</f>
        <v>10000</v>
      </c>
      <c r="G924" s="1530">
        <f>'Part VI-Revenues &amp; Expenses'!G218</f>
        <v>0</v>
      </c>
      <c r="N924" s="1544" t="s">
        <v>191</v>
      </c>
      <c r="P924" s="1545">
        <f>SUM(P921:P923)</f>
        <v>51903</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59130</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2" customHeight="1">
      <c r="B927" s="1312" t="s">
        <v>1291</v>
      </c>
      <c r="D927" s="1546"/>
      <c r="I927" s="1312" t="s">
        <v>1292</v>
      </c>
      <c r="N927" s="1312" t="s">
        <v>1380</v>
      </c>
      <c r="P927" s="1547">
        <f>IF(OR('Part VII-Pro Forma'!$B$21 = "Choose Mgt Fee",'Part VII-Pro Forma'!$B$21 = "Choose One!"), 0,- 'Part VII-Pro Forma'!$B$21)</f>
        <v>23040</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1875</v>
      </c>
      <c r="G928" s="1530">
        <f>'Part VI-Revenues &amp; Expenses'!G222</f>
        <v>0</v>
      </c>
      <c r="I928" s="1314" t="s">
        <v>1602</v>
      </c>
      <c r="K928" s="1545">
        <f>'Part VI-Revenues &amp; Expenses'!K222</f>
        <v>1200</v>
      </c>
      <c r="L928" s="1545">
        <f>'Part VI-Revenues &amp; Expenses'!L222</f>
        <v>0</v>
      </c>
      <c r="N928" s="1548" t="e">
        <f>+P927/(O819*0.93)</f>
        <v>#DIV/0!</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4000</v>
      </c>
      <c r="G929" s="1530">
        <f>'Part VI-Revenues &amp; Expenses'!G223</f>
        <v>0</v>
      </c>
      <c r="I929" s="1314" t="s">
        <v>2049</v>
      </c>
      <c r="K929" s="1545">
        <f>'Part VI-Revenues &amp; Expenses'!K223</f>
        <v>7000</v>
      </c>
      <c r="L929" s="1545">
        <f>'Part VI-Revenues &amp; Expenses'!L223</f>
        <v>0</v>
      </c>
      <c r="N929" s="1548" t="e">
        <f>+P927/(O819*0.93)/12</f>
        <v>#DIV/0!</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0</v>
      </c>
      <c r="G930" s="1530">
        <f>'Part VI-Revenues &amp; Expenses'!G224</f>
        <v>0</v>
      </c>
      <c r="I930" s="1314" t="s">
        <v>1603</v>
      </c>
      <c r="K930" s="1545">
        <f>'Part VI-Revenues &amp; Expenses'!K224</f>
        <v>1500</v>
      </c>
      <c r="L930" s="1545">
        <f>'Part VI-Revenues &amp; Expenses'!L224</f>
        <v>0</v>
      </c>
      <c r="N930" s="457" t="s">
        <v>3726</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0</v>
      </c>
      <c r="G932" s="1530">
        <f>'Part VI-Revenues &amp; Expenses'!G226</f>
        <v>0</v>
      </c>
      <c r="I932" s="1312"/>
      <c r="J932" s="1544" t="s">
        <v>191</v>
      </c>
      <c r="K932" s="1545">
        <f>SUM(K928:K931)</f>
        <v>9700</v>
      </c>
      <c r="L932" s="1545"/>
      <c r="M932" s="1551" t="str">
        <f>IF(P934="","",IF(P932&lt;P934, "WARNING! OE below required minimum.",""))</f>
        <v/>
      </c>
      <c r="N932" s="1312" t="s">
        <v>2186</v>
      </c>
      <c r="P932" s="1545">
        <f>F925+F934+F945+K923+K932+K942+P924+P927</f>
        <v>216658</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Misc Admin</v>
      </c>
      <c r="C933" s="457">
        <f>'Part VI-Revenues &amp; Expenses'!C227</f>
        <v>0</v>
      </c>
      <c r="D933" s="457">
        <f>'Part VI-Revenues &amp; Expenses'!D227</f>
        <v>0</v>
      </c>
      <c r="E933" s="457">
        <f>'Part VI-Revenues &amp; Expenses'!E227</f>
        <v>0</v>
      </c>
      <c r="F933" s="1530">
        <f>'Part VI-Revenues &amp; Expenses'!F227</f>
        <v>8310</v>
      </c>
      <c r="G933" s="1530">
        <f>'Part VI-Revenues &amp; Expenses'!G227</f>
        <v>0</v>
      </c>
      <c r="J933" s="1516"/>
      <c r="M933" s="1551"/>
      <c r="N933" s="1549" t="s">
        <v>2758</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14185</v>
      </c>
      <c r="G934" s="1530"/>
      <c r="J934" s="1516"/>
      <c r="M934" s="1551"/>
      <c r="O934" s="1549" t="s">
        <v>3727</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3481</v>
      </c>
      <c r="O936" s="1312"/>
      <c r="P936" s="1838">
        <f>'Part VI-Revenues &amp; Expenses'!P230</f>
        <v>12000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0</v>
      </c>
      <c r="G937" s="1530">
        <f>'Part VI-Revenues &amp; Expenses'!G231</f>
        <v>0</v>
      </c>
      <c r="I937" s="1314" t="s">
        <v>1368</v>
      </c>
      <c r="J937" s="1419" t="e">
        <f>K937/12/O819</f>
        <v>#DIV/0!</v>
      </c>
      <c r="K937" s="1545">
        <f>'Part VI-Revenues &amp; Expenses'!K231</f>
        <v>15000</v>
      </c>
      <c r="L937" s="1545">
        <f>'Part VI-Revenues &amp; Expenses'!L231</f>
        <v>0</v>
      </c>
      <c r="M937" s="1551" t="str">
        <f>IF(P936&lt;P945, "WARNING! RR proposed is below the DCA required minimum.","")</f>
        <v/>
      </c>
      <c r="N937" s="457" t="s">
        <v>3735</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5000</v>
      </c>
      <c r="G938" s="1530">
        <f>'Part VI-Revenues &amp; Expenses'!G232</f>
        <v>0</v>
      </c>
      <c r="I938" s="1314" t="s">
        <v>1369</v>
      </c>
      <c r="J938" s="1419" t="e">
        <f>K938/12/O819</f>
        <v>#DIV/0!</v>
      </c>
      <c r="K938" s="1545">
        <f>'Part VI-Revenues &amp; Expenses'!K232</f>
        <v>0</v>
      </c>
      <c r="L938" s="1545">
        <f>'Part VI-Revenues &amp; Expenses'!L232</f>
        <v>0</v>
      </c>
      <c r="M938" s="1551"/>
      <c r="N938" s="1553" t="s">
        <v>3734</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21000</v>
      </c>
      <c r="G939" s="1530">
        <f>'Part VI-Revenues &amp; Expenses'!G233</f>
        <v>0</v>
      </c>
      <c r="I939" s="1314" t="s">
        <v>2352</v>
      </c>
      <c r="J939" s="1419" t="e">
        <f>K939/12/O819</f>
        <v>#DIV/0!</v>
      </c>
      <c r="K939" s="1545">
        <f>'Part VI-Revenues &amp; Expenses'!K233</f>
        <v>5000</v>
      </c>
      <c r="L939" s="1545">
        <f>'Part VI-Revenues &amp; Expenses'!L233</f>
        <v>0</v>
      </c>
      <c r="M939" s="1551"/>
      <c r="N939" s="1554" t="s">
        <v>2714</v>
      </c>
      <c r="O939" s="1555" t="s">
        <v>3844</v>
      </c>
      <c r="P939" s="1555" t="s">
        <v>3438</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4000</v>
      </c>
      <c r="G940" s="1530">
        <f>'Part VI-Revenues &amp; Expenses'!G234</f>
        <v>0</v>
      </c>
      <c r="I940" s="1314" t="s">
        <v>1371</v>
      </c>
      <c r="K940" s="1545">
        <f>'Part VI-Revenues &amp; Expenses'!K234</f>
        <v>3900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2000</v>
      </c>
      <c r="G941" s="1530">
        <f>'Part VI-Revenues &amp; Expenses'!G235</f>
        <v>0</v>
      </c>
      <c r="I941" s="1837" t="str">
        <f>'Part VI-Revenues &amp; Expenses'!I235</f>
        <v>Cable TV &amp; Internet</v>
      </c>
      <c r="J941" s="1837">
        <f>'Part VI-Revenues &amp; Expenses'!J235</f>
        <v>0</v>
      </c>
      <c r="K941" s="1545">
        <f>'Part VI-Revenues &amp; Expenses'!K235</f>
        <v>1200</v>
      </c>
      <c r="L941" s="1545">
        <f>'Part VI-Revenues &amp; Expenses'!L235</f>
        <v>0</v>
      </c>
      <c r="M941" s="1551"/>
      <c r="N941" s="1335" t="s">
        <v>3430</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25100</v>
      </c>
      <c r="L942" s="1545"/>
      <c r="M942" s="1551"/>
      <c r="N942" s="1335" t="s">
        <v>3429</v>
      </c>
      <c r="O942" s="1557" t="str">
        <f>CONCATENATE(SUM(JH805:JL805)," units x $",'DCA Underwriting Assumptions'!$Q$65," =")</f>
        <v>48 units x $250 =</v>
      </c>
      <c r="P942" s="1557">
        <f>SUM(JH805:JL805)*'DCA Underwriting Assumptions'!$Q$65</f>
        <v>12000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1000</v>
      </c>
      <c r="G943" s="1530">
        <f>'Part VI-Revenues &amp; Expenses'!G237</f>
        <v>0</v>
      </c>
      <c r="J943" s="1516"/>
      <c r="M943" s="1551"/>
      <c r="N943" s="1424" t="s">
        <v>3433</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3428</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33000</v>
      </c>
      <c r="G945" s="1530"/>
      <c r="J945" s="1516"/>
      <c r="N945" s="1511" t="s">
        <v>2717</v>
      </c>
      <c r="O945" s="1506">
        <f>SUM(JC805:JG805)+SUM(JH805:JL805)+SUM(JM805:JQ805)+O841</f>
        <v>48</v>
      </c>
      <c r="P945" s="1558">
        <f>SUM(P941:P944)</f>
        <v>12000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228658</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4101</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 xml:space="preserve">Please see Tab 1 for Insurance and Real Estate Tax documentation.  Also, note that although the provider will not be charging for the onsite visits, Applicant has budgeted an additional $10,000 per year for costs related to Enriched property services for additional classes, reporting and costs related to maintaining a Health Services Coordinator.  </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4100</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2019-060 Dulles Park II,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4529</v>
      </c>
    </row>
    <row r="961" spans="1:19" ht="12.75" customHeight="1">
      <c r="A961" s="638" t="s">
        <v>2188</v>
      </c>
      <c r="B961" s="1559">
        <v>0.02</v>
      </c>
      <c r="D961" s="1521" t="s">
        <v>4530</v>
      </c>
      <c r="E961" s="1521"/>
      <c r="F961" s="1521"/>
      <c r="G961" s="1839">
        <f>'Part VII-Pro Forma'!G5</f>
        <v>5000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t="str">
        <f>'Part VII-Pro Forma'!G8</f>
        <v>Yes</v>
      </c>
      <c r="H964" s="1563" t="s">
        <v>1444</v>
      </c>
      <c r="K964" s="1841">
        <f>'Part VII-Pro Forma'!K8</f>
        <v>23040</v>
      </c>
    </row>
    <row r="965" spans="1:19">
      <c r="A965" s="638" t="s">
        <v>1418</v>
      </c>
      <c r="B965" s="1559">
        <v>0.02</v>
      </c>
      <c r="D965" s="1314" t="s">
        <v>1718</v>
      </c>
      <c r="G965" s="1840">
        <f>'Part VII-Pro Forma'!G9</f>
        <v>0</v>
      </c>
      <c r="H965" s="1563" t="s">
        <v>2356</v>
      </c>
      <c r="K965" s="1842">
        <f>'Part VII-Pro Forma'!K9</f>
        <v>0</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304704</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4" t="s">
        <v>4182</v>
      </c>
    </row>
    <row r="971" spans="1:19">
      <c r="A971" s="638" t="s">
        <v>1016</v>
      </c>
      <c r="B971" s="1564">
        <f>MIN(B970*B965,'Part VI-Revenues &amp; Expenses'!$H$173)</f>
        <v>6094.08</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4"/>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4" t="s">
        <v>3878</v>
      </c>
      <c r="R972" s="4204" t="s">
        <v>4181</v>
      </c>
      <c r="S972" s="4204"/>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4"/>
      <c r="R973" s="4204"/>
      <c r="S973" s="4204"/>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-193618</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11295</v>
      </c>
      <c r="S975" s="454">
        <f>B986+R975</f>
        <v>100180.08000000002</v>
      </c>
    </row>
    <row r="976" spans="1:19">
      <c r="A976" s="638" t="s">
        <v>1115</v>
      </c>
      <c r="B976" s="1564">
        <f>IF(AND('Part VII-Pro Forma'!$G$8="Yes",'Part VII-Pro Forma'!$G$9="Yes"),"Choose One!",IF('Part VII-Pro Forma'!$G$8="Yes",ROUND((-$K$8*(1+'Part VII-Pro Forma'!$B$6)^('Part VII-Pro Forma'!B977-1)),),IF('Part VII-Pro Forma'!$G$9="Yes",ROUND((-(SUM(B970:B973)*'Part VII-Pro Forma'!$K$9)),),"Choose mgt fee")))</f>
        <v>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11295</v>
      </c>
      <c r="S976" s="454">
        <f>SUM(B986:C986)+R976</f>
        <v>95180.080000000016</v>
      </c>
    </row>
    <row r="977" spans="1:19">
      <c r="A977" s="638" t="s">
        <v>1202</v>
      </c>
      <c r="B977" s="1564">
        <f>-('Part VI-Revenues &amp; Expenses'!$P$230)</f>
        <v>-12000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11295</v>
      </c>
      <c r="S977" s="454">
        <f>SUM(B986:D986)+R977</f>
        <v>90180.080000000016</v>
      </c>
    </row>
    <row r="978" spans="1:19">
      <c r="A978" s="638" t="s">
        <v>1203</v>
      </c>
      <c r="B978" s="1564">
        <f t="shared" ref="B978:K978" si="284">SUM(B970:B977)</f>
        <v>105180.08000000002</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11295</v>
      </c>
      <c r="S978" s="454">
        <f>SUM(B986:E986)+R978</f>
        <v>85180.080000000016</v>
      </c>
    </row>
    <row r="979" spans="1:19">
      <c r="A979" s="638" t="s">
        <v>1591</v>
      </c>
      <c r="B979" s="1564">
        <f>'Part VII-Pro Forma'!B25</f>
        <v>0</v>
      </c>
      <c r="C979" s="1564">
        <f>'Part VII-Pro Forma'!C25</f>
        <v>0</v>
      </c>
      <c r="D979" s="1564">
        <f>'Part VII-Pro Forma'!D25</f>
        <v>0</v>
      </c>
      <c r="E979" s="1564">
        <f>'Part VII-Pro Forma'!E25</f>
        <v>0</v>
      </c>
      <c r="F979" s="1564">
        <f>'Part VII-Pro Forma'!F25</f>
        <v>0</v>
      </c>
      <c r="G979" s="1564">
        <f>'Part VII-Pro Forma'!G25</f>
        <v>0</v>
      </c>
      <c r="H979" s="1564">
        <f>'Part VII-Pro Forma'!H25</f>
        <v>0</v>
      </c>
      <c r="I979" s="1564">
        <f>'Part VII-Pro Forma'!I25</f>
        <v>0</v>
      </c>
      <c r="J979" s="1564">
        <f>'Part VII-Pro Forma'!J25</f>
        <v>0</v>
      </c>
      <c r="K979" s="1564">
        <f>'Part VII-Pro Forma'!K25</f>
        <v>0</v>
      </c>
      <c r="Q979" s="453">
        <v>5</v>
      </c>
      <c r="R979" s="454">
        <f>-SUM(B985:F985)</f>
        <v>11295</v>
      </c>
      <c r="S979" s="454">
        <f>SUM(B986:F986)+R979</f>
        <v>80180.080000000016</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11295</v>
      </c>
      <c r="S980" s="454">
        <f>SUM(B986:G986)+R980</f>
        <v>75180.080000000016</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11295</v>
      </c>
      <c r="S981" s="454">
        <f>SUM(B986:H986)+R981</f>
        <v>70180.080000000016</v>
      </c>
    </row>
    <row r="982" spans="1:19">
      <c r="A982" s="638" t="s">
        <v>3847</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11295</v>
      </c>
      <c r="S982" s="454">
        <f>SUM(B986:I986)+R982</f>
        <v>65180.080000000016</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11295</v>
      </c>
      <c r="S983" s="454">
        <f>SUM(B986:J986)+R983</f>
        <v>60180.080000000016</v>
      </c>
    </row>
    <row r="984" spans="1:19">
      <c r="A984" s="638" t="s">
        <v>1163</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11295</v>
      </c>
      <c r="S984" s="454">
        <f>SUM(B986:K986)+R984</f>
        <v>55180.080000000016</v>
      </c>
    </row>
    <row r="985" spans="1:19">
      <c r="A985" s="638" t="s">
        <v>4079</v>
      </c>
      <c r="B985" s="1564">
        <f>'Part VII-Pro Forma'!B31</f>
        <v>-11295</v>
      </c>
      <c r="C985" s="1564">
        <f>'Part VII-Pro Forma'!C31</f>
        <v>0</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11295</v>
      </c>
      <c r="S985" s="454">
        <f>SUM(B986:K986)+B1016+R985</f>
        <v>50180.080000000016</v>
      </c>
    </row>
    <row r="986" spans="1:19">
      <c r="A986" s="638" t="s">
        <v>1164</v>
      </c>
      <c r="B986" s="1564">
        <f>SUM(B978:B985)</f>
        <v>88885.080000000016</v>
      </c>
      <c r="C986" s="1564">
        <f t="shared" ref="C986:K986" si="285">SUM(C978:C985)</f>
        <v>-5000</v>
      </c>
      <c r="D986" s="1564">
        <f t="shared" si="285"/>
        <v>-5000</v>
      </c>
      <c r="E986" s="1564">
        <f t="shared" si="285"/>
        <v>-5000</v>
      </c>
      <c r="F986" s="1564">
        <f t="shared" si="285"/>
        <v>-5000</v>
      </c>
      <c r="G986" s="1564">
        <f t="shared" si="285"/>
        <v>-5000</v>
      </c>
      <c r="H986" s="1564">
        <f t="shared" si="285"/>
        <v>-5000</v>
      </c>
      <c r="I986" s="1564">
        <f t="shared" si="285"/>
        <v>-5000</v>
      </c>
      <c r="J986" s="1564">
        <f t="shared" si="285"/>
        <v>-5000</v>
      </c>
      <c r="K986" s="1564">
        <f t="shared" si="285"/>
        <v>-5000</v>
      </c>
      <c r="Q986" s="453">
        <v>12</v>
      </c>
      <c r="R986" s="454">
        <f>-SUM(B985:K985) - SUM(B1015:C1015)</f>
        <v>11295</v>
      </c>
      <c r="S986" s="454">
        <f>SUM(B986:K986) + SUM(B60:C60)+R986</f>
        <v>55180.080000000016</v>
      </c>
    </row>
    <row r="987" spans="1:19">
      <c r="A987" s="638" t="str">
        <f>IF('Part III-Sources of Funds'!$E$38 = "Neither", "", "DCR Mortgage A")</f>
        <v>DCR Mortgage A</v>
      </c>
      <c r="B987" s="1565" t="str">
        <f t="shared" ref="B987:K987" si="286">IF(B979=0,"",-B978/B979)</f>
        <v/>
      </c>
      <c r="C987" s="1565" t="str">
        <f t="shared" si="286"/>
        <v/>
      </c>
      <c r="D987" s="1565" t="str">
        <f t="shared" si="286"/>
        <v/>
      </c>
      <c r="E987" s="1565" t="str">
        <f t="shared" si="286"/>
        <v/>
      </c>
      <c r="F987" s="1565" t="str">
        <f t="shared" si="286"/>
        <v/>
      </c>
      <c r="G987" s="1565" t="str">
        <f t="shared" si="286"/>
        <v/>
      </c>
      <c r="H987" s="1565" t="str">
        <f t="shared" si="286"/>
        <v/>
      </c>
      <c r="I987" s="1565" t="str">
        <f t="shared" si="286"/>
        <v/>
      </c>
      <c r="J987" s="1565" t="str">
        <f t="shared" si="286"/>
        <v/>
      </c>
      <c r="K987" s="1565" t="str">
        <f t="shared" si="286"/>
        <v/>
      </c>
      <c r="Q987" s="453">
        <v>13</v>
      </c>
      <c r="R987" s="454">
        <f>-SUM(B985:K985) - SUM(B1015:D1015)</f>
        <v>11295</v>
      </c>
      <c r="S987" s="454">
        <f>SUM(B986:K986) + SUM(B1016:D1016)+R987</f>
        <v>40180.080000000016</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11295</v>
      </c>
      <c r="S988" s="454">
        <f>SUM(B986:K986) + SUM(B1016:E1016)+R988</f>
        <v>35180.080000000016</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11295</v>
      </c>
      <c r="S989" s="454">
        <f>SUM(B986:K986) + SUM(B1016:F1016)+R989</f>
        <v>30180.080000000016</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11295</v>
      </c>
      <c r="S990" s="454">
        <f>SUM(B986:K986) + SUM(B1016:G1016)+R990</f>
        <v>25180.080000000016</v>
      </c>
    </row>
    <row r="991" spans="1:19">
      <c r="A991" s="638" t="s">
        <v>3710</v>
      </c>
      <c r="B991" s="1565" t="str">
        <f t="shared" ref="B991:K991" si="290">IF(AND(B979=0,B980=0,B981=0,B982=0),"",-B978/(B979+B980+B981+B982))</f>
        <v/>
      </c>
      <c r="C991" s="1565" t="str">
        <f t="shared" si="290"/>
        <v/>
      </c>
      <c r="D991" s="1565" t="str">
        <f t="shared" si="290"/>
        <v/>
      </c>
      <c r="E991" s="1565" t="str">
        <f t="shared" si="290"/>
        <v/>
      </c>
      <c r="F991" s="1565" t="str">
        <f t="shared" si="290"/>
        <v/>
      </c>
      <c r="G991" s="1565" t="str">
        <f t="shared" si="290"/>
        <v/>
      </c>
      <c r="H991" s="1565" t="str">
        <f t="shared" si="290"/>
        <v/>
      </c>
      <c r="I991" s="1565" t="str">
        <f t="shared" si="290"/>
        <v/>
      </c>
      <c r="J991" s="1565" t="str">
        <f t="shared" si="290"/>
        <v/>
      </c>
      <c r="K991" s="1565" t="str">
        <f t="shared" si="290"/>
        <v/>
      </c>
      <c r="Q991" s="453">
        <v>17</v>
      </c>
      <c r="R991" s="454">
        <f>-SUM(B985:K985) - SUM(B1015:H1015)</f>
        <v>11295</v>
      </c>
      <c r="S991" s="454">
        <f>SUM(B986:K986) + SUM(B1016:H1016)+R991</f>
        <v>20180.080000000016</v>
      </c>
    </row>
    <row r="992" spans="1:19">
      <c r="A992" s="638" t="s">
        <v>770</v>
      </c>
      <c r="B992" s="1566">
        <f t="shared" ref="B992:K992" si="291">IF(OR(B976="Choose mgt fee",B976="Choose One!"),"",(B970+B971+B972+B973+B974) / -(B975+B976+B977))</f>
        <v>1.511531480706942</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11295</v>
      </c>
      <c r="S992" s="454">
        <f>SUM(B986:K986) + SUM(B1016:I1016)+R992</f>
        <v>15180.080000000016</v>
      </c>
    </row>
    <row r="993" spans="1:19">
      <c r="A993" s="638" t="s">
        <v>2617</v>
      </c>
      <c r="B993" s="1564" t="str">
        <f>'Part VII-Pro Forma'!B39</f>
        <v/>
      </c>
      <c r="C993" s="1564" t="str">
        <f>'Part VII-Pro Forma'!C39</f>
        <v/>
      </c>
      <c r="D993" s="1564" t="str">
        <f>'Part VII-Pro Forma'!D39</f>
        <v/>
      </c>
      <c r="E993" s="1564" t="str">
        <f>'Part VII-Pro Forma'!E39</f>
        <v/>
      </c>
      <c r="F993" s="1564" t="str">
        <f>'Part VII-Pro Forma'!F39</f>
        <v/>
      </c>
      <c r="G993" s="1564" t="str">
        <f>'Part VII-Pro Forma'!G39</f>
        <v/>
      </c>
      <c r="H993" s="1564" t="str">
        <f>'Part VII-Pro Forma'!H39</f>
        <v/>
      </c>
      <c r="I993" s="1564" t="str">
        <f>'Part VII-Pro Forma'!I39</f>
        <v/>
      </c>
      <c r="J993" s="1564" t="str">
        <f>'Part VII-Pro Forma'!J39</f>
        <v/>
      </c>
      <c r="K993" s="1564" t="str">
        <f>'Part VII-Pro Forma'!K39</f>
        <v/>
      </c>
      <c r="Q993" s="453">
        <v>19</v>
      </c>
      <c r="R993" s="454">
        <f>-SUM(B985:K985) - SUM(B1015:J1015)</f>
        <v>11295</v>
      </c>
      <c r="S993" s="454">
        <f>SUM(B986:K986) + SUM(B1016:J1016)+R993</f>
        <v>10180.080000000016</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11295</v>
      </c>
      <c r="S994" s="454">
        <f>SUM(B986:K986) + SUM(B1016:K1016)+R994</f>
        <v>5180.0800000000163</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4080</v>
      </c>
      <c r="B997" s="1564">
        <f>'Part VII-Pro Forma'!B43</f>
        <v>0</v>
      </c>
      <c r="C997" s="1564">
        <f>'Part VII-Pro Forma'!C43</f>
        <v>0</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0</v>
      </c>
      <c r="C1009" s="1564">
        <f>'Part VII-Pro Forma'!C57</f>
        <v>0</v>
      </c>
      <c r="D1009" s="1564">
        <f>'Part VII-Pro Forma'!D57</f>
        <v>0</v>
      </c>
      <c r="E1009" s="1564">
        <f>'Part VII-Pro Forma'!E57</f>
        <v>0</v>
      </c>
      <c r="F1009" s="1564">
        <f>'Part VII-Pro Forma'!F57</f>
        <v>0</v>
      </c>
      <c r="G1009" s="1564">
        <f>'Part VII-Pro Forma'!G57</f>
        <v>0</v>
      </c>
      <c r="H1009" s="1564">
        <f>'Part VII-Pro Forma'!H57</f>
        <v>0</v>
      </c>
      <c r="I1009" s="1564">
        <f>'Part VII-Pro Forma'!I57</f>
        <v>0</v>
      </c>
      <c r="J1009" s="1564">
        <f>'Part VII-Pro Forma'!J57</f>
        <v>0</v>
      </c>
      <c r="K1009" s="1564">
        <f>'Part VII-Pro Forma'!K57</f>
        <v>0</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4079</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-5000</v>
      </c>
      <c r="C1016" s="1564">
        <f t="shared" ref="C1016:K1016" si="299">SUM(C1008:C1015)</f>
        <v>-5000</v>
      </c>
      <c r="D1016" s="1564">
        <f t="shared" si="299"/>
        <v>-5000</v>
      </c>
      <c r="E1016" s="1564">
        <f t="shared" si="299"/>
        <v>-5000</v>
      </c>
      <c r="F1016" s="1564">
        <f t="shared" si="299"/>
        <v>-5000</v>
      </c>
      <c r="G1016" s="1564">
        <f t="shared" si="299"/>
        <v>-5000</v>
      </c>
      <c r="H1016" s="1564">
        <f t="shared" si="299"/>
        <v>-5000</v>
      </c>
      <c r="I1016" s="1564">
        <f t="shared" si="299"/>
        <v>-5000</v>
      </c>
      <c r="J1016" s="1564">
        <f t="shared" si="299"/>
        <v>-5000</v>
      </c>
      <c r="K1016" s="1564">
        <f t="shared" si="299"/>
        <v>-5000</v>
      </c>
    </row>
    <row r="1017" spans="1:11">
      <c r="A1017" s="638" t="str">
        <f>$A987</f>
        <v>DCR Mortgage A</v>
      </c>
      <c r="B1017" s="1565" t="str">
        <f t="shared" ref="B1017:K1017" si="300">IF(B1009=0,"",-B1008/B1009)</f>
        <v/>
      </c>
      <c r="C1017" s="1565" t="str">
        <f t="shared" si="300"/>
        <v/>
      </c>
      <c r="D1017" s="1565" t="str">
        <f t="shared" si="300"/>
        <v/>
      </c>
      <c r="E1017" s="1565" t="str">
        <f t="shared" si="300"/>
        <v/>
      </c>
      <c r="F1017" s="1565" t="str">
        <f t="shared" si="300"/>
        <v/>
      </c>
      <c r="G1017" s="1565" t="str">
        <f t="shared" si="300"/>
        <v/>
      </c>
      <c r="H1017" s="1565" t="str">
        <f t="shared" si="300"/>
        <v/>
      </c>
      <c r="I1017" s="1565" t="str">
        <f t="shared" si="300"/>
        <v/>
      </c>
      <c r="J1017" s="1565" t="str">
        <f t="shared" si="300"/>
        <v/>
      </c>
      <c r="K1017" s="1565" t="str">
        <f t="shared" si="300"/>
        <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3710</v>
      </c>
      <c r="B1021" s="1565" t="str">
        <f t="shared" ref="B1021:K1021" si="304">IF(AND(B1009=0,B1010=0,B1011=0,B1012=0),"",-B1008/(B1009+B1010+B1011+B1012))</f>
        <v/>
      </c>
      <c r="C1021" s="1565" t="str">
        <f t="shared" si="304"/>
        <v/>
      </c>
      <c r="D1021" s="1565" t="str">
        <f t="shared" si="304"/>
        <v/>
      </c>
      <c r="E1021" s="1565" t="str">
        <f t="shared" si="304"/>
        <v/>
      </c>
      <c r="F1021" s="1565" t="str">
        <f t="shared" si="304"/>
        <v/>
      </c>
      <c r="G1021" s="1565" t="str">
        <f t="shared" si="304"/>
        <v/>
      </c>
      <c r="H1021" s="1565" t="str">
        <f t="shared" si="304"/>
        <v/>
      </c>
      <c r="I1021" s="1565" t="str">
        <f t="shared" si="304"/>
        <v/>
      </c>
      <c r="J1021" s="1565" t="str">
        <f t="shared" si="304"/>
        <v/>
      </c>
      <c r="K1021" s="1565" t="str">
        <f t="shared" si="304"/>
        <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t="str">
        <f>'Part VII-Pro Forma'!B71</f>
        <v/>
      </c>
      <c r="C1023" s="1564" t="str">
        <f>'Part VII-Pro Forma'!C71</f>
        <v/>
      </c>
      <c r="D1023" s="1564" t="str">
        <f>'Part VII-Pro Forma'!D71</f>
        <v/>
      </c>
      <c r="E1023" s="1564" t="str">
        <f>'Part VII-Pro Forma'!E71</f>
        <v/>
      </c>
      <c r="F1023" s="1564" t="str">
        <f>'Part VII-Pro Forma'!F71</f>
        <v/>
      </c>
      <c r="G1023" s="1564" t="str">
        <f>'Part VII-Pro Forma'!G71</f>
        <v/>
      </c>
      <c r="H1023" s="1564" t="str">
        <f>'Part VII-Pro Forma'!H71</f>
        <v/>
      </c>
      <c r="I1023" s="1564" t="str">
        <f>'Part VII-Pro Forma'!I71</f>
        <v/>
      </c>
      <c r="J1023" s="1564" t="str">
        <f>'Part VII-Pro Forma'!J71</f>
        <v/>
      </c>
      <c r="K1023" s="1564" t="str">
        <f>'Part VII-Pro Forma'!K71</f>
        <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4080</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0</v>
      </c>
      <c r="C1039" s="1564">
        <f>'Part VII-Pro Forma'!C89</f>
        <v>0</v>
      </c>
      <c r="D1039" s="1564">
        <f>'Part VII-Pro Forma'!D89</f>
        <v>0</v>
      </c>
      <c r="E1039" s="1564">
        <f>'Part VII-Pro Forma'!E89</f>
        <v>0</v>
      </c>
      <c r="F1039" s="1564">
        <f>'Part VII-Pro Forma'!F89</f>
        <v>0</v>
      </c>
      <c r="G1039" s="1564">
        <f>'Part VII-Pro Forma'!G89</f>
        <v>0</v>
      </c>
      <c r="H1039" s="1564">
        <f>'Part VII-Pro Forma'!H89</f>
        <v>0</v>
      </c>
      <c r="I1039" s="1564">
        <f>'Part VII-Pro Forma'!I89</f>
        <v>0</v>
      </c>
      <c r="J1039" s="1564">
        <f>'Part VII-Pro Forma'!J89</f>
        <v>0</v>
      </c>
      <c r="K1039" s="1564">
        <f>'Part VII-Pro Forma'!K89</f>
        <v>0</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1164</v>
      </c>
      <c r="B1045" s="1564">
        <f t="shared" ref="B1045:K1045" si="313">SUM(B1038:B1044)</f>
        <v>-5000</v>
      </c>
      <c r="C1045" s="1564">
        <f t="shared" si="313"/>
        <v>-5000</v>
      </c>
      <c r="D1045" s="1564">
        <f t="shared" si="313"/>
        <v>-5000</v>
      </c>
      <c r="E1045" s="1564">
        <f t="shared" si="313"/>
        <v>-5000</v>
      </c>
      <c r="F1045" s="1564">
        <f t="shared" si="313"/>
        <v>-5000</v>
      </c>
      <c r="G1045" s="1564">
        <f t="shared" si="313"/>
        <v>-5000</v>
      </c>
      <c r="H1045" s="1564">
        <f t="shared" si="313"/>
        <v>-5000</v>
      </c>
      <c r="I1045" s="1564">
        <f t="shared" si="313"/>
        <v>-5000</v>
      </c>
      <c r="J1045" s="1564">
        <f t="shared" si="313"/>
        <v>-5000</v>
      </c>
      <c r="K1045" s="1564">
        <f t="shared" si="313"/>
        <v>-5000</v>
      </c>
    </row>
    <row r="1046" spans="1:11">
      <c r="A1046" s="638" t="str">
        <f>$A1017</f>
        <v>DCR Mortgage A</v>
      </c>
      <c r="B1046" s="1565" t="str">
        <f>IF(B1039=0,"",-B1038/B1039)</f>
        <v/>
      </c>
      <c r="C1046" s="1565" t="str">
        <f t="shared" ref="C1046:K1046" si="314">IF(C1039=0,"",-C1038/C1039)</f>
        <v/>
      </c>
      <c r="D1046" s="1565" t="str">
        <f t="shared" si="314"/>
        <v/>
      </c>
      <c r="E1046" s="1565" t="str">
        <f t="shared" si="314"/>
        <v/>
      </c>
      <c r="F1046" s="1565" t="str">
        <f t="shared" si="314"/>
        <v/>
      </c>
      <c r="G1046" s="1565" t="str">
        <f t="shared" si="314"/>
        <v/>
      </c>
      <c r="H1046" s="1565" t="str">
        <f t="shared" si="314"/>
        <v/>
      </c>
      <c r="I1046" s="1565" t="str">
        <f t="shared" si="314"/>
        <v/>
      </c>
      <c r="J1046" s="1565" t="str">
        <f t="shared" si="314"/>
        <v/>
      </c>
      <c r="K1046" s="1565" t="str">
        <f t="shared" si="314"/>
        <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3710</v>
      </c>
      <c r="B1050" s="1565" t="str">
        <f>IF(AND(B1039=0,B1040=0,B1041=0,B1042=0),"",-B1038/(B1039+B1040+B1041+B1042))</f>
        <v/>
      </c>
      <c r="C1050" s="1565" t="str">
        <f t="shared" ref="C1050:K1050" si="318">IF(AND(C1039=0,C1040=0,C1041=0,C1042=0),"",-C1038/(C1039+C1040+C1041+C1042))</f>
        <v/>
      </c>
      <c r="D1050" s="1565" t="str">
        <f t="shared" si="318"/>
        <v/>
      </c>
      <c r="E1050" s="1565" t="str">
        <f t="shared" si="318"/>
        <v/>
      </c>
      <c r="F1050" s="1565" t="str">
        <f t="shared" si="318"/>
        <v/>
      </c>
      <c r="G1050" s="1565" t="str">
        <f t="shared" si="318"/>
        <v/>
      </c>
      <c r="H1050" s="1565" t="str">
        <f t="shared" si="318"/>
        <v/>
      </c>
      <c r="I1050" s="1565" t="str">
        <f t="shared" si="318"/>
        <v/>
      </c>
      <c r="J1050" s="1565" t="str">
        <f t="shared" si="318"/>
        <v/>
      </c>
      <c r="K1050" s="1565" t="str">
        <f t="shared" si="318"/>
        <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t="str">
        <f>'Part VII-Pro Forma'!B102</f>
        <v/>
      </c>
      <c r="C1052" s="1564" t="str">
        <f>'Part VII-Pro Forma'!C102</f>
        <v/>
      </c>
      <c r="D1052" s="1564" t="str">
        <f>'Part VII-Pro Forma'!D102</f>
        <v/>
      </c>
      <c r="E1052" s="1564" t="str">
        <f>'Part VII-Pro Forma'!E102</f>
        <v/>
      </c>
      <c r="F1052" s="1564" t="str">
        <f>'Part VII-Pro Forma'!F102</f>
        <v/>
      </c>
      <c r="G1052" s="1564" t="str">
        <f>'Part VII-Pro Forma'!G102</f>
        <v/>
      </c>
      <c r="H1052" s="1564" t="str">
        <f>'Part VII-Pro Forma'!H102</f>
        <v/>
      </c>
      <c r="I1052" s="1564" t="str">
        <f>'Part VII-Pro Forma'!I102</f>
        <v/>
      </c>
      <c r="J1052" s="1564" t="str">
        <f>'Part VII-Pro Forma'!J102</f>
        <v/>
      </c>
      <c r="K1052" s="1564" t="str">
        <f>'Part VII-Pro Forma'!K102</f>
        <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0</v>
      </c>
      <c r="C1067" s="1564">
        <f>'Part VII-Pro Forma'!C119</f>
        <v>0</v>
      </c>
      <c r="D1067" s="1564">
        <f>'Part VII-Pro Forma'!D119</f>
        <v>0</v>
      </c>
      <c r="E1067" s="1564">
        <f>'Part VII-Pro Forma'!E119</f>
        <v>0</v>
      </c>
      <c r="F1067" s="1564">
        <f>'Part VII-Pro Forma'!F119</f>
        <v>0</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1164</v>
      </c>
      <c r="B1073" s="1564">
        <f>SUM(B1066:B1072)</f>
        <v>-5000</v>
      </c>
      <c r="C1073" s="1564">
        <f>SUM(C1066:C1072)</f>
        <v>-5000</v>
      </c>
      <c r="D1073" s="1564">
        <f>SUM(D1066:D1072)</f>
        <v>-5000</v>
      </c>
      <c r="E1073" s="1564">
        <f>SUM(E1066:E1072)</f>
        <v>-5000</v>
      </c>
      <c r="F1073" s="1564">
        <f>SUM(F1066:F1072)</f>
        <v>-5000</v>
      </c>
      <c r="G1073" s="1564"/>
      <c r="H1073" s="1564"/>
      <c r="I1073" s="1564"/>
      <c r="J1073" s="1564"/>
      <c r="K1073" s="1564"/>
    </row>
    <row r="1074" spans="1:11">
      <c r="A1074" s="638" t="str">
        <f>$A1046</f>
        <v>DCR Mortgage A</v>
      </c>
      <c r="B1074" s="1565" t="str">
        <f>IF(B1067=0,"",-B1066/B1067)</f>
        <v/>
      </c>
      <c r="C1074" s="1565" t="str">
        <f>IF(C1067=0,"",-C1066/C1067)</f>
        <v/>
      </c>
      <c r="D1074" s="1565" t="str">
        <f>IF(D1067=0,"",-D1066/D1067)</f>
        <v/>
      </c>
      <c r="E1074" s="1565" t="str">
        <f>IF(E1067=0,"",-E1066/E1067)</f>
        <v/>
      </c>
      <c r="F1074" s="1565" t="str">
        <f>IF(F1067=0,"",-F1066/F1067)</f>
        <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3710</v>
      </c>
      <c r="B1078" s="1565" t="str">
        <f>IF(AND(B1067=0,B1068=0,B1069=0,B1070=0),"",-B1066/(B1067+B1068+B1069+B1070))</f>
        <v/>
      </c>
      <c r="C1078" s="1565" t="str">
        <f>IF(AND(C1067=0,C1068=0,C1069=0,C1070=0),"",-C1066/(C1067+C1068+C1069+C1070))</f>
        <v/>
      </c>
      <c r="D1078" s="1565" t="str">
        <f>IF(AND(D1067=0,D1068=0,D1069=0,D1070=0),"",-D1066/(D1067+D1068+D1069+D1070))</f>
        <v/>
      </c>
      <c r="E1078" s="1565" t="str">
        <f>IF(AND(E1067=0,E1068=0,E1069=0,E1070=0),"",-E1066/(E1067+E1068+E1069+E1070))</f>
        <v/>
      </c>
      <c r="F1078" s="1565" t="str">
        <f>IF(AND(F1067=0,F1068=0,F1069=0,F1070=0),"",-F1066/(F1067+F1068+F1069+F1070))</f>
        <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t="str">
        <f>'Part VII-Pro Forma'!B132</f>
        <v/>
      </c>
      <c r="C1080" s="1564" t="str">
        <f>'Part VII-Pro Forma'!C132</f>
        <v/>
      </c>
      <c r="D1080" s="1564" t="str">
        <f>'Part VII-Pro Forma'!D132</f>
        <v/>
      </c>
      <c r="E1080" s="1564" t="str">
        <f>'Part VII-Pro Forma'!E132</f>
        <v/>
      </c>
      <c r="F1080" s="1564" t="str">
        <f>'Part VII-Pro Forma'!F132</f>
        <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No Debt Service indicated</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2019-060 Dulles Park II,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4531</v>
      </c>
      <c r="K1100" s="1570"/>
      <c r="L1100" s="1570"/>
      <c r="M1100" s="1570"/>
      <c r="N1100" s="1570"/>
      <c r="O1100" s="1570"/>
      <c r="P1100" s="1571">
        <f>'Part VIII-Threshold Criteria'!P6</f>
        <v>0</v>
      </c>
      <c r="Q1100" s="1571">
        <f>'Part VIII-Threshold Criteria'!Q6</f>
        <v>0</v>
      </c>
    </row>
    <row r="1101" spans="1:17">
      <c r="A1101" s="1572" t="s">
        <v>3451</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3749</v>
      </c>
      <c r="C1125" s="1549"/>
      <c r="D1125" s="1549"/>
      <c r="E1125" s="1549"/>
      <c r="F1125" s="1549"/>
      <c r="G1125" s="1578"/>
      <c r="H1125" s="1578"/>
      <c r="I1125" s="1578"/>
      <c r="J1125" s="1578"/>
      <c r="K1125" s="1495"/>
      <c r="L1125" s="1495"/>
      <c r="M1125" s="1495"/>
      <c r="N1125" s="1495"/>
      <c r="O1125" s="1495"/>
      <c r="P1125" s="1495"/>
    </row>
    <row r="1126" spans="1:17" ht="409.6">
      <c r="A1126" s="1583" t="str">
        <f>'Part VIII-Threshold Criteria'!A32</f>
        <v>Applicant belives that the proposed project is feasible, viable and in conformance with the plan. The overall development and construction costs are considered reasonable and were evaluated by an experienced General Contractor and Engineer. The Residential Square footages as defined in the Core application and Q&amp;A which include patios and balconies available for the exclusive use of tenants are:  1BR/1BA = 757 Sq.ft.  and 2BR/2BA = 961 Sq. ft.</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4532</v>
      </c>
      <c r="B1131" s="1585"/>
      <c r="C1131" s="1585"/>
      <c r="D1131" s="1585"/>
      <c r="E1131" s="1585"/>
      <c r="F1131" s="1585"/>
      <c r="G1131" s="1424" t="s">
        <v>2715</v>
      </c>
      <c r="H1131" s="1424"/>
      <c r="I1131" s="1577"/>
      <c r="J1131" s="1314"/>
      <c r="K1131" s="1577" t="s">
        <v>3632</v>
      </c>
      <c r="L1131" s="1577"/>
      <c r="M1131" s="1577"/>
      <c r="N1131" s="1577"/>
    </row>
    <row r="1132" spans="1:17">
      <c r="A1132" s="1585"/>
      <c r="B1132" s="1585"/>
      <c r="C1132" s="1585"/>
      <c r="D1132" s="1585"/>
      <c r="E1132" s="1585"/>
      <c r="F1132" s="1585"/>
      <c r="G1132" s="1424" t="s">
        <v>346</v>
      </c>
      <c r="H1132" s="1424"/>
      <c r="I1132" s="1577"/>
      <c r="J1132" s="1314"/>
      <c r="K1132" s="457" t="s">
        <v>3633</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3453</v>
      </c>
      <c r="G1134" s="1587" t="s">
        <v>3452</v>
      </c>
      <c r="H1134" s="1587"/>
      <c r="I1134" s="1587"/>
      <c r="K1134" s="1587" t="s">
        <v>3453</v>
      </c>
      <c r="L1134" s="1587" t="s">
        <v>3452</v>
      </c>
      <c r="M1134" s="1587"/>
      <c r="N1134" s="1587"/>
    </row>
    <row r="1135" spans="1:17" ht="12.75" customHeight="1">
      <c r="A1135" s="1588" t="s">
        <v>3358</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3886</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Macon</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3629</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9013295</v>
      </c>
      <c r="Q1139" s="1594">
        <f>'Part VIII-Threshold Criteria'!Q45</f>
        <v>0</v>
      </c>
    </row>
    <row r="1140" spans="1:17" ht="12.75" customHeight="1">
      <c r="C1140" s="1314"/>
      <c r="D1140" s="1595" t="s">
        <v>3368</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3353</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4083</v>
      </c>
      <c r="Q1142" s="1468"/>
    </row>
    <row r="1143" spans="1:17" ht="12.75" customHeight="1">
      <c r="A1143" s="1588"/>
      <c r="B1143" s="1588"/>
      <c r="C1143" s="1588"/>
      <c r="D1143" s="1589" t="s">
        <v>2440</v>
      </c>
      <c r="E1143" s="1578">
        <v>1</v>
      </c>
      <c r="F1143" s="1590">
        <f>'Part VI-Revenues &amp; Expenses'!$K$137</f>
        <v>8</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8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40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40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3627</v>
      </c>
      <c r="Q1146" s="457"/>
    </row>
    <row r="1147" spans="1:17">
      <c r="C1147" s="1314"/>
      <c r="D1147" s="1595" t="s">
        <v>3368</v>
      </c>
      <c r="E1147" s="1596"/>
      <c r="F1147" s="1597">
        <f>SUM(F1142:F1146)</f>
        <v>48</v>
      </c>
      <c r="G1147" s="1598"/>
      <c r="H1147" s="1599"/>
      <c r="I1147" s="1600" t="e">
        <f>SUM(I1142:I1146)</f>
        <v>#N/A</v>
      </c>
      <c r="J1147" s="1601"/>
      <c r="K1147" s="1597">
        <f>SUM(K1142:K1146)</f>
        <v>0</v>
      </c>
      <c r="L1147" s="1601"/>
      <c r="M1147" s="1599"/>
      <c r="N1147" s="1600" t="e">
        <f>SUM(N1142:N1146)</f>
        <v>#N/A</v>
      </c>
      <c r="O1147" s="1606"/>
      <c r="P1147" s="1504" t="s">
        <v>3246</v>
      </c>
      <c r="Q1147" s="1504" t="s">
        <v>256</v>
      </c>
    </row>
    <row r="1148" spans="1:17">
      <c r="C1148" s="1314"/>
      <c r="D1148" s="1602"/>
      <c r="E1148" s="1602"/>
      <c r="F1148" s="1603"/>
      <c r="G1148" s="1604"/>
      <c r="I1148" s="1603"/>
      <c r="K1148" s="1603"/>
      <c r="M1148" s="1582"/>
      <c r="N1148" s="1603"/>
      <c r="O1148" s="1606"/>
    </row>
    <row r="1149" spans="1:17">
      <c r="A1149" s="1424" t="s">
        <v>3354</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3628</v>
      </c>
      <c r="Q1150" s="457"/>
    </row>
    <row r="1151" spans="1:17">
      <c r="C1151" s="1314"/>
      <c r="D1151" s="1589" t="s">
        <v>2441</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3246</v>
      </c>
      <c r="Q1151" s="1504" t="s">
        <v>256</v>
      </c>
    </row>
    <row r="1152" spans="1:17">
      <c r="C1152" s="1314"/>
      <c r="D1152" s="1589" t="s">
        <v>2442</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3368</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3355</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9016824</v>
      </c>
      <c r="Q1157" s="1609">
        <f>'Part VIII-Threshold Criteria'!Q63</f>
        <v>0</v>
      </c>
    </row>
    <row r="1158" spans="1:17" ht="12.75" customHeight="1">
      <c r="C1158" s="1314"/>
      <c r="D1158" s="1589" t="s">
        <v>2441</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4533</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3368</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3369</v>
      </c>
      <c r="B1163" s="1314"/>
      <c r="C1163" s="1314"/>
      <c r="D1163" s="1314"/>
      <c r="E1163" s="1317"/>
      <c r="F1163" s="1613">
        <f>F1140+F1147+F1154+F1161</f>
        <v>48</v>
      </c>
      <c r="G1163" s="1381"/>
      <c r="H1163" s="1614">
        <f>'Part VIII-Threshold Criteria'!H69</f>
        <v>9016824</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3749</v>
      </c>
      <c r="D1164" s="1525"/>
      <c r="E1164" s="1525"/>
      <c r="F1164" s="1525"/>
      <c r="G1164" s="1525"/>
      <c r="H1164" s="1524"/>
      <c r="I1164" s="1578"/>
      <c r="J1164" s="1578"/>
      <c r="K1164" s="1580" t="s">
        <v>1866</v>
      </c>
      <c r="L1164" s="1495"/>
      <c r="M1164" s="1495"/>
      <c r="N1164" s="1495"/>
      <c r="O1164" s="1495"/>
      <c r="P1164" s="1495"/>
      <c r="Q1164" s="1495"/>
    </row>
    <row r="1165" spans="1:17" ht="81.599999999999994">
      <c r="A1165" s="1583" t="str">
        <f>'Part VIII-Threshold Criteria'!A71</f>
        <v>The total development cost for the project is below the cost limits for the Macon area.</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HFOP</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3749</v>
      </c>
      <c r="D1168" s="1525"/>
      <c r="E1168" s="1525"/>
      <c r="F1168" s="1525"/>
      <c r="G1168" s="1525"/>
      <c r="H1168" s="1524"/>
      <c r="I1168" s="1578"/>
      <c r="J1168" s="1578"/>
      <c r="K1168" s="1580" t="s">
        <v>1866</v>
      </c>
      <c r="L1168" s="1495"/>
      <c r="M1168" s="1495"/>
      <c r="N1168" s="1495"/>
      <c r="O1168" s="1495"/>
      <c r="P1168" s="1495"/>
      <c r="Q1168" s="1495"/>
    </row>
    <row r="1169" spans="1:17" ht="71.400000000000006">
      <c r="A1169" s="1583" t="str">
        <f>'Part VIII-Threshold Criteria'!A75</f>
        <v>The Applicant is targeting a HFOP 55+ tenancy for the proposed project.</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3739</v>
      </c>
      <c r="D1173" s="1604"/>
      <c r="E1173" s="1604"/>
      <c r="F1173" s="1604"/>
      <c r="G1173" s="1604"/>
      <c r="H1173" s="1604"/>
      <c r="I1173" s="1604"/>
      <c r="K1173" s="1604"/>
      <c r="L1173" s="1604"/>
      <c r="M1173" s="1617" t="s">
        <v>3694</v>
      </c>
      <c r="O1173" s="1583"/>
      <c r="P1173" s="1621" t="str">
        <f>'Part VIII-Threshold Criteria'!P79</f>
        <v>Agree</v>
      </c>
    </row>
    <row r="1174" spans="1:17">
      <c r="A1174" s="1618" t="s">
        <v>1985</v>
      </c>
      <c r="B1174" s="1524" t="s">
        <v>3738</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3483</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3580</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3581</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3897</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3567</v>
      </c>
      <c r="D1179" s="1524"/>
      <c r="E1179" s="1517"/>
      <c r="J1179" s="457"/>
      <c r="K1179" s="457"/>
      <c r="L1179" s="457"/>
      <c r="M1179" s="457"/>
      <c r="N1179" s="457"/>
      <c r="O1179" s="457"/>
      <c r="P1179" s="457"/>
      <c r="Q1179" s="457"/>
    </row>
    <row r="1180" spans="1:17">
      <c r="A1180" s="1619"/>
      <c r="B1180" s="1051" t="s">
        <v>3888</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3749</v>
      </c>
      <c r="D1181" s="1525"/>
      <c r="E1181" s="1525"/>
      <c r="F1181" s="1525"/>
      <c r="G1181" s="1525"/>
      <c r="H1181" s="1524"/>
      <c r="I1181" s="1578"/>
      <c r="J1181" s="1578"/>
      <c r="K1181" s="1580" t="s">
        <v>1866</v>
      </c>
      <c r="L1181" s="1495"/>
      <c r="M1181" s="1495"/>
      <c r="N1181" s="1495"/>
      <c r="O1181" s="1495"/>
      <c r="P1181" s="1495"/>
      <c r="Q1181" s="1495"/>
    </row>
    <row r="1182" spans="1:17" ht="112.2">
      <c r="A1182" s="1583" t="str">
        <f>'Part VIII-Threshold Criteria'!A90</f>
        <v>Applicant certifies that they will include the number and kinds of services required in the QAP for the proposed tenancy.</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Novogradac &amp; Company, LLP</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Three to Four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2879</v>
      </c>
      <c r="D1188" s="1550"/>
      <c r="E1188" s="1550"/>
      <c r="F1188" s="1550"/>
      <c r="L1188" s="1620" t="s">
        <v>749</v>
      </c>
      <c r="M1188" s="1622">
        <f>'Part VIII-Threshold Criteria'!M96</f>
        <v>0.96199999999999997</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3890</v>
      </c>
      <c r="D1189" s="1550"/>
      <c r="E1189" s="1550"/>
      <c r="F1189" s="1550"/>
      <c r="L1189" s="1620" t="s">
        <v>3891</v>
      </c>
      <c r="M1189" s="1844">
        <f>'Part VIII-Threshold Criteria'!M97</f>
        <v>0.17100000000000001</v>
      </c>
      <c r="N1189" s="1622"/>
      <c r="O1189" s="1623" t="s">
        <v>4122</v>
      </c>
      <c r="P1189" s="1691" t="str">
        <f>'Part VIII-Threshold Criteria'!P97</f>
        <v>N/A</v>
      </c>
      <c r="Q1189" s="1621">
        <f>'Part VIII-Threshold Criteria'!Q97</f>
        <v>0</v>
      </c>
    </row>
    <row r="1190" spans="1:17">
      <c r="A1190" s="1616" t="s">
        <v>1735</v>
      </c>
      <c r="B1190" s="1604" t="s">
        <v>3889</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2014-018</v>
      </c>
      <c r="E1192" s="1577" t="str">
        <f>'Part VIII-Threshold Criteria'!E100</f>
        <v>Water Tower Park</v>
      </c>
      <c r="F1192" s="1577">
        <f>'Part VIII-Threshold Criteria'!F100</f>
        <v>0</v>
      </c>
      <c r="G1192" s="1577">
        <f>'Part VIII-Threshold Criteria'!G100</f>
        <v>0</v>
      </c>
      <c r="H1192" s="1620" t="s">
        <v>1739</v>
      </c>
      <c r="I1192" s="1621" t="str">
        <f>'Part VIII-Threshold Criteria'!I100</f>
        <v>2008-049</v>
      </c>
      <c r="J1192" s="1577" t="str">
        <f>'Part VIII-Threshold Criteria'!J100</f>
        <v>Baldwin Park</v>
      </c>
      <c r="K1192" s="1577">
        <f>'Part VIII-Threshold Criteria'!K100</f>
        <v>0</v>
      </c>
      <c r="L1192" s="1577">
        <f>'Part VIII-Threshold Criteria'!L100</f>
        <v>0</v>
      </c>
      <c r="M1192" s="1620" t="s">
        <v>1549</v>
      </c>
      <c r="N1192" s="1621" t="str">
        <f>'Part VIII-Threshold Criteria'!N100</f>
        <v>2004-010</v>
      </c>
      <c r="O1192" s="1577" t="str">
        <f>'Part VIII-Threshold Criteria'!O100</f>
        <v>Riverbend Apartments</v>
      </c>
      <c r="P1192" s="1577">
        <f>'Part VIII-Threshold Criteria'!P100</f>
        <v>0</v>
      </c>
      <c r="Q1192" s="1577">
        <f>'Part VIII-Threshold Criteria'!Q100</f>
        <v>0</v>
      </c>
    </row>
    <row r="1193" spans="1:17">
      <c r="C1193" s="1620" t="s">
        <v>1738</v>
      </c>
      <c r="D1193" s="1621" t="str">
        <f>'Part VIII-Threshold Criteria'!D101</f>
        <v>2011-020</v>
      </c>
      <c r="E1193" s="1577" t="str">
        <f>'Part VIII-Threshold Criteria'!E101</f>
        <v>Heritage Vista Apartments</v>
      </c>
      <c r="F1193" s="1577">
        <f>'Part VIII-Threshold Criteria'!F101</f>
        <v>0</v>
      </c>
      <c r="G1193" s="1577">
        <f>'Part VIII-Threshold Criteria'!G101</f>
        <v>0</v>
      </c>
      <c r="H1193" s="1620" t="s">
        <v>2365</v>
      </c>
      <c r="I1193" s="1621" t="str">
        <f>'Part VIII-Threshold Criteria'!I101</f>
        <v>2004-031</v>
      </c>
      <c r="J1193" s="1577" t="str">
        <f>'Part VIII-Threshold Criteria'!J101</f>
        <v>Pecan Hills of Milledgeville</v>
      </c>
      <c r="K1193" s="1577">
        <f>'Part VIII-Threshold Criteria'!K101</f>
        <v>0</v>
      </c>
      <c r="L1193" s="1577">
        <f>'Part VIII-Threshold Criteria'!L101</f>
        <v>0</v>
      </c>
      <c r="M1193" s="1620" t="s">
        <v>1550</v>
      </c>
      <c r="N1193" s="1621" t="str">
        <f>'Part VIII-Threshold Criteria'!N101</f>
        <v>2003-049</v>
      </c>
      <c r="O1193" s="1577" t="str">
        <f>'Part VIII-Threshold Criteria'!O101</f>
        <v>Dulles Park</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2510</v>
      </c>
    </row>
    <row r="1196" spans="1:17" ht="12.75" customHeight="1">
      <c r="A1196" s="1616" t="s">
        <v>1947</v>
      </c>
      <c r="B1196" s="1583" t="s">
        <v>3610</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3370</v>
      </c>
      <c r="B1197" s="1583" t="s">
        <v>2730</v>
      </c>
      <c r="C1197" s="1583"/>
      <c r="D1197" s="1583"/>
      <c r="E1197" s="1583"/>
      <c r="F1197" s="1583"/>
      <c r="G1197" s="1583"/>
      <c r="H1197" s="1583"/>
      <c r="I1197" s="1583"/>
      <c r="J1197" s="1583"/>
      <c r="K1197" s="1583"/>
      <c r="L1197" s="1583"/>
      <c r="M1197" s="1583"/>
      <c r="N1197" s="1583"/>
      <c r="O1197" s="1583"/>
      <c r="P1197" s="1627" t="s">
        <v>3370</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3371</v>
      </c>
      <c r="B1199" s="1604" t="s">
        <v>3611</v>
      </c>
      <c r="C1199" s="1596"/>
      <c r="D1199" s="1596"/>
      <c r="E1199" s="1596"/>
      <c r="F1199" s="1596"/>
      <c r="G1199" s="1596"/>
      <c r="H1199" s="1596"/>
      <c r="I1199" s="1596"/>
      <c r="J1199" s="1596"/>
      <c r="K1199" s="1596"/>
      <c r="L1199" s="1629"/>
      <c r="M1199" s="1596"/>
      <c r="N1199" s="1625"/>
      <c r="O1199" s="1596"/>
      <c r="P1199" s="1620" t="s">
        <v>3371</v>
      </c>
      <c r="Q1199" s="1628" t="e">
        <f>'Part VIII-Threshold Criteria'!#REF!</f>
        <v>#REF!</v>
      </c>
    </row>
    <row r="1200" spans="1:17">
      <c r="B1200" s="1525" t="s">
        <v>3749</v>
      </c>
      <c r="D1200" s="1525"/>
      <c r="E1200" s="1525"/>
      <c r="F1200" s="1525"/>
      <c r="G1200" s="1525"/>
      <c r="H1200" s="1524"/>
      <c r="I1200" s="1578"/>
      <c r="J1200" s="1578"/>
      <c r="K1200" s="1578"/>
      <c r="L1200" s="1495"/>
      <c r="M1200" s="1495"/>
      <c r="N1200" s="1495"/>
      <c r="O1200" s="1495"/>
      <c r="P1200" s="1495"/>
      <c r="Q1200" s="1495"/>
    </row>
    <row r="1201" spans="1:17" ht="409.6">
      <c r="A1201" s="1583" t="str">
        <f>'Part VIII-Threshold Criteria'!A104</f>
        <v>The LIHTC comparables are experiencing a weighted average vacancy rate of 2.7 percent and three of the six LIHTC properties report vacancy levels under 2 percent. Futhermore, all but one of the comparable senior LIHTC properties maintain waiting lists, ranging from six to 40 households. Please see Tab 5 of the Application for the Market Study.
Additional DCA funded project in the PMA: 2001-009 Waterford Place Apartments</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3471</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3472</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2880</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t="str">
        <f>'Part VIII-Threshold Criteria'!P118</f>
        <v>No</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Yes</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f>'Part VIII-Threshold Criteria'!P121</f>
        <v>0</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f>'Part VIII-Threshold Criteria'!P122</f>
        <v>0</v>
      </c>
      <c r="Q1217" s="1621">
        <f>'Part VIII-Threshold Criteria'!Q122</f>
        <v>0</v>
      </c>
    </row>
    <row r="1218" spans="1:17">
      <c r="B1218" s="1525" t="s">
        <v>3749</v>
      </c>
      <c r="D1218" s="1525"/>
      <c r="E1218" s="1525"/>
      <c r="F1218" s="1525"/>
      <c r="G1218" s="1525"/>
      <c r="H1218" s="1524"/>
      <c r="I1218" s="1578"/>
      <c r="J1218" s="1578"/>
      <c r="K1218" s="1578"/>
      <c r="L1218" s="1495"/>
      <c r="M1218" s="1495"/>
      <c r="N1218" s="1495"/>
      <c r="O1218" s="1495"/>
      <c r="P1218" s="1495"/>
      <c r="Q1218" s="1495"/>
    </row>
    <row r="1219" spans="1:17" ht="102">
      <c r="A1219" s="1583" t="str">
        <f>'Part VIII-Threshold Criteria'!A124</f>
        <v>There is not an identity of interest between the buyer and seller. An appraisal is not included in the application.</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3634</v>
      </c>
      <c r="D1224" s="1550"/>
      <c r="E1224" s="1550"/>
      <c r="F1224" s="1550"/>
      <c r="G1224" s="1550"/>
      <c r="H1224" s="1550"/>
      <c r="I1224" s="1314"/>
      <c r="J1224" s="1314"/>
      <c r="K1224" s="1620" t="s">
        <v>1983</v>
      </c>
      <c r="L1224" s="1503" t="str">
        <f>'Part VIII-Threshold Criteria'!L129</f>
        <v>Geotechnical &amp; Environmental Consultants,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Geotechnical &amp; Environmental Consultants, Inc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3473</v>
      </c>
      <c r="E1228" s="1314"/>
      <c r="F1228" s="1314"/>
      <c r="G1228" s="1314"/>
      <c r="H1228" s="457"/>
      <c r="I1228" s="1314"/>
      <c r="J1228" s="1314"/>
      <c r="K1228" s="1550"/>
      <c r="L1228" s="1517"/>
      <c r="M1228" s="1517"/>
      <c r="O1228" s="1620" t="s">
        <v>1738</v>
      </c>
      <c r="P1228" s="1621">
        <f>'Part VIII-Threshold Criteria'!P133</f>
        <v>56.6</v>
      </c>
      <c r="Q1228" s="1621">
        <f>'Part VIII-Threshold Criteria'!Q133</f>
        <v>0</v>
      </c>
    </row>
    <row r="1229" spans="1:17">
      <c r="A1229" s="1508"/>
      <c r="B1229" s="1620" t="s">
        <v>1739</v>
      </c>
      <c r="C1229" s="457" t="s">
        <v>4109</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Yes</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0.1198</v>
      </c>
      <c r="Q1238" s="1632">
        <f>'Part VIII-Threshold Criteria'!Q142</f>
        <v>0</v>
      </c>
    </row>
    <row r="1239" spans="1:17">
      <c r="A1239" s="1618"/>
      <c r="B1239" s="1620"/>
      <c r="E1239" s="1620" t="s">
        <v>2436</v>
      </c>
      <c r="F1239" s="457" t="s">
        <v>2637</v>
      </c>
      <c r="G1239" s="1314"/>
      <c r="H1239" s="457"/>
      <c r="I1239" s="1314"/>
      <c r="J1239" s="1314"/>
      <c r="O1239" s="1620" t="s">
        <v>2436</v>
      </c>
      <c r="P1239" s="1621" t="str">
        <f>'Part VIII-Threshold Criteria'!P143</f>
        <v>Yes</v>
      </c>
      <c r="Q1239" s="1621">
        <f>'Part VIII-Threshold Criteria'!Q143</f>
        <v>0</v>
      </c>
    </row>
    <row r="1240" spans="1:17">
      <c r="A1240" s="1618"/>
      <c r="B1240" s="1620"/>
      <c r="E1240" s="1620" t="s">
        <v>2437</v>
      </c>
      <c r="F1240" s="457" t="s">
        <v>2635</v>
      </c>
      <c r="G1240" s="1314"/>
      <c r="H1240" s="457"/>
      <c r="I1240" s="1314"/>
      <c r="J1240" s="1314"/>
      <c r="O1240" s="1620" t="s">
        <v>2437</v>
      </c>
      <c r="P1240" s="1621" t="str">
        <f>'Part VIII-Threshold Criteria'!P144</f>
        <v>Yes</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No</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3841</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No</v>
      </c>
      <c r="M1246" s="1621">
        <f>'Part VIII-Threshold Criteria'!M149</f>
        <v>0</v>
      </c>
      <c r="O1246" s="1620"/>
    </row>
    <row r="1247" spans="1:17">
      <c r="A1247" s="457"/>
      <c r="B1247" s="1620" t="s">
        <v>2894</v>
      </c>
      <c r="C1247" s="457" t="s">
        <v>2804</v>
      </c>
      <c r="E1247" s="1550"/>
      <c r="F1247" s="1550"/>
      <c r="G1247" s="1550"/>
      <c r="H1247" s="1550"/>
      <c r="I1247" s="1550"/>
      <c r="J1247" s="1550"/>
      <c r="K1247" s="1550"/>
      <c r="L1247" s="1550"/>
      <c r="M1247" s="457"/>
      <c r="O1247" s="1620"/>
      <c r="P1247" s="1620"/>
    </row>
    <row r="1248" spans="1:17" ht="102">
      <c r="A1248" s="457"/>
      <c r="C1248" s="1550" t="str">
        <f>'Part VIII-Threshold Criteria'!C151</f>
        <v>There will be a crossing over wetlands but the disturbance is not expected to exceed 0.1 acres</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3570</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3463</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3370</v>
      </c>
      <c r="B1255" s="1583" t="s">
        <v>4534</v>
      </c>
      <c r="C1255" s="1583"/>
      <c r="D1255" s="1583"/>
      <c r="E1255" s="1583"/>
      <c r="F1255" s="1583"/>
      <c r="G1255" s="1583"/>
      <c r="H1255" s="1583"/>
      <c r="I1255" s="1583"/>
      <c r="J1255" s="1583"/>
      <c r="K1255" s="1583"/>
      <c r="L1255" s="1583"/>
      <c r="M1255" s="1627" t="s">
        <v>3370</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3371</v>
      </c>
      <c r="B1257" s="1524" t="s">
        <v>1415</v>
      </c>
      <c r="C1257" s="1314"/>
      <c r="D1257" s="1630"/>
      <c r="E1257" s="1630"/>
      <c r="F1257" s="1630"/>
      <c r="G1257" s="1313"/>
      <c r="H1257" s="1313"/>
      <c r="I1257" s="1524"/>
      <c r="J1257" s="1314"/>
      <c r="K1257" s="1313"/>
      <c r="L1257" s="1313"/>
      <c r="M1257" s="1313"/>
      <c r="N1257" s="1314"/>
      <c r="O1257" s="1620" t="s">
        <v>3371</v>
      </c>
      <c r="P1257" s="1621" t="e">
        <f>'Part VIII-Threshold Criteria'!#REF!</f>
        <v>#REF!</v>
      </c>
      <c r="Q1257" s="1621" t="e">
        <f>'Part VIII-Threshold Criteria'!#REF!</f>
        <v>#REF!</v>
      </c>
    </row>
    <row r="1258" spans="1:17">
      <c r="B1258" s="1525" t="s">
        <v>3749</v>
      </c>
      <c r="D1258" s="1525"/>
      <c r="E1258" s="1525"/>
      <c r="F1258" s="1525"/>
      <c r="G1258" s="1525"/>
      <c r="H1258" s="1524"/>
      <c r="I1258" s="1578"/>
      <c r="J1258" s="1578"/>
      <c r="K1258" s="1578"/>
      <c r="L1258" s="1495"/>
      <c r="M1258" s="1495"/>
      <c r="N1258" s="1495"/>
      <c r="O1258" s="1495"/>
      <c r="P1258" s="1495"/>
      <c r="Q1258" s="1495"/>
    </row>
    <row r="1259" spans="1:17" ht="40.799999999999997">
      <c r="A1259" s="1583" t="str">
        <f>'Part VIII-Threshold Criteria'!A160</f>
        <v>Project did not receive HOME Funds.</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4535</v>
      </c>
      <c r="D1265" s="457"/>
      <c r="E1265" s="457"/>
      <c r="F1265" s="457"/>
      <c r="G1265" s="457"/>
      <c r="I1265" s="457" t="s">
        <v>2707</v>
      </c>
      <c r="K1265" s="1845" t="str">
        <f>'Part VIII-Threshold Criteria'!K166</f>
        <v>12.31.2019</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Dulles Park II,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2882</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3749</v>
      </c>
      <c r="D1269" s="1525"/>
      <c r="E1269" s="1525"/>
      <c r="F1269" s="1525"/>
      <c r="G1269" s="1525"/>
      <c r="H1269" s="1524"/>
      <c r="I1269" s="1578"/>
      <c r="J1269" s="1578"/>
      <c r="K1269" s="1578"/>
      <c r="L1269" s="1495"/>
      <c r="M1269" s="1495"/>
      <c r="N1269" s="1495"/>
      <c r="O1269" s="1495"/>
      <c r="P1269" s="1495"/>
      <c r="Q1269" s="1495"/>
    </row>
    <row r="1270" spans="1:17" ht="61.2">
      <c r="A1270" s="1583" t="str">
        <f>'Part VIII-Threshold Criteria'!A170</f>
        <v>Please see Tab 08 for site control through November 30, 2019.</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3740</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3635</v>
      </c>
      <c r="C1276" s="1583"/>
      <c r="D1276" s="1583"/>
      <c r="E1276" s="1583"/>
      <c r="F1276" s="1583"/>
      <c r="G1276" s="1583"/>
      <c r="H1276" s="1583"/>
      <c r="I1276" s="1583"/>
      <c r="J1276" s="1583"/>
      <c r="K1276" s="1583"/>
      <c r="L1276" s="1583"/>
      <c r="M1276" s="1583"/>
      <c r="N1276" s="1583"/>
      <c r="O1276" s="1627" t="s">
        <v>1985</v>
      </c>
      <c r="P1276" s="1628" t="str">
        <f>'Part VIII-Threshold Criteria'!P176</f>
        <v>N/Ap</v>
      </c>
      <c r="Q1276" s="1628">
        <f>'Part VIII-Threshold Criteria'!Q176</f>
        <v>0</v>
      </c>
    </row>
    <row r="1277" spans="1:17" ht="12.75" customHeight="1">
      <c r="A1277" s="1616" t="s">
        <v>749</v>
      </c>
      <c r="B1277" s="1583" t="s">
        <v>3741</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t="str">
        <f>'Part VIII-Threshold Criteria'!P178</f>
        <v>N/Ap</v>
      </c>
      <c r="Q1278" s="1628">
        <f>'Part VIII-Threshold Criteria'!Q178</f>
        <v>0</v>
      </c>
    </row>
    <row r="1279" spans="1:17">
      <c r="B1279" s="1525" t="s">
        <v>3749</v>
      </c>
      <c r="D1279" s="1525"/>
      <c r="E1279" s="1525"/>
      <c r="F1279" s="1525"/>
      <c r="G1279" s="1525"/>
      <c r="H1279" s="1524"/>
      <c r="I1279" s="1578"/>
      <c r="J1279" s="1578"/>
      <c r="K1279" s="1578"/>
      <c r="L1279" s="1495"/>
      <c r="M1279" s="1495"/>
      <c r="N1279" s="1495"/>
      <c r="O1279" s="1495"/>
      <c r="P1279" s="1495"/>
      <c r="Q1279" s="1495"/>
    </row>
    <row r="1280" spans="1:17" ht="255">
      <c r="A1280" s="1583" t="str">
        <f>'Part VIII-Threshold Criteria'!A180</f>
        <v>The site is legally accessible by paved roads and documentation reflecting this is included in the application.  There is both an entry through Dulles Park that is documented via an easement in tab 9 and an alternate access directly to Old Clinton Rd.</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4536</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3742</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3892</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3749</v>
      </c>
      <c r="D1296" s="1525"/>
      <c r="E1296" s="1525"/>
      <c r="F1296" s="1525"/>
      <c r="G1296" s="1525"/>
      <c r="H1296" s="1524"/>
      <c r="I1296" s="1578"/>
      <c r="J1296" s="1578"/>
      <c r="K1296" s="1578"/>
      <c r="L1296" s="1495"/>
      <c r="M1296" s="1495"/>
      <c r="N1296" s="1495"/>
      <c r="O1296" s="1495"/>
      <c r="P1296" s="1495"/>
      <c r="Q1296" s="1495"/>
    </row>
    <row r="1297" spans="1:17" ht="71.400000000000006">
      <c r="A1297" s="1583" t="str">
        <f>'Part VIII-Threshold Criteria'!A197</f>
        <v>Please see Tab 10 for evidence the propject is in compliance with zoning regulations.</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f>'Part VIII-Threshold Criteria'!J203</f>
        <v>0</v>
      </c>
      <c r="K1302" s="1577">
        <f>'Part VIII-Threshold Criteria'!K203</f>
        <v>0</v>
      </c>
      <c r="L1302" s="1577">
        <f>'Part VIII-Threshold Criteria'!L203</f>
        <v>0</v>
      </c>
      <c r="M1302" s="1577">
        <f>'Part VIII-Threshold Criteria'!M203</f>
        <v>0</v>
      </c>
      <c r="N1302" s="1577">
        <f>'Part VIII-Threshold Criteria'!N203</f>
        <v>0</v>
      </c>
      <c r="O1302" s="1620" t="s">
        <v>1737</v>
      </c>
      <c r="P1302" s="1621">
        <f>'Part VIII-Threshold Criteria'!P203</f>
        <v>0</v>
      </c>
      <c r="Q1302" s="1621">
        <f>'Part VIII-Threshold Criteria'!Q203</f>
        <v>0</v>
      </c>
    </row>
    <row r="1303" spans="1:17">
      <c r="A1303" s="1508"/>
      <c r="B1303" s="1525" t="s">
        <v>3749</v>
      </c>
      <c r="C1303" s="1521"/>
      <c r="D1303" s="1521"/>
      <c r="E1303" s="1521"/>
      <c r="F1303" s="1521"/>
      <c r="H1303" s="1620" t="s">
        <v>1738</v>
      </c>
      <c r="I1303" s="457" t="s">
        <v>1596</v>
      </c>
      <c r="J1303" s="1577" t="str">
        <f>'Part VIII-Threshold Criteria'!J204</f>
        <v>Georgia Power Company</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51">
      <c r="A1304" s="1583" t="str">
        <f>'Part VIII-Threshold Criteria'!A205</f>
        <v>Operating Utiities Confirmed by Georgia Power</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City of Gray</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Gray</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3898</v>
      </c>
      <c r="D1314" s="457"/>
      <c r="E1314" s="457"/>
      <c r="F1314" s="457"/>
      <c r="G1314" s="457"/>
      <c r="H1314" s="457"/>
      <c r="I1314" s="457"/>
      <c r="J1314" s="457"/>
      <c r="K1314" s="1314"/>
      <c r="L1314" s="457"/>
      <c r="M1314" s="457"/>
      <c r="O1314" s="1620" t="s">
        <v>749</v>
      </c>
      <c r="P1314" s="1621" t="str">
        <f>'Part VIII-Threshold Criteria'!P212</f>
        <v>No</v>
      </c>
      <c r="Q1314" s="1621">
        <f>'Part VIII-Threshold Criteria'!Q212</f>
        <v>0</v>
      </c>
    </row>
    <row r="1315" spans="1:17">
      <c r="A1315" s="1618" t="s">
        <v>2115</v>
      </c>
      <c r="B1315" s="457" t="s">
        <v>3899</v>
      </c>
      <c r="D1315" s="457"/>
      <c r="E1315" s="457"/>
      <c r="F1315" s="457"/>
      <c r="G1315" s="457"/>
      <c r="H1315" s="457"/>
      <c r="I1315" s="457"/>
      <c r="J1315" s="457"/>
      <c r="K1315" s="1314"/>
      <c r="L1315" s="457"/>
      <c r="M1315" s="457"/>
      <c r="O1315" s="1620" t="s">
        <v>2115</v>
      </c>
      <c r="P1315" s="1621" t="str">
        <f>'Part VIII-Threshold Criteria'!P213</f>
        <v>No</v>
      </c>
      <c r="Q1315" s="1621">
        <f>'Part VIII-Threshold Criteria'!Q213</f>
        <v>0</v>
      </c>
    </row>
    <row r="1316" spans="1:17">
      <c r="B1316" s="1525" t="s">
        <v>3749</v>
      </c>
      <c r="D1316" s="1525"/>
      <c r="E1316" s="1525"/>
      <c r="F1316" s="1525"/>
      <c r="G1316" s="1525"/>
      <c r="H1316" s="1524"/>
      <c r="I1316" s="1578"/>
      <c r="J1316" s="1578"/>
      <c r="K1316" s="1578"/>
      <c r="L1316" s="1495"/>
      <c r="M1316" s="1495"/>
      <c r="N1316" s="1495"/>
      <c r="O1316" s="1495"/>
      <c r="P1316" s="1495"/>
      <c r="Q1316" s="1495"/>
    </row>
    <row r="1317" spans="1:17" ht="71.400000000000006">
      <c r="A1317" s="1583" t="str">
        <f>'Part VIII-Threshold Criteria'!A215</f>
        <v>Water and Sewer Availability and Capacity conefirmed by the City of Gray</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4537</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Building</v>
      </c>
      <c r="L1324" s="1577">
        <f>'Part VIII-Threshold Criteria'!L222</f>
        <v>0</v>
      </c>
      <c r="Q1324" s="1621">
        <f>'Part VIII-Threshold Criteria'!Q222</f>
        <v>0</v>
      </c>
    </row>
    <row r="1325" spans="1:17">
      <c r="A1325" s="1618"/>
      <c r="B1325" s="1620" t="s">
        <v>1738</v>
      </c>
      <c r="C1325" s="1524" t="s">
        <v>2723</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4538</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40.799999999999997">
      <c r="A1330" s="1621"/>
      <c r="B1330" s="1620" t="s">
        <v>1737</v>
      </c>
      <c r="C1330" s="1583" t="str">
        <f>'Part VIII-Threshold Criteria'!C229</f>
        <v xml:space="preserve">Equipped Computer Center and WiFi </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0.799999999999997">
      <c r="A1331" s="1621"/>
      <c r="B1331" s="1620" t="s">
        <v>1738</v>
      </c>
      <c r="C1331" s="1583" t="str">
        <f>'Part VIII-Threshold Criteria'!C230</f>
        <v>Furnished Exercise /Fitness Center</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3465</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f>'Part VIII-Threshold Criteria'!P240</f>
        <v>0</v>
      </c>
      <c r="Q1339" s="1621">
        <f>'Part VIII-Threshold Criteria'!Q240</f>
        <v>0</v>
      </c>
    </row>
    <row r="1340" spans="1:17">
      <c r="A1340" s="1618" t="s">
        <v>2115</v>
      </c>
      <c r="B1340" s="457" t="s">
        <v>3660</v>
      </c>
      <c r="C1340" s="457"/>
      <c r="E1340" s="457"/>
      <c r="F1340" s="457"/>
      <c r="G1340" s="457"/>
      <c r="H1340" s="457"/>
      <c r="I1340" s="457"/>
      <c r="J1340" s="457"/>
      <c r="K1340" s="1314"/>
      <c r="L1340" s="457"/>
      <c r="M1340" s="457"/>
      <c r="O1340" s="1620" t="s">
        <v>2115</v>
      </c>
      <c r="P1340" s="1621" t="str">
        <f>'Part VIII-Threshold Criteria'!P241</f>
        <v>Agree</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t="str">
        <f>'Part VIII-Threshold Criteria'!P242</f>
        <v>No</v>
      </c>
      <c r="Q1341" s="1621">
        <f>'Part VIII-Threshold Criteria'!Q242</f>
        <v>0</v>
      </c>
    </row>
    <row r="1342" spans="1:17">
      <c r="B1342" s="1620" t="s">
        <v>1738</v>
      </c>
      <c r="C1342" s="457" t="s">
        <v>3900</v>
      </c>
      <c r="E1342" s="1314"/>
      <c r="F1342" s="1314"/>
      <c r="G1342" s="1524"/>
      <c r="H1342" s="1524"/>
      <c r="I1342" s="1314"/>
      <c r="J1342" s="1524"/>
      <c r="K1342" s="1314"/>
      <c r="L1342" s="1524"/>
      <c r="M1342" s="1524"/>
      <c r="O1342" s="1620" t="s">
        <v>1738</v>
      </c>
      <c r="P1342" s="1621" t="str">
        <f>'Part VIII-Threshold Criteria'!P243</f>
        <v>No</v>
      </c>
      <c r="Q1342" s="1621">
        <f>'Part VIII-Threshold Criteria'!Q243</f>
        <v>0</v>
      </c>
    </row>
    <row r="1343" spans="1:17">
      <c r="B1343" s="1525" t="s">
        <v>3749</v>
      </c>
      <c r="D1343" s="1525"/>
      <c r="E1343" s="1525"/>
      <c r="F1343" s="1525"/>
      <c r="G1343" s="1525"/>
      <c r="H1343" s="1524"/>
      <c r="I1343" s="1578"/>
      <c r="J1343" s="1578"/>
      <c r="K1343" s="1578"/>
      <c r="L1343" s="1495"/>
      <c r="M1343" s="1495"/>
      <c r="N1343" s="1495"/>
      <c r="O1343" s="1495"/>
      <c r="P1343" s="1495"/>
      <c r="Q1343" s="1495"/>
    </row>
    <row r="1344" spans="1:17" ht="132.6">
      <c r="A1344" s="1583" t="str">
        <f>'Part VIII-Threshold Criteria'!A245</f>
        <v>Applicant agrees to provide the above required amenities in conformance with DCA Amentities Guidebook. All  buildings will be single-story.</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3756</v>
      </c>
      <c r="D1354" s="457"/>
      <c r="E1354" s="457"/>
      <c r="F1354" s="457"/>
      <c r="M1354" s="457"/>
      <c r="N1354" s="1640"/>
      <c r="O1354" s="1620" t="s">
        <v>749</v>
      </c>
      <c r="P1354" s="1621">
        <f>'Part VIII-Threshold Criteria'!P255</f>
        <v>0</v>
      </c>
      <c r="Q1354" s="1621">
        <f>'Part VIII-Threshold Criteria'!Q255</f>
        <v>0</v>
      </c>
    </row>
    <row r="1355" spans="1:17">
      <c r="A1355" s="1618"/>
      <c r="B1355" s="457" t="s">
        <v>3755</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3901</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3757</v>
      </c>
      <c r="C1357" s="1583"/>
      <c r="D1357" s="1583"/>
      <c r="E1357" s="1583"/>
      <c r="F1357" s="1583"/>
      <c r="G1357" s="1583"/>
      <c r="H1357" s="1051" t="s">
        <v>4110</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4111</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4112</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4113</v>
      </c>
      <c r="K1360" s="1314"/>
      <c r="M1360" s="457"/>
      <c r="N1360" s="1640"/>
      <c r="O1360" s="1620" t="s">
        <v>2365</v>
      </c>
      <c r="P1360" s="1621">
        <f>'Part VIII-Threshold Criteria'!P263</f>
        <v>0</v>
      </c>
      <c r="Q1360" s="1621">
        <f>'Part VIII-Threshold Criteria'!Q263</f>
        <v>0</v>
      </c>
    </row>
    <row r="1361" spans="1:17" ht="12.75" customHeight="1">
      <c r="A1361" s="1616" t="s">
        <v>1735</v>
      </c>
      <c r="B1361" s="1583" t="s">
        <v>4539</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3749</v>
      </c>
      <c r="D1362" s="1525"/>
      <c r="E1362" s="1525"/>
      <c r="F1362" s="1525"/>
      <c r="G1362" s="1525"/>
      <c r="H1362" s="1524"/>
      <c r="I1362" s="1578"/>
      <c r="J1362" s="1578"/>
      <c r="K1362" s="1578"/>
      <c r="L1362" s="1495"/>
      <c r="M1362" s="1495"/>
      <c r="N1362" s="1495"/>
      <c r="O1362" s="1495"/>
      <c r="P1362" s="1495"/>
      <c r="Q1362" s="1495"/>
    </row>
    <row r="1363" spans="1:17">
      <c r="A1363" s="1583" t="str">
        <f>'Part VIII-Threshold Criteria'!A272</f>
        <v>N/A</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3903</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3752</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3753</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4114</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3754</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4115</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3749</v>
      </c>
      <c r="D1375" s="1525"/>
      <c r="E1375" s="1525"/>
      <c r="F1375" s="1525"/>
      <c r="G1375" s="1525"/>
      <c r="H1375" s="1524"/>
      <c r="I1375" s="1578"/>
      <c r="J1375" s="1578"/>
      <c r="K1375" s="1578"/>
      <c r="L1375" s="1495"/>
      <c r="M1375" s="1495"/>
      <c r="N1375" s="1495"/>
      <c r="O1375" s="1495"/>
      <c r="P1375" s="1495"/>
      <c r="Q1375" s="1495"/>
    </row>
    <row r="1376" spans="1:17" ht="51">
      <c r="A1376" s="1583" t="str">
        <f>'Part VIII-Threshold Criteria'!A284</f>
        <v>All site relevant site information available in tab 15</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4096</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3749</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4097</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4540</v>
      </c>
    </row>
    <row r="1389" spans="1:17" ht="12.75" customHeight="1">
      <c r="A1389" s="1616"/>
      <c r="B1389" s="1627" t="s">
        <v>1737</v>
      </c>
      <c r="C1389" s="1583" t="s">
        <v>3905</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3906</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3904</v>
      </c>
      <c r="D1391" s="1583"/>
      <c r="E1391" s="1583"/>
      <c r="F1391" s="1583"/>
      <c r="G1391" s="1583"/>
      <c r="H1391" s="1583"/>
      <c r="I1391" s="1583"/>
      <c r="J1391" s="1583"/>
      <c r="K1391" s="1583"/>
      <c r="L1391" s="1583"/>
      <c r="M1391" s="1583"/>
      <c r="N1391" s="1583"/>
      <c r="O1391" s="1627" t="s">
        <v>1739</v>
      </c>
      <c r="P1391" s="1628" t="str">
        <f>'Part VIII-Threshold Criteria'!P302</f>
        <v>Yes</v>
      </c>
      <c r="Q1391" s="1628">
        <f>'Part VIII-Threshold Criteria'!Q302</f>
        <v>0</v>
      </c>
    </row>
    <row r="1392" spans="1:17">
      <c r="A1392" s="1512" t="s">
        <v>1985</v>
      </c>
      <c r="B1392" s="1488" t="s">
        <v>3872</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4541</v>
      </c>
      <c r="D1393" s="1583"/>
      <c r="E1393" s="1583"/>
      <c r="F1393" s="1583"/>
      <c r="G1393" s="1583"/>
      <c r="H1393" s="1583"/>
      <c r="I1393" s="1604"/>
      <c r="J1393" s="1587" t="s">
        <v>3789</v>
      </c>
      <c r="K1393" s="1638"/>
      <c r="L1393" s="1638"/>
      <c r="M1393" s="1644" t="s">
        <v>3759</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3760</v>
      </c>
      <c r="N1394" s="1578" t="s">
        <v>3788</v>
      </c>
      <c r="O1394" s="1330"/>
      <c r="P1394" s="1343"/>
      <c r="Q1394" s="1330"/>
    </row>
    <row r="1395" spans="1:17" ht="13.8">
      <c r="A1395" s="1333"/>
      <c r="B1395" s="1330"/>
      <c r="C1395" s="1583"/>
      <c r="D1395" s="1583"/>
      <c r="E1395" s="1583"/>
      <c r="F1395" s="1583"/>
      <c r="G1395" s="1583"/>
      <c r="H1395" s="1583"/>
      <c r="I1395" s="457" t="s">
        <v>4117</v>
      </c>
      <c r="J1395" s="1330"/>
      <c r="K1395" s="1846">
        <f>'Part VIII-Threshold Criteria'!K306</f>
        <v>3</v>
      </c>
      <c r="L1395" s="1331" t="str">
        <f>IF(K1395&lt;M1395,"Check!!!","")</f>
        <v/>
      </c>
      <c r="M1395" s="1645">
        <f>'Part VIII-Threshold Criteria'!M306</f>
        <v>3</v>
      </c>
      <c r="N1395" s="1646">
        <f>'DCA Underwriting Assumptions'!$Q$139</f>
        <v>0.05</v>
      </c>
      <c r="O1395" s="1620" t="s">
        <v>3636</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4542</v>
      </c>
      <c r="D1397" s="1583"/>
      <c r="E1397" s="1583"/>
      <c r="F1397" s="1583"/>
      <c r="G1397" s="1583"/>
      <c r="H1397" s="1583"/>
      <c r="I1397" s="1647" t="s">
        <v>4118</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4543</v>
      </c>
      <c r="D1399" s="1583"/>
      <c r="E1399" s="1583"/>
      <c r="F1399" s="1583"/>
      <c r="G1399" s="1583"/>
      <c r="H1399" s="1583"/>
      <c r="I1399" s="457" t="s">
        <v>4119</v>
      </c>
      <c r="J1399" s="1330"/>
      <c r="K1399" s="1846">
        <f>'Part VIII-Threshold Criteria'!K309</f>
        <v>1</v>
      </c>
      <c r="L1399" s="1331" t="str">
        <f>IF(K1399&lt;M1399,"Check!!!","")</f>
        <v/>
      </c>
      <c r="M1399" s="1645">
        <f>'Part VIII-Threshold Criteria'!M309</f>
        <v>1</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3873</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3638</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3639</v>
      </c>
      <c r="C1404" s="1314"/>
      <c r="D1404" s="1604"/>
      <c r="E1404" s="1604"/>
      <c r="F1404" s="1604"/>
      <c r="G1404" s="1604"/>
      <c r="H1404" s="1604"/>
      <c r="I1404" s="1604" t="s">
        <v>3758</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3637</v>
      </c>
      <c r="D1405" s="1583"/>
      <c r="E1405" s="1583"/>
      <c r="F1405" s="1583"/>
      <c r="G1405" s="1583"/>
      <c r="H1405" s="1583"/>
      <c r="I1405" s="1583"/>
      <c r="J1405" s="1583"/>
      <c r="K1405" s="1583"/>
      <c r="L1405" s="1583"/>
      <c r="M1405" s="1583"/>
      <c r="N1405" s="1583"/>
      <c r="O1405" s="1627" t="s">
        <v>3642</v>
      </c>
      <c r="P1405" s="1628" t="str">
        <f>'Part VIII-Threshold Criteria'!P315</f>
        <v>Yes</v>
      </c>
      <c r="Q1405" s="1628">
        <f>'Part VIII-Threshold Criteria'!Q315</f>
        <v>0</v>
      </c>
    </row>
    <row r="1406" spans="1:17" ht="12.75" customHeight="1">
      <c r="A1406" s="1596"/>
      <c r="B1406" s="1627" t="s">
        <v>1738</v>
      </c>
      <c r="C1406" s="1583" t="s">
        <v>3682</v>
      </c>
      <c r="D1406" s="1583"/>
      <c r="E1406" s="1583"/>
      <c r="F1406" s="1583"/>
      <c r="G1406" s="1583"/>
      <c r="H1406" s="1583"/>
      <c r="I1406" s="1583"/>
      <c r="J1406" s="1583"/>
      <c r="K1406" s="1583"/>
      <c r="L1406" s="1583"/>
      <c r="M1406" s="1583"/>
      <c r="N1406" s="1583"/>
      <c r="O1406" s="1627" t="s">
        <v>3643</v>
      </c>
      <c r="P1406" s="1628" t="str">
        <f>'Part VIII-Threshold Criteria'!P316</f>
        <v>Yes</v>
      </c>
      <c r="Q1406" s="1628">
        <f>'Part VIII-Threshold Criteria'!Q316</f>
        <v>0</v>
      </c>
    </row>
    <row r="1407" spans="1:17" ht="12.75" customHeight="1">
      <c r="A1407" s="1596"/>
      <c r="B1407" s="1627" t="s">
        <v>1739</v>
      </c>
      <c r="C1407" s="1583" t="s">
        <v>3640</v>
      </c>
      <c r="D1407" s="1583"/>
      <c r="E1407" s="1583"/>
      <c r="F1407" s="1583"/>
      <c r="G1407" s="1583"/>
      <c r="H1407" s="1583"/>
      <c r="I1407" s="1583"/>
      <c r="J1407" s="1583"/>
      <c r="K1407" s="1583"/>
      <c r="L1407" s="1583"/>
      <c r="M1407" s="1583"/>
      <c r="N1407" s="1583"/>
      <c r="O1407" s="1627" t="s">
        <v>3644</v>
      </c>
      <c r="P1407" s="1628" t="str">
        <f>'Part VIII-Threshold Criteria'!P317</f>
        <v>Yes</v>
      </c>
      <c r="Q1407" s="1628">
        <f>'Part VIII-Threshold Criteria'!Q317</f>
        <v>0</v>
      </c>
    </row>
    <row r="1408" spans="1:17" ht="12.75" customHeight="1">
      <c r="A1408" s="1596"/>
      <c r="B1408" s="1627" t="s">
        <v>2365</v>
      </c>
      <c r="C1408" s="1583" t="s">
        <v>3641</v>
      </c>
      <c r="D1408" s="1583"/>
      <c r="E1408" s="1583"/>
      <c r="F1408" s="1583"/>
      <c r="G1408" s="1583"/>
      <c r="H1408" s="1583"/>
      <c r="I1408" s="1583"/>
      <c r="J1408" s="1583"/>
      <c r="K1408" s="1583"/>
      <c r="L1408" s="1583"/>
      <c r="M1408" s="1583"/>
      <c r="N1408" s="1583"/>
      <c r="O1408" s="1627" t="s">
        <v>3645</v>
      </c>
      <c r="P1408" s="1628" t="str">
        <f>'Part VIII-Threshold Criteria'!P318</f>
        <v>Yes</v>
      </c>
      <c r="Q1408" s="1628">
        <f>'Part VIII-Threshold Criteria'!Q318</f>
        <v>0</v>
      </c>
    </row>
    <row r="1409" spans="1:17">
      <c r="B1409" s="1525" t="s">
        <v>3749</v>
      </c>
      <c r="D1409" s="1525"/>
      <c r="E1409" s="1525"/>
      <c r="F1409" s="1525"/>
      <c r="G1409" s="1525"/>
      <c r="H1409" s="1524"/>
      <c r="I1409" s="1578"/>
      <c r="J1409" s="1578"/>
      <c r="K1409" s="1578"/>
      <c r="L1409" s="1495"/>
      <c r="M1409" s="1495"/>
      <c r="N1409" s="1495"/>
      <c r="O1409" s="1495"/>
      <c r="P1409" s="1495"/>
      <c r="Q1409" s="1495"/>
    </row>
    <row r="1410" spans="1:17" ht="204">
      <c r="A1410" s="1583" t="str">
        <f>'Part VIII-Threshold Criteria'!A320</f>
        <v>Applicant agrees to retain a DCA qualified consultant to monitor the project for accessibility compliance who will not be a member of the project team nor have an identity of interest with any members of the project team.</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4095</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4544</v>
      </c>
      <c r="D1416" s="1524"/>
      <c r="E1416" s="1524"/>
      <c r="F1416" s="1524"/>
      <c r="G1416" s="1524"/>
      <c r="H1416" s="1524"/>
      <c r="I1416" s="1524"/>
      <c r="J1416" s="1524"/>
      <c r="K1416" s="1524"/>
      <c r="L1416" s="1524"/>
      <c r="M1416" s="1524"/>
      <c r="N1416" s="1627"/>
    </row>
    <row r="1417" spans="1:17" ht="12.75" customHeight="1">
      <c r="B1417" s="1583" t="s">
        <v>2881</v>
      </c>
      <c r="C1417" s="1583"/>
      <c r="D1417" s="1583"/>
      <c r="E1417" s="1583"/>
      <c r="F1417" s="1583"/>
      <c r="G1417" s="1583"/>
      <c r="H1417" s="1583"/>
      <c r="I1417" s="1583"/>
      <c r="J1417" s="1583"/>
      <c r="K1417" s="1583"/>
      <c r="L1417" s="1583"/>
      <c r="M1417" s="1583"/>
      <c r="N1417" s="1583"/>
      <c r="O1417" s="1627" t="s">
        <v>1983</v>
      </c>
      <c r="P1417" s="1628">
        <f>'Part VIII-Threshold Criteria'!P327</f>
        <v>0</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4545</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3749</v>
      </c>
      <c r="D1426" s="1525"/>
      <c r="E1426" s="1525"/>
      <c r="F1426" s="1525"/>
      <c r="G1426" s="1525"/>
      <c r="H1426" s="1524"/>
      <c r="I1426" s="1578"/>
      <c r="J1426" s="1578"/>
      <c r="K1426" s="1578"/>
      <c r="L1426" s="1495"/>
      <c r="M1426" s="1495"/>
      <c r="N1426" s="1495"/>
      <c r="O1426" s="1495"/>
      <c r="P1426" s="1495"/>
      <c r="Q1426" s="1495"/>
    </row>
    <row r="1427" spans="1:17" ht="81.599999999999994">
      <c r="A1427" s="1583" t="str">
        <f>'Part VIII-Threshold Criteria'!A337</f>
        <v>Applicant agrees to meet all DCA requirements per the 2019 QAP and Architectural Standards</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4098</v>
      </c>
      <c r="B1430" s="1488" t="s">
        <v>4136</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3908</v>
      </c>
      <c r="O1431" s="1627" t="s">
        <v>1983</v>
      </c>
      <c r="P1431" s="1621" t="str">
        <f>'Part VIII-Threshold Criteria'!P341</f>
        <v>Yes</v>
      </c>
      <c r="Q1431" s="1621">
        <f>'Part VIII-Threshold Criteria'!Q341</f>
        <v>0</v>
      </c>
    </row>
    <row r="1432" spans="1:17">
      <c r="A1432" s="1616" t="s">
        <v>1985</v>
      </c>
      <c r="B1432" s="1051" t="s">
        <v>4084</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3837</v>
      </c>
      <c r="O1434" s="1620" t="s">
        <v>2115</v>
      </c>
      <c r="P1434" s="1621" t="str">
        <f>'Part VIII-Threshold Criteria'!P344</f>
        <v>No</v>
      </c>
      <c r="Q1434" s="1621">
        <f>'Part VIII-Threshold Criteria'!Q344</f>
        <v>0</v>
      </c>
    </row>
    <row r="1435" spans="1:17">
      <c r="A1435" s="1616" t="s">
        <v>1735</v>
      </c>
      <c r="B1435" s="1051" t="s">
        <v>2884</v>
      </c>
      <c r="N1435" s="1627" t="s">
        <v>1735</v>
      </c>
      <c r="O1435" s="1534" t="str">
        <f>'Part VIII-Threshold Criteria'!O345</f>
        <v>Probationary Certifying GP/Dev</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3749</v>
      </c>
      <c r="D1437" s="1525"/>
      <c r="E1437" s="1525"/>
      <c r="F1437" s="1525"/>
      <c r="G1437" s="1525"/>
      <c r="H1437" s="1524"/>
      <c r="I1437" s="1578"/>
      <c r="J1437" s="1578"/>
      <c r="K1437" s="1578"/>
      <c r="L1437" s="1495"/>
      <c r="M1437" s="1495"/>
      <c r="N1437" s="1495"/>
      <c r="O1437" s="1495"/>
      <c r="P1437" s="1495"/>
      <c r="Q1437" s="1495"/>
    </row>
    <row r="1438" spans="1:17" ht="183.6">
      <c r="A1438" s="1583" t="str">
        <f>'Part VIII-Threshold Criteria'!A348</f>
        <v>Applicant's QD was for up to 80 Affordable New Construction units at a TBD location.  The project team has not changed since application and the proposed project is for 48 units.</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4099</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3654</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3846</v>
      </c>
      <c r="D1443" s="1604"/>
      <c r="E1443" s="1604"/>
      <c r="F1443" s="1604"/>
      <c r="G1443" s="1604"/>
      <c r="H1443" s="1604"/>
      <c r="I1443" s="1604"/>
      <c r="J1443" s="1604"/>
      <c r="K1443" s="1604"/>
      <c r="L1443" s="1604"/>
      <c r="M1443" s="1604"/>
      <c r="N1443" s="1604"/>
      <c r="O1443" s="1627" t="s">
        <v>1985</v>
      </c>
      <c r="P1443" s="1621" t="str">
        <f>'Part VIII-Threshold Criteria'!P353</f>
        <v>No</v>
      </c>
      <c r="Q1443" s="1621">
        <f>'Part VIII-Threshold Criteria'!Q353</f>
        <v>0</v>
      </c>
    </row>
    <row r="1444" spans="1:17" ht="12.75" customHeight="1">
      <c r="A1444" s="1616" t="s">
        <v>749</v>
      </c>
      <c r="B1444" s="1583" t="s">
        <v>4085</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3749</v>
      </c>
      <c r="D1445" s="1525"/>
      <c r="E1445" s="1525"/>
      <c r="F1445" s="1525"/>
      <c r="G1445" s="1525"/>
      <c r="H1445" s="1524"/>
      <c r="I1445" s="1578"/>
      <c r="J1445" s="1578"/>
      <c r="K1445" s="1578"/>
      <c r="L1445" s="1495"/>
      <c r="M1445" s="1495"/>
      <c r="N1445" s="1495"/>
      <c r="O1445" s="1495"/>
      <c r="P1445" s="1495"/>
      <c r="Q1445" s="1495"/>
    </row>
    <row r="1446" spans="1:17" ht="71.400000000000006">
      <c r="A1446" s="1583" t="str">
        <f>'Part VIII-Threshold Criteria'!A356</f>
        <v>No Changes since pre-application other than the TBD site has been defined.</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4102</v>
      </c>
      <c r="B1450" s="1312" t="s">
        <v>4075</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4076</v>
      </c>
      <c r="D1451" s="1319"/>
      <c r="E1451" s="1319"/>
      <c r="F1451" s="1319"/>
      <c r="G1451" s="1319"/>
      <c r="H1451" s="1620" t="s">
        <v>1983</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4077</v>
      </c>
      <c r="D1452" s="1319"/>
      <c r="E1452" s="1319"/>
      <c r="F1452" s="1319"/>
      <c r="G1452" s="1319"/>
      <c r="H1452" s="1627" t="s">
        <v>1985</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4067</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2115</v>
      </c>
      <c r="B1454" s="1583" t="s">
        <v>4068</v>
      </c>
      <c r="C1454" s="1583"/>
      <c r="D1454" s="1583"/>
      <c r="E1454" s="1583"/>
      <c r="F1454" s="1583"/>
      <c r="G1454" s="1583"/>
      <c r="H1454" s="1583"/>
      <c r="I1454" s="1583"/>
      <c r="J1454" s="1583"/>
      <c r="K1454" s="1583"/>
      <c r="L1454" s="1583"/>
      <c r="M1454" s="1583"/>
      <c r="N1454" s="1583"/>
      <c r="O1454" s="1620" t="s">
        <v>2115</v>
      </c>
      <c r="P1454" s="1628">
        <f>'Part VIII-Threshold Criteria'!P364</f>
        <v>0</v>
      </c>
      <c r="Q1454" s="1628">
        <f>'Part VIII-Threshold Criteria'!Q364</f>
        <v>0</v>
      </c>
    </row>
    <row r="1455" spans="1:17">
      <c r="A1455" s="1616" t="s">
        <v>1735</v>
      </c>
      <c r="B1455" s="457" t="s">
        <v>4069</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4070</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1947</v>
      </c>
      <c r="B1457" s="1604" t="s">
        <v>4071</v>
      </c>
      <c r="C1457" s="1596"/>
      <c r="D1457" s="1583"/>
      <c r="E1457" s="1583"/>
      <c r="F1457" s="1583"/>
      <c r="G1457" s="1583"/>
      <c r="H1457" s="1583"/>
      <c r="I1457" s="1583"/>
      <c r="J1457" s="1583"/>
      <c r="K1457" s="1583"/>
      <c r="L1457" s="1583"/>
      <c r="M1457" s="1583"/>
      <c r="N1457" s="1583"/>
      <c r="O1457" s="1627" t="s">
        <v>1947</v>
      </c>
      <c r="P1457" s="1628">
        <f>'Part VIII-Threshold Criteria'!P367</f>
        <v>0</v>
      </c>
      <c r="Q1457" s="1628">
        <f>'Part VIII-Threshold Criteria'!Q367</f>
        <v>0</v>
      </c>
    </row>
    <row r="1458" spans="1:17">
      <c r="A1458" s="1596"/>
      <c r="B1458" s="1596"/>
      <c r="C1458" s="1635" t="s">
        <v>4546</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3370</v>
      </c>
      <c r="B1459" s="1583" t="s">
        <v>4072</v>
      </c>
      <c r="C1459" s="1583"/>
      <c r="D1459" s="1583"/>
      <c r="E1459" s="1583"/>
      <c r="F1459" s="1583"/>
      <c r="G1459" s="1583"/>
      <c r="H1459" s="1583"/>
      <c r="I1459" s="1583"/>
      <c r="J1459" s="1583"/>
      <c r="K1459" s="1583"/>
      <c r="L1459" s="1583"/>
      <c r="M1459" s="1583"/>
      <c r="N1459" s="1583"/>
      <c r="O1459" s="1627" t="s">
        <v>3370</v>
      </c>
      <c r="P1459" s="1628">
        <f>'Part VIII-Threshold Criteria'!P369</f>
        <v>0</v>
      </c>
      <c r="Q1459" s="1628">
        <f>'Part VIII-Threshold Criteria'!Q369</f>
        <v>0</v>
      </c>
    </row>
    <row r="1460" spans="1:17" ht="12.75" customHeight="1">
      <c r="A1460" s="1616" t="s">
        <v>616</v>
      </c>
      <c r="B1460" s="1583" t="s">
        <v>4073</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3749</v>
      </c>
      <c r="D1461" s="1525"/>
      <c r="E1461" s="1525"/>
      <c r="F1461" s="1525"/>
      <c r="G1461" s="1525"/>
      <c r="H1461" s="1524"/>
      <c r="I1461" s="1578"/>
      <c r="J1461" s="1578"/>
      <c r="K1461" s="1578"/>
      <c r="L1461" s="1495"/>
      <c r="M1461" s="1495"/>
      <c r="N1461" s="1495"/>
      <c r="O1461" s="1495"/>
      <c r="P1461" s="1495"/>
      <c r="Q1461" s="1495"/>
    </row>
    <row r="1462" spans="1:17">
      <c r="A1462" s="1583" t="str">
        <f>'Part VIII-Threshold Criteria'!A372</f>
        <v>N/A</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4103</v>
      </c>
      <c r="B1466" s="1312" t="s">
        <v>3909</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3911</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4120</v>
      </c>
      <c r="D1468" s="457"/>
      <c r="E1468" s="457"/>
      <c r="F1468" s="457"/>
      <c r="G1468" s="1577">
        <f>'Part VIII-Threshold Criteria'!J378</f>
        <v>0</v>
      </c>
      <c r="H1468" s="1577">
        <f>'Part VIII-Threshold Criteria'!K378</f>
        <v>0</v>
      </c>
      <c r="I1468" s="1577">
        <f>'Part VIII-Threshold Criteria'!L378</f>
        <v>0</v>
      </c>
      <c r="J1468" s="1578" t="s">
        <v>3918</v>
      </c>
      <c r="K1468" s="1577">
        <f>'Part VIII-Threshold Criteria'!J379</f>
        <v>0</v>
      </c>
      <c r="L1468" s="1577">
        <f>'Part VIII-Threshold Criteria'!K379</f>
        <v>0</v>
      </c>
      <c r="M1468" s="1577">
        <f>'Part VIII-Threshold Criteria'!L379</f>
        <v>0</v>
      </c>
      <c r="N1468" s="457" t="s">
        <v>3910</v>
      </c>
      <c r="O1468" s="457"/>
      <c r="P1468" s="1577">
        <f>'Part VIII-Threshold Criteria'!P378</f>
        <v>0</v>
      </c>
      <c r="Q1468" s="1577">
        <f>'Part VIII-Threshold Criteria'!Q378</f>
        <v>0</v>
      </c>
    </row>
    <row r="1469" spans="1:17">
      <c r="A1469" s="1314"/>
      <c r="B1469" s="457" t="s">
        <v>1738</v>
      </c>
      <c r="C1469" s="457" t="s">
        <v>3912</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3913</v>
      </c>
      <c r="D1470" s="1313"/>
      <c r="E1470" s="1550"/>
      <c r="F1470" s="1649" t="str">
        <f>'Part VIII-Threshold Criteria'!J381</f>
        <v>Rural</v>
      </c>
      <c r="G1470" s="1649">
        <f>'Part VIII-Threshold Criteria'!K381</f>
        <v>0</v>
      </c>
      <c r="H1470" s="1517" t="s">
        <v>3914</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3915</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3925</v>
      </c>
      <c r="O1471" s="1620"/>
      <c r="P1471" s="1621">
        <f>'Part VIII-Threshold Criteria'!J383</f>
        <v>0</v>
      </c>
      <c r="Q1471" s="1621">
        <f>'Part VIII-Threshold Criteria'!L383</f>
        <v>0</v>
      </c>
    </row>
    <row r="1472" spans="1:17">
      <c r="A1472" s="1618"/>
      <c r="B1472" s="457" t="s">
        <v>1549</v>
      </c>
      <c r="C1472" s="457" t="s">
        <v>3916</v>
      </c>
      <c r="D1472" s="1314"/>
      <c r="E1472" s="457"/>
      <c r="F1472" s="1650">
        <f>'Part VIII-Threshold Criteria'!F384</f>
        <v>741000</v>
      </c>
      <c r="G1472" s="1650">
        <f>'Part VIII-Threshold Criteria'!G384</f>
        <v>0</v>
      </c>
      <c r="H1472" s="457" t="s">
        <v>3917</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3919</v>
      </c>
      <c r="D1473" s="1314"/>
      <c r="E1473" s="457"/>
      <c r="F1473" s="457"/>
      <c r="G1473" s="457"/>
      <c r="H1473" s="457" t="s">
        <v>3592</v>
      </c>
      <c r="I1473" s="457"/>
      <c r="J1473" s="1650">
        <f>'Part VIII-Threshold Criteria'!J385</f>
        <v>0</v>
      </c>
      <c r="K1473" s="1650">
        <f>'Part VIII-Threshold Criteria'!K385</f>
        <v>0</v>
      </c>
      <c r="L1473" s="457" t="s">
        <v>3920</v>
      </c>
      <c r="M1473" s="1650">
        <f>'Part VIII-Threshold Criteria'!L385</f>
        <v>0</v>
      </c>
      <c r="N1473" s="1650">
        <f>'Part VIII-Threshold Criteria'!M385</f>
        <v>0</v>
      </c>
      <c r="O1473" s="1314"/>
      <c r="P1473" s="1314"/>
      <c r="Q1473" s="1314"/>
    </row>
    <row r="1474" spans="1:17">
      <c r="A1474" s="1314"/>
      <c r="B1474" s="457" t="s">
        <v>98</v>
      </c>
      <c r="C1474" s="457" t="s">
        <v>3921</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3922</v>
      </c>
      <c r="C1476" s="1314"/>
      <c r="D1476" s="1550"/>
      <c r="E1476" s="1550"/>
      <c r="F1476" s="1550"/>
      <c r="G1476" s="1550"/>
      <c r="H1476" s="1550"/>
      <c r="I1476" s="1314"/>
      <c r="J1476" s="457" t="s">
        <v>3927</v>
      </c>
      <c r="K1476" s="457"/>
      <c r="L1476" s="457"/>
      <c r="M1476" s="457"/>
      <c r="N1476" s="1550" t="s">
        <v>3924</v>
      </c>
      <c r="O1476" s="1550"/>
      <c r="P1476" s="1550"/>
      <c r="Q1476" s="1550"/>
    </row>
    <row r="1477" spans="1:17">
      <c r="A1477" s="1314"/>
      <c r="B1477" s="457" t="s">
        <v>1737</v>
      </c>
      <c r="C1477" s="1524" t="s">
        <v>3923</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3926</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3928</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3749</v>
      </c>
      <c r="D1480" s="1525"/>
      <c r="E1480" s="1525"/>
      <c r="F1480" s="1525"/>
      <c r="G1480" s="1525"/>
      <c r="H1480" s="1524"/>
      <c r="I1480" s="1578"/>
      <c r="J1480" s="1578"/>
      <c r="K1480" s="1578"/>
      <c r="L1480" s="1495"/>
      <c r="M1480" s="1495"/>
      <c r="N1480" s="1495"/>
      <c r="O1480" s="1495"/>
      <c r="P1480" s="1495"/>
      <c r="Q1480" s="1495"/>
    </row>
    <row r="1481" spans="1:17">
      <c r="A1481" s="1583" t="str">
        <f>'Part VIII-Threshold Criteria'!A394</f>
        <v>N/A</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4104</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3464</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3474</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3695</v>
      </c>
      <c r="G1490" s="1517"/>
      <c r="H1490" s="1517"/>
      <c r="I1490" s="1517"/>
      <c r="J1490" s="1524" t="s">
        <v>3696</v>
      </c>
      <c r="L1490" s="1517"/>
      <c r="M1490" s="1653">
        <f>'Part III-Sources of Funds'!E1105</f>
        <v>0</v>
      </c>
      <c r="N1490" s="1653"/>
      <c r="O1490" s="1620" t="s">
        <v>2115</v>
      </c>
      <c r="P1490" s="1621">
        <f>'Part VIII-Threshold Criteria'!P403</f>
        <v>0</v>
      </c>
      <c r="Q1490" s="1621">
        <f>'Part VIII-Threshold Criteria'!Q403</f>
        <v>0</v>
      </c>
    </row>
    <row r="1491" spans="1:17">
      <c r="B1491" s="1525" t="s">
        <v>3749</v>
      </c>
      <c r="D1491" s="1525"/>
      <c r="E1491" s="1525"/>
      <c r="F1491" s="1525"/>
      <c r="G1491" s="1525"/>
      <c r="H1491" s="1524"/>
      <c r="I1491" s="1578"/>
      <c r="J1491" s="1578"/>
      <c r="K1491" s="1578"/>
      <c r="L1491" s="1495"/>
      <c r="M1491" s="1495"/>
      <c r="N1491" s="1495"/>
      <c r="O1491" s="1495"/>
      <c r="P1491" s="1495"/>
      <c r="Q1491" s="1495"/>
    </row>
    <row r="1492" spans="1:17">
      <c r="A1492" s="1583" t="str">
        <f>'Part VIII-Threshold Criteria'!A405</f>
        <v>N/A</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4105</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f>'Part VIII-Threshold Criteria'!P410</f>
        <v>0</v>
      </c>
      <c r="Q1497" s="1621">
        <f>'Part VIII-Threshold Criteria'!Q410</f>
        <v>0</v>
      </c>
    </row>
    <row r="1498" spans="1:17">
      <c r="A1498" s="1618" t="s">
        <v>1985</v>
      </c>
      <c r="B1498" s="457" t="s">
        <v>3582</v>
      </c>
      <c r="D1498" s="1583"/>
      <c r="E1498" s="1583"/>
      <c r="O1498" s="1620" t="s">
        <v>1985</v>
      </c>
      <c r="P1498" s="1621">
        <f>'Part VIII-Threshold Criteria'!P411</f>
        <v>0</v>
      </c>
      <c r="Q1498" s="1621">
        <f>'Part VIII-Threshold Criteria'!Q411</f>
        <v>0</v>
      </c>
    </row>
    <row r="1499" spans="1:17">
      <c r="A1499" s="1618" t="s">
        <v>749</v>
      </c>
      <c r="B1499" s="457" t="s">
        <v>4074</v>
      </c>
      <c r="D1499" s="1583"/>
      <c r="E1499" s="1583"/>
      <c r="O1499" s="1620" t="s">
        <v>749</v>
      </c>
      <c r="P1499" s="1621">
        <f>'Part VIII-Threshold Criteria'!P412</f>
        <v>0</v>
      </c>
      <c r="Q1499" s="1621">
        <f>'Part VIII-Threshold Criteria'!Q412</f>
        <v>0</v>
      </c>
    </row>
    <row r="1500" spans="1:17">
      <c r="A1500" s="1618" t="s">
        <v>2115</v>
      </c>
      <c r="B1500" s="457" t="s">
        <v>3583</v>
      </c>
      <c r="E1500" s="1604"/>
      <c r="O1500" s="1620" t="s">
        <v>2115</v>
      </c>
      <c r="P1500" s="1621">
        <f>'Part VIII-Threshold Criteria'!P413</f>
        <v>0</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3749</v>
      </c>
      <c r="D1502" s="1525"/>
      <c r="E1502" s="1525"/>
      <c r="F1502" s="1525"/>
      <c r="G1502" s="1525"/>
      <c r="H1502" s="1524"/>
      <c r="I1502" s="1578"/>
      <c r="J1502" s="1578"/>
      <c r="K1502" s="1578"/>
      <c r="L1502" s="1495"/>
      <c r="M1502" s="1495"/>
      <c r="N1502" s="1495"/>
      <c r="O1502" s="1495"/>
      <c r="P1502" s="1495"/>
      <c r="Q1502" s="1495"/>
    </row>
    <row r="1503" spans="1:17">
      <c r="A1503" s="1583" t="str">
        <f>'Part VIII-Threshold Criteria'!A416</f>
        <v>N/A</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4106</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3476</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3475</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3571</v>
      </c>
      <c r="C1512" s="457" t="s">
        <v>3572</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3749</v>
      </c>
      <c r="D1521" s="1525"/>
      <c r="E1521" s="1525"/>
      <c r="F1521" s="1525"/>
      <c r="G1521" s="1525"/>
      <c r="H1521" s="1524"/>
      <c r="I1521" s="1578"/>
      <c r="J1521" s="1578"/>
      <c r="K1521" s="1578"/>
      <c r="P1521" s="1495"/>
      <c r="Q1521" s="1495"/>
    </row>
    <row r="1522" spans="1:17">
      <c r="A1522" s="1583" t="str">
        <f>'Part VIII-Threshold Criteria'!A440</f>
        <v>N/A</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4107</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3929</v>
      </c>
      <c r="C1527" s="1312"/>
      <c r="D1527" s="1577"/>
      <c r="E1527" s="1582"/>
      <c r="F1527" s="1582"/>
      <c r="G1527" s="1582"/>
      <c r="H1527" s="1582"/>
    </row>
    <row r="1528" spans="1:17" ht="12.75" customHeight="1">
      <c r="A1528" s="1616" t="s">
        <v>1983</v>
      </c>
      <c r="B1528" s="1583" t="s">
        <v>3932</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3930</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3931</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3933</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3934</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3935</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3936</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3937</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3938</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3477</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3749</v>
      </c>
      <c r="D1538" s="1525"/>
      <c r="E1538" s="1525"/>
      <c r="F1538" s="1525"/>
      <c r="G1538" s="1525"/>
      <c r="H1538" s="1524"/>
      <c r="I1538" s="1578"/>
      <c r="J1538" s="1578"/>
      <c r="K1538" s="1578"/>
      <c r="L1538" s="1495"/>
      <c r="M1538" s="1495"/>
      <c r="N1538" s="1495"/>
      <c r="O1538" s="1495"/>
      <c r="P1538" s="1495"/>
      <c r="Q1538" s="1495"/>
    </row>
    <row r="1539" spans="1:17" ht="81.599999999999994">
      <c r="A1539" s="1583" t="str">
        <f>'Part VIII-Threshold Criteria'!A457</f>
        <v>Applicant will prepare and submit an AFFH Marketing plan if selected for funding.</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4108</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3749</v>
      </c>
      <c r="D1544" s="1525"/>
      <c r="E1544" s="1525"/>
      <c r="F1544" s="1525"/>
      <c r="G1544" s="1525"/>
      <c r="H1544" s="1524"/>
      <c r="I1544" s="1578"/>
      <c r="J1544" s="1578"/>
      <c r="K1544" s="1578"/>
      <c r="L1544" s="1495"/>
      <c r="M1544" s="1495"/>
      <c r="N1544" s="1495"/>
      <c r="O1544" s="1495"/>
      <c r="P1544" s="1495"/>
      <c r="Q1544" s="1495"/>
    </row>
    <row r="1545" spans="1:17" ht="173.4">
      <c r="A1545" s="1583" t="str">
        <f>'Part VIII-Threshold Criteria'!A480</f>
        <v>The Applicant believes the project as proposed is an optimal utilization of DCA resources and will provide much desired housing to the City of Gray and the surrounding area.</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2019-060 Dulles Park II,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4547</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4548</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3646</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4549</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4138</v>
      </c>
      <c r="D1567" s="457"/>
      <c r="E1567" s="457"/>
      <c r="F1567" s="457"/>
      <c r="G1567" s="1549"/>
      <c r="H1567" s="1335" t="s">
        <v>4549</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3838</v>
      </c>
      <c r="B1568" s="1513"/>
      <c r="C1568" s="1513"/>
      <c r="D1568" s="1513"/>
      <c r="E1568" s="1513"/>
      <c r="F1568" s="1578" t="s">
        <v>4140</v>
      </c>
      <c r="G1568" s="1314"/>
      <c r="H1568" s="1314"/>
      <c r="I1568" s="1314"/>
      <c r="J1568" s="1578" t="s">
        <v>4140</v>
      </c>
      <c r="K1568" s="1578"/>
      <c r="L1568" s="1314"/>
      <c r="M1568" s="1314"/>
      <c r="N1568" s="1314"/>
      <c r="O1568" s="457" t="s">
        <v>4140</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3584</v>
      </c>
      <c r="H1569" s="1649"/>
      <c r="I1569" s="1649"/>
      <c r="J1569" s="1496">
        <f>SUM(J1570:J1581)</f>
        <v>0</v>
      </c>
      <c r="K1569" s="1577" t="s">
        <v>3372</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2905</v>
      </c>
      <c r="K1572" s="1573">
        <f>'Part IX Scoring Criteria'!K36</f>
        <v>3</v>
      </c>
      <c r="L1572" s="1573">
        <f>'Part IX Scoring Criteria'!L36</f>
        <v>0</v>
      </c>
      <c r="M1572" s="1573">
        <f>'Part IX Scoring Criteria'!M36</f>
        <v>0</v>
      </c>
      <c r="N1572" s="1573">
        <f>'Part IX Scoring Criteria'!N36</f>
        <v>0</v>
      </c>
      <c r="O1572" s="1648" t="s">
        <v>2905</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2905</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3585</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3586</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3587</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3588</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4550</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4141</v>
      </c>
      <c r="B1583" s="457" t="s">
        <v>4142</v>
      </c>
      <c r="C1583" s="457"/>
      <c r="D1583" s="457"/>
      <c r="E1583" s="1424" t="s">
        <v>4169</v>
      </c>
      <c r="F1583" s="457" t="s">
        <v>4168</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4143</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4144</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4145</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2905</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4146</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2905</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4147</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3785</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4148</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4451</v>
      </c>
      <c r="B1591" s="1053" t="s">
        <v>4452</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4096</v>
      </c>
      <c r="B1592" s="1053" t="s">
        <v>4149</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4097</v>
      </c>
      <c r="B1593" s="1053" t="s">
        <v>4150</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4095</v>
      </c>
      <c r="B1594" s="1053" t="s">
        <v>4151</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4098</v>
      </c>
      <c r="B1595" s="1053" t="s">
        <v>4152</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3589</v>
      </c>
      <c r="C1597" s="1676"/>
      <c r="D1597" s="1676"/>
      <c r="E1597" s="457"/>
      <c r="F1597" s="1676"/>
      <c r="G1597" s="1577"/>
      <c r="H1597" s="457"/>
      <c r="I1597" s="1677" t="s">
        <v>3489</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3590</v>
      </c>
      <c r="I1599" s="1468"/>
      <c r="J1599" s="1680">
        <f>'Part VI-Revenues &amp; Expenses'!$O$65</f>
        <v>48</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3591</v>
      </c>
      <c r="C1600" s="1468"/>
      <c r="D1600" s="1468"/>
      <c r="E1600" s="1468"/>
      <c r="F1600" s="1468"/>
      <c r="G1600" s="1649"/>
      <c r="H1600" s="1683" t="s">
        <v>3592</v>
      </c>
      <c r="I1600" s="1683" t="s">
        <v>3593</v>
      </c>
      <c r="J1600" s="1649"/>
      <c r="K1600" s="457" t="s">
        <v>3374</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3713</v>
      </c>
      <c r="H1601" s="1550"/>
      <c r="I1601" s="1550"/>
      <c r="J1601" s="1550"/>
      <c r="K1601" s="1442" t="s">
        <v>3592</v>
      </c>
      <c r="L1601" s="1442" t="s">
        <v>3593</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1986</v>
      </c>
      <c r="C1602" s="1688">
        <v>0.15</v>
      </c>
      <c r="D1602" s="1604" t="s">
        <v>3373</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3344</v>
      </c>
      <c r="B1603" s="1687" t="s">
        <v>1988</v>
      </c>
      <c r="C1603" s="1688">
        <v>0.2</v>
      </c>
      <c r="D1603" s="1604" t="s">
        <v>3373</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4551</v>
      </c>
      <c r="C1605" s="1689"/>
      <c r="D1605" s="1689"/>
      <c r="E1605" s="1638"/>
      <c r="F1605" s="1689"/>
      <c r="G1605" s="1689"/>
      <c r="H1605" s="1550" t="s">
        <v>3650</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1986</v>
      </c>
      <c r="C1606" s="1688">
        <v>0.3</v>
      </c>
      <c r="D1606" s="1604" t="s">
        <v>3649</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1988</v>
      </c>
      <c r="C1607" s="1647" t="s">
        <v>3951</v>
      </c>
      <c r="D1607" s="1689"/>
      <c r="E1607" s="1693"/>
      <c r="F1607" s="1647"/>
      <c r="G1607" s="1689"/>
      <c r="H1607" s="1689"/>
      <c r="I1607" s="1654"/>
      <c r="J1607" s="1654"/>
      <c r="K1607" s="1654"/>
      <c r="L1607" s="1654"/>
      <c r="M1607" s="1654"/>
      <c r="N1607" s="1684" t="s">
        <v>1988</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4.4">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4091</v>
      </c>
      <c r="C1611" s="1659"/>
      <c r="D1611" s="1695"/>
      <c r="E1611" s="1659"/>
      <c r="F1611" s="1659"/>
      <c r="G1611" s="1659"/>
      <c r="H1611" s="1659"/>
      <c r="I1611" s="1468" t="s">
        <v>3765</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3850</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4552</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4.4">
      <c r="A1615" s="1508" t="s">
        <v>1985</v>
      </c>
      <c r="B1615" s="1503" t="s">
        <v>3839</v>
      </c>
      <c r="C1615" s="1659"/>
      <c r="D1615" s="1695"/>
      <c r="E1615" s="1659"/>
      <c r="F1615" s="1700"/>
      <c r="G1615" s="1335" t="s">
        <v>3980</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4.4">
      <c r="A1616" s="1314"/>
      <c r="B1616" s="1677" t="s">
        <v>3750</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234.6">
      <c r="A1617" s="1583" t="str">
        <f>'Part IX Scoring Criteria'!A67</f>
        <v>The project is within 2 miles of numerous desirables, including but not limited to, grocery store, public school, restaurants, pharmacy, place of worship, bank and others. The project is eligible for 10 points in this scoring section and there are no undesirables.</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2</v>
      </c>
      <c r="P1621" s="1658">
        <f>'Part IX Scoring Criteria'!P71</f>
        <v>0</v>
      </c>
      <c r="Q1621" s="1496" t="s">
        <v>441</v>
      </c>
      <c r="R1621" s="1702" t="s">
        <v>4553</v>
      </c>
      <c r="S1621" s="1702"/>
      <c r="T1621" s="1702"/>
      <c r="U1621" s="1702"/>
      <c r="V1621" s="1659"/>
      <c r="W1621" s="1659"/>
      <c r="X1621" s="1659"/>
      <c r="Y1621" s="1659"/>
      <c r="Z1621" s="1659"/>
    </row>
    <row r="1622" spans="1:26" ht="14.4">
      <c r="A1622" s="1660"/>
      <c r="B1622" s="1317" t="s">
        <v>3954</v>
      </c>
      <c r="C1622" s="1659"/>
      <c r="D1622" s="1695"/>
      <c r="E1622" s="1659"/>
      <c r="F1622" s="1659"/>
      <c r="G1622" s="1659"/>
      <c r="H1622" s="1503" t="s">
        <v>2794</v>
      </c>
      <c r="I1622" s="1531"/>
      <c r="J1622" s="1503" t="str">
        <f>'Part I-Project Information'!$H$105</f>
        <v>Rural</v>
      </c>
      <c r="K1622" s="1317"/>
      <c r="L1622" s="1659"/>
      <c r="M1622" s="1496"/>
      <c r="N1622" s="1620"/>
      <c r="O1622" s="1703" t="s">
        <v>3595</v>
      </c>
      <c r="P1622" s="1703" t="s">
        <v>3596</v>
      </c>
      <c r="Q1622" s="1496"/>
      <c r="R1622" s="1702"/>
      <c r="S1622" s="1702"/>
      <c r="T1622" s="1702"/>
      <c r="U1622" s="1702"/>
      <c r="V1622" s="1659"/>
      <c r="W1622" s="1659"/>
      <c r="X1622" s="1659"/>
      <c r="Y1622" s="1659"/>
      <c r="Z1622" s="1659"/>
    </row>
    <row r="1623" spans="1:26" ht="14.4">
      <c r="A1623" s="1660"/>
      <c r="B1623" s="1704" t="s">
        <v>1986</v>
      </c>
      <c r="C1623" s="1051" t="s">
        <v>3594</v>
      </c>
      <c r="D1623" s="1695"/>
      <c r="E1623" s="1659"/>
      <c r="F1623" s="1659"/>
      <c r="G1623" s="1659"/>
      <c r="H1623" s="1677"/>
      <c r="I1623" s="1549"/>
      <c r="J1623" s="1317"/>
      <c r="K1623" s="1317"/>
      <c r="L1623" s="1659"/>
      <c r="M1623" s="1496"/>
      <c r="N1623" s="1620"/>
      <c r="O1623" s="1621">
        <f>'Part IX Scoring Criteria'!O73</f>
        <v>0</v>
      </c>
      <c r="P1623" s="1621">
        <f>'Part IX Scoring Criteria'!P73</f>
        <v>0</v>
      </c>
      <c r="Q1623" s="1496"/>
      <c r="R1623" s="1702"/>
      <c r="S1623" s="1702"/>
      <c r="T1623" s="1702"/>
      <c r="U1623" s="1702"/>
      <c r="V1623" s="1659"/>
      <c r="W1623" s="1659"/>
      <c r="X1623" s="1659"/>
      <c r="Y1623" s="1659"/>
      <c r="Z1623" s="1659"/>
    </row>
    <row r="1624" spans="1:26" ht="14.4">
      <c r="A1624" s="1660"/>
      <c r="B1624" s="1704" t="s">
        <v>1988</v>
      </c>
      <c r="C1624" s="1051" t="s">
        <v>3952</v>
      </c>
      <c r="D1624" s="1695"/>
      <c r="E1624" s="1659"/>
      <c r="F1624" s="1659"/>
      <c r="G1624" s="1659"/>
      <c r="H1624" s="1677"/>
      <c r="I1624" s="1549"/>
      <c r="J1624" s="1317"/>
      <c r="K1624" s="1317"/>
      <c r="L1624" s="1659"/>
      <c r="M1624" s="1659"/>
      <c r="N1624" s="1620"/>
      <c r="O1624" s="1621">
        <f>'Part IX Scoring Criteria'!O74</f>
        <v>0</v>
      </c>
      <c r="P1624" s="1621">
        <f>'Part IX Scoring Criteria'!P74</f>
        <v>0</v>
      </c>
      <c r="Q1624" s="1496"/>
      <c r="R1624" s="1702"/>
      <c r="S1624" s="1702"/>
      <c r="T1624" s="1702"/>
      <c r="U1624" s="1702"/>
      <c r="V1624" s="1659"/>
      <c r="W1624" s="1659"/>
      <c r="X1624" s="1659"/>
      <c r="Y1624" s="1659"/>
      <c r="Z1624" s="1659"/>
    </row>
    <row r="1625" spans="1:26" ht="14.4">
      <c r="A1625" s="1660"/>
      <c r="B1625" s="1704" t="s">
        <v>2534</v>
      </c>
      <c r="C1625" s="1051" t="s">
        <v>3953</v>
      </c>
      <c r="D1625" s="1695"/>
      <c r="E1625" s="1659"/>
      <c r="F1625" s="1659"/>
      <c r="G1625" s="1659"/>
      <c r="H1625" s="1677"/>
      <c r="I1625" s="1549"/>
      <c r="J1625" s="1317"/>
      <c r="K1625" s="1317"/>
      <c r="L1625" s="1659"/>
      <c r="M1625" s="1659"/>
      <c r="N1625" s="1620"/>
      <c r="O1625" s="1621">
        <f>'Part IX Scoring Criteria'!O76</f>
        <v>0</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3960</v>
      </c>
      <c r="C1627" s="1659"/>
      <c r="D1627" s="1695"/>
      <c r="E1627" s="1659"/>
      <c r="F1627" s="1317" t="s">
        <v>3714</v>
      </c>
      <c r="G1627" s="1317"/>
      <c r="H1627" s="1317"/>
      <c r="I1627" s="1317"/>
      <c r="J1627" s="1317" t="s">
        <v>3715</v>
      </c>
      <c r="K1627" s="1317"/>
      <c r="L1627" s="1317"/>
      <c r="M1627" s="1317"/>
      <c r="N1627" s="1620"/>
      <c r="O1627" s="1469" t="s">
        <v>4554</v>
      </c>
      <c r="P1627" s="1705"/>
      <c r="Q1627" s="1496"/>
      <c r="R1627" s="1702"/>
      <c r="S1627" s="1702"/>
      <c r="T1627" s="1702"/>
      <c r="U1627" s="1702"/>
      <c r="V1627" s="1659"/>
      <c r="W1627" s="1659"/>
      <c r="X1627" s="1659"/>
      <c r="Y1627" s="1659"/>
      <c r="Z1627" s="1659"/>
    </row>
    <row r="1628" spans="1:26" ht="14.4">
      <c r="A1628" s="1660"/>
      <c r="B1628" s="1659"/>
      <c r="C1628" s="1317" t="s">
        <v>3959</v>
      </c>
      <c r="D1628" s="1394"/>
      <c r="E1628" s="1393"/>
      <c r="F1628" s="1706">
        <f>'Part IX Scoring Criteria'!F79</f>
        <v>33.00714</v>
      </c>
      <c r="G1628" s="1706">
        <f>'Part IX Scoring Criteria'!G79</f>
        <v>0</v>
      </c>
      <c r="H1628" s="1706">
        <f>'Part IX Scoring Criteria'!H79</f>
        <v>0</v>
      </c>
      <c r="I1628" s="1706">
        <f>'Part IX Scoring Criteria'!I79</f>
        <v>0</v>
      </c>
      <c r="J1628" s="1706">
        <f>'Part IX Scoring Criteria'!J79</f>
        <v>-83.544801000000007</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3961</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4137</v>
      </c>
      <c r="B1630" s="1570"/>
      <c r="C1630" s="1317" t="s">
        <v>4089</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4088</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2785</v>
      </c>
      <c r="B1633" s="1661"/>
      <c r="C1633" s="1659"/>
      <c r="D1633" s="1695"/>
      <c r="E1633" s="1659"/>
      <c r="F1633" s="1709" t="s">
        <v>4555</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3743</v>
      </c>
      <c r="C1634" s="1659"/>
      <c r="D1634" s="1695"/>
      <c r="E1634" s="1659"/>
      <c r="F1634" s="1677" t="s">
        <v>4556</v>
      </c>
      <c r="G1634" s="1659"/>
      <c r="H1634" s="1659"/>
      <c r="I1634" s="1710" t="s">
        <v>4557</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4558</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4559</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3744</v>
      </c>
      <c r="D1637" s="1604"/>
      <c r="E1637" s="1604"/>
      <c r="F1637" s="1604"/>
      <c r="G1637" s="1620" t="s">
        <v>4087</v>
      </c>
      <c r="H1637" s="1612" t="str">
        <f>'Part I-Project Information'!$H$82</f>
        <v>HFOP</v>
      </c>
      <c r="I1637" s="1573" t="str">
        <f>'Part IX Scoring Criteria'!I92</f>
        <v>Jones County Transit</v>
      </c>
      <c r="J1637" s="1573">
        <f>'Part IX Scoring Criteria'!J92</f>
        <v>0</v>
      </c>
      <c r="K1637" s="1573">
        <f>'Part IX Scoring Criteria'!K92</f>
        <v>0</v>
      </c>
      <c r="L1637" s="1848">
        <f>'Part IX Scoring Criteria'!L92</f>
        <v>4789866432</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4.4">
      <c r="A1638" s="1619" t="s">
        <v>1985</v>
      </c>
      <c r="B1638" s="1714" t="s">
        <v>3745</v>
      </c>
      <c r="C1638" s="1202"/>
      <c r="D1638" s="1202"/>
      <c r="E1638" s="1202"/>
      <c r="F1638" s="1715" t="s">
        <v>4560</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4561</v>
      </c>
      <c r="D1639" s="1550"/>
      <c r="E1639" s="1550"/>
      <c r="F1639" s="1550"/>
      <c r="G1639" s="1550"/>
      <c r="H1639" s="1550"/>
      <c r="I1639" s="1573" t="str">
        <f>'Part IX Scoring Criteria'!I96</f>
        <v>http://www.jonescountyga.org/county-directory/transit/</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4562</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4563</v>
      </c>
      <c r="D1641" s="1583"/>
      <c r="E1641" s="1583"/>
      <c r="F1641" s="1583"/>
      <c r="G1641" s="1583"/>
      <c r="H1641" s="1583"/>
      <c r="I1641" s="1573" t="str">
        <f>'Part IX Scoring Criteria'!I98</f>
        <v>http://www.jonescountyga.org/county-directory/transit/</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4.4">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4564</v>
      </c>
      <c r="D1643" s="1503"/>
      <c r="E1643" s="1503"/>
      <c r="F1643" s="1503"/>
      <c r="G1643" s="1503"/>
      <c r="H1643" s="1503"/>
      <c r="I1643" s="1503"/>
      <c r="J1643" s="1503"/>
      <c r="K1643" s="1503"/>
      <c r="L1643" s="1503"/>
      <c r="M1643" s="1313">
        <v>2</v>
      </c>
      <c r="N1643" s="1704" t="s">
        <v>1224</v>
      </c>
      <c r="O1643" s="1658">
        <f>'Part IX Scoring Criteria'!O100</f>
        <v>2</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4.4">
      <c r="A1644" s="457" t="s">
        <v>4565</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4566</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2794</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3963</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3967</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3968</v>
      </c>
      <c r="D1654" s="1722"/>
      <c r="E1654" s="1722"/>
      <c r="F1654" s="1722"/>
      <c r="G1654" s="1722"/>
      <c r="H1654" s="1722"/>
      <c r="I1654" s="1658" t="e">
        <f>'Part IX Scoring Criteria'!#REF!</f>
        <v>#REF!</v>
      </c>
      <c r="J1654" s="1658" t="e">
        <f>'Part IX Scoring Criteria'!#REF!</f>
        <v>#REF!</v>
      </c>
      <c r="K1654" s="1528"/>
      <c r="L1654" s="1722"/>
      <c r="M1654" s="1722"/>
      <c r="N1654" s="1722"/>
      <c r="O1654" s="1722" t="s">
        <v>3976</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4567</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4568</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3774</v>
      </c>
      <c r="D1659" s="1314"/>
      <c r="E1659" s="1314"/>
      <c r="F1659" s="457" t="s">
        <v>3977</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4.4">
      <c r="A1660" s="1314"/>
      <c r="B1660" s="1677" t="s">
        <v>3750</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3978</v>
      </c>
      <c r="C1665" s="1659"/>
      <c r="D1665" s="457"/>
      <c r="E1665" s="457"/>
      <c r="F1665" s="1496"/>
      <c r="G1665" s="1496"/>
      <c r="H1665" s="1496"/>
      <c r="I1665" s="1709" t="s">
        <v>4555</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1983</v>
      </c>
      <c r="B1667" s="1503" t="s">
        <v>3979</v>
      </c>
      <c r="C1667" s="1676"/>
      <c r="D1667" s="1695"/>
      <c r="E1667" s="1051" t="s">
        <v>4093</v>
      </c>
      <c r="F1667" s="1659"/>
      <c r="G1667" s="1612"/>
      <c r="H1667" s="1659"/>
      <c r="I1667" s="1620" t="s">
        <v>4087</v>
      </c>
      <c r="J1667" s="1612" t="str">
        <f>'Part I-Project Information'!$H$82</f>
        <v>HFOP</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1985</v>
      </c>
      <c r="B1669" s="1503" t="s">
        <v>3981</v>
      </c>
      <c r="C1669" s="1676"/>
      <c r="D1669" s="1724"/>
      <c r="E1669" s="1372" t="s">
        <v>4196</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4123</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4124</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1986</v>
      </c>
      <c r="C1673" s="1503" t="s">
        <v>3982</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7.399999999999999">
      <c r="A1674" s="1508"/>
      <c r="B1674" s="1729"/>
      <c r="C1674" s="457" t="s">
        <v>3983</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20.399999999999999">
      <c r="A1675" s="1508"/>
      <c r="B1675" s="1729"/>
      <c r="C1675" s="457" t="s">
        <v>4569</v>
      </c>
      <c r="D1675" s="1335" t="s">
        <v>4094</v>
      </c>
      <c r="E1675" s="1676"/>
      <c r="F1675" s="457"/>
      <c r="G1675" s="457"/>
      <c r="H1675" s="1468" t="str">
        <f>'Part IX Scoring Criteria'!H117</f>
        <v>Jones County Health Department</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3986</v>
      </c>
      <c r="D1676" s="1676"/>
      <c r="E1676" s="457"/>
      <c r="F1676" s="457"/>
      <c r="G1676" s="457"/>
      <c r="H1676" s="1676"/>
      <c r="I1676" s="1676"/>
      <c r="J1676" s="1676"/>
      <c r="K1676" s="1676"/>
      <c r="L1676" s="1676"/>
      <c r="M1676" s="1313"/>
      <c r="N1676" s="1627" t="s">
        <v>3776</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3987</v>
      </c>
      <c r="D1677" s="457"/>
      <c r="E1677" s="457"/>
      <c r="F1677" s="457"/>
      <c r="G1677" s="457"/>
      <c r="H1677" s="457"/>
      <c r="I1677" s="457"/>
      <c r="J1677" s="457"/>
      <c r="K1677" s="457"/>
      <c r="L1677" s="457"/>
      <c r="M1677" s="1578"/>
      <c r="N1677" s="1620" t="s">
        <v>3777</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4121</v>
      </c>
      <c r="D1678" s="1051"/>
      <c r="E1678" s="457"/>
      <c r="F1678" s="457"/>
      <c r="G1678" s="457"/>
      <c r="H1678" s="1051"/>
      <c r="I1678" s="1051"/>
      <c r="J1678" s="1051"/>
      <c r="K1678" s="1051"/>
      <c r="L1678" s="1638" t="s">
        <v>3813</v>
      </c>
      <c r="M1678" s="1638"/>
      <c r="N1678" s="1638"/>
      <c r="O1678" s="1638" t="s">
        <v>3812</v>
      </c>
      <c r="P1678" s="1638"/>
      <c r="Q1678" s="457"/>
      <c r="R1678" s="1051"/>
      <c r="S1678" s="1051"/>
      <c r="T1678" s="1051"/>
      <c r="U1678" s="1051"/>
      <c r="V1678" s="1051"/>
      <c r="W1678" s="1051"/>
      <c r="X1678" s="1051"/>
      <c r="Y1678" s="1051"/>
      <c r="Z1678" s="1051"/>
    </row>
    <row r="1679" spans="1:26" ht="51">
      <c r="A1679" s="1618"/>
      <c r="B1679" s="1620"/>
      <c r="C1679" s="1583" t="str">
        <f>'Part IX Scoring Criteria'!C121</f>
        <v xml:space="preserve">Health screening and wellness education services </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112.2">
      <c r="A1680" s="1618"/>
      <c r="B1680" s="1627"/>
      <c r="C1680" s="1583" t="str">
        <f>'Part IX Scoring Criteria'!C122</f>
        <v>Blood pressure checks, biometric screenings, women's health exams, hypertension and diabetes monitoring</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ht="51">
      <c r="A1681" s="1618"/>
      <c r="B1681" s="1620"/>
      <c r="C1681" s="1583" t="str">
        <f>'Part IX Scoring Criteria'!C123</f>
        <v>CPR, first aid classes and safe home education classes</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f>'Part IX Scoring Criteria'!L124</f>
        <v>0</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4570</v>
      </c>
      <c r="D1683" s="457" t="s">
        <v>3988</v>
      </c>
      <c r="E1683" s="457"/>
      <c r="F1683" s="457"/>
      <c r="G1683" s="457"/>
      <c r="H1683" s="1676"/>
      <c r="I1683" s="1676"/>
      <c r="J1683" s="1676"/>
      <c r="K1683" s="1676"/>
      <c r="L1683" s="1676"/>
      <c r="M1683" s="1676"/>
      <c r="N1683" s="1627" t="s">
        <v>3776</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3989</v>
      </c>
      <c r="E1684" s="457"/>
      <c r="F1684" s="457"/>
      <c r="G1684" s="457"/>
      <c r="H1684" s="1676"/>
      <c r="I1684" s="1676"/>
      <c r="J1684" s="1676"/>
      <c r="K1684" s="1676"/>
      <c r="L1684" s="1676"/>
      <c r="M1684" s="1313"/>
      <c r="N1684" s="1620" t="s">
        <v>3777</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4125</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4153</v>
      </c>
      <c r="D1686" s="1618"/>
      <c r="E1686" s="1618"/>
      <c r="F1686" s="1618"/>
      <c r="G1686" s="1621" t="str">
        <f>'Part IX Scoring Criteria'!O128</f>
        <v>Yes</v>
      </c>
      <c r="H1686" s="1621">
        <f>'Part IX Scoring Criteria'!P128</f>
        <v>0</v>
      </c>
      <c r="I1686" s="1524" t="s">
        <v>4156</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4154</v>
      </c>
      <c r="D1687" s="1618"/>
      <c r="E1687" s="1618"/>
      <c r="F1687" s="1618"/>
      <c r="G1687" s="1621" t="str">
        <f>'Part IX Scoring Criteria'!O129</f>
        <v>Yes</v>
      </c>
      <c r="H1687" s="1621">
        <f>'Part IX Scoring Criteria'!P129</f>
        <v>0</v>
      </c>
      <c r="I1687" s="457" t="s">
        <v>4157</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4155</v>
      </c>
      <c r="D1688" s="1618"/>
      <c r="E1688" s="1618"/>
      <c r="F1688" s="1618"/>
      <c r="G1688" s="1621" t="str">
        <f>'Part IX Scoring Criteria'!O130</f>
        <v>Yes</v>
      </c>
      <c r="H1688" s="1621">
        <f>'Part IX Scoring Criteria'!P130</f>
        <v>0</v>
      </c>
      <c r="I1688" s="1524" t="s">
        <v>4158</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1988</v>
      </c>
      <c r="C1691" s="1714" t="s">
        <v>3814</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7.399999999999999">
      <c r="A1692" s="1618"/>
      <c r="B1692" s="457"/>
      <c r="C1692" s="457" t="s">
        <v>3990</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4571</v>
      </c>
      <c r="D1693" s="1643"/>
      <c r="E1693" s="1643"/>
      <c r="F1693" s="1643"/>
      <c r="G1693" s="1524" t="s">
        <v>3991</v>
      </c>
      <c r="H1693" s="457"/>
      <c r="I1693" s="1643"/>
      <c r="J1693" s="1643"/>
      <c r="K1693" s="1643"/>
      <c r="L1693" s="1643"/>
      <c r="M1693" s="1620" t="s">
        <v>2435</v>
      </c>
      <c r="N1693" s="1620" t="s">
        <v>3776</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3992</v>
      </c>
      <c r="H1694" s="457"/>
      <c r="I1694" s="1643"/>
      <c r="J1694" s="1643"/>
      <c r="K1694" s="1643"/>
      <c r="L1694" s="1643"/>
      <c r="M1694" s="1578"/>
      <c r="N1694" s="1627" t="s">
        <v>3777</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3993</v>
      </c>
      <c r="H1695" s="457"/>
      <c r="I1695" s="1643"/>
      <c r="J1695" s="1643"/>
      <c r="K1695" s="1643"/>
      <c r="L1695" s="1643"/>
      <c r="M1695" s="1578"/>
      <c r="N1695" s="1620" t="s">
        <v>3778</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3994</v>
      </c>
      <c r="H1696" s="457"/>
      <c r="I1696" s="1643"/>
      <c r="J1696" s="1643"/>
      <c r="K1696" s="1643"/>
      <c r="L1696" s="1643"/>
      <c r="M1696" s="1578"/>
      <c r="N1696" s="1620" t="s">
        <v>3780</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3995</v>
      </c>
      <c r="H1697" s="457"/>
      <c r="I1697" s="1643"/>
      <c r="J1697" s="1643"/>
      <c r="K1697" s="1643"/>
      <c r="L1697" s="1643"/>
      <c r="M1697" s="1578"/>
      <c r="N1697" s="1627" t="s">
        <v>3781</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4572</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3828</v>
      </c>
      <c r="D1699" s="1051"/>
      <c r="E1699" s="457"/>
      <c r="F1699" s="457"/>
      <c r="G1699" s="1051" t="s">
        <v>4126</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122.4">
      <c r="A1700" s="1618"/>
      <c r="B1700" s="1620"/>
      <c r="C1700" s="1583" t="str">
        <f>'Part IX Scoring Criteria'!C146</f>
        <v>Healthy Eating Education</v>
      </c>
      <c r="D1700" s="1583">
        <f>'Part IX Scoring Criteria'!D146</f>
        <v>0</v>
      </c>
      <c r="E1700" s="1583">
        <f>'Part IX Scoring Criteria'!E146</f>
        <v>0</v>
      </c>
      <c r="F1700" s="1583">
        <f>'Part IX Scoring Criteria'!F146</f>
        <v>0</v>
      </c>
      <c r="G1700" s="1583" t="str">
        <f>'Part IX Scoring Criteria'!G146</f>
        <v>TMC Management and Realty, Inc. will provide healthy eating monthly newsletters to residents free of charge</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112.2">
      <c r="A1701" s="1618"/>
      <c r="B1701" s="1627"/>
      <c r="C1701" s="1583" t="str">
        <f>'Part IX Scoring Criteria'!C147</f>
        <v>Active Lifestyle Education</v>
      </c>
      <c r="D1701" s="1583">
        <f>'Part IX Scoring Criteria'!D147</f>
        <v>0</v>
      </c>
      <c r="E1701" s="1583">
        <f>'Part IX Scoring Criteria'!E147</f>
        <v>0</v>
      </c>
      <c r="F1701" s="1583">
        <f>'Part IX Scoring Criteria'!F147</f>
        <v>0</v>
      </c>
      <c r="G1701" s="1583" t="str">
        <f>'Part IX Scoring Criteria'!G147</f>
        <v>TMC Management and Realty, Inc. will provide active lifestyle monthly newsletters to residents free of charge</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4160</v>
      </c>
      <c r="B1702" s="1468"/>
      <c r="C1702" s="1583">
        <f>'Part IX Scoring Criteria'!C148</f>
        <v>0</v>
      </c>
      <c r="D1702" s="1583">
        <f>'Part IX Scoring Criteria'!D148</f>
        <v>0</v>
      </c>
      <c r="E1702" s="1583">
        <f>'Part IX Scoring Criteria'!E148</f>
        <v>0</v>
      </c>
      <c r="F1702" s="1583">
        <f>'Part IX Scoring Criteria'!F148</f>
        <v>0</v>
      </c>
      <c r="G1702" s="1583">
        <f>'Part IX Scoring Criteria'!G148</f>
        <v>0</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3962</v>
      </c>
      <c r="C1707" s="1582"/>
      <c r="D1707" s="1582"/>
      <c r="E1707" s="1582"/>
      <c r="F1707" s="1582"/>
      <c r="G1707" s="1582"/>
      <c r="H1707" s="1582"/>
      <c r="I1707" s="1582"/>
      <c r="J1707" s="1582"/>
      <c r="K1707" s="1582"/>
      <c r="L1707" s="1582"/>
      <c r="M1707" s="1496">
        <v>5</v>
      </c>
      <c r="N1707" s="1694"/>
      <c r="O1707" s="1658">
        <f>'Part IX Scoring Criteria'!O153</f>
        <v>3</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1983</v>
      </c>
      <c r="B1709" s="1312" t="s">
        <v>3999</v>
      </c>
      <c r="C1709" s="1676"/>
      <c r="D1709" s="1724"/>
      <c r="E1709" s="1724"/>
      <c r="F1709" s="1676"/>
      <c r="G1709" s="1724"/>
      <c r="H1709" s="1724"/>
      <c r="I1709" s="1724"/>
      <c r="J1709" s="1724"/>
      <c r="K1709" s="1724"/>
      <c r="L1709" s="1724"/>
      <c r="M1709" s="1313">
        <v>3</v>
      </c>
      <c r="N1709" s="1696"/>
      <c r="O1709" s="1313">
        <f>'Part IX Scoring Criteria'!O155</f>
        <v>2</v>
      </c>
      <c r="P1709" s="1313">
        <f>'Part IX Scoring Criteria'!P155</f>
        <v>0</v>
      </c>
      <c r="Q1709" s="1676"/>
      <c r="R1709" s="1335"/>
      <c r="S1709" s="1676"/>
      <c r="T1709" s="1676"/>
      <c r="U1709" s="1676"/>
      <c r="V1709" s="1676"/>
      <c r="W1709" s="1676"/>
      <c r="X1709" s="1676"/>
      <c r="Y1709" s="1676"/>
      <c r="Z1709" s="1676"/>
    </row>
    <row r="1710" spans="1:26" ht="14.4">
      <c r="A1710" s="1659"/>
      <c r="B1710" s="1524" t="s">
        <v>3823</v>
      </c>
      <c r="C1710" s="1647"/>
      <c r="D1710" s="1647"/>
      <c r="E1710" s="1647"/>
      <c r="F1710" s="1647"/>
      <c r="G1710" s="1647"/>
      <c r="H1710" s="1647"/>
      <c r="I1710" s="1647"/>
      <c r="J1710" s="1647"/>
      <c r="K1710" s="1647"/>
      <c r="L1710" s="1647"/>
      <c r="M1710" s="1647"/>
      <c r="N1710" s="1647"/>
      <c r="O1710" s="1621" t="str">
        <f>'Part IX Scoring Criteria'!O156</f>
        <v>Yes</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4573</v>
      </c>
      <c r="C1712" s="1583"/>
      <c r="D1712" s="1583"/>
      <c r="E1712" s="457" t="s">
        <v>3820</v>
      </c>
      <c r="F1712" s="1676"/>
      <c r="G1712" s="457"/>
      <c r="H1712" s="1676"/>
      <c r="I1712" s="1550" t="str">
        <f>'Part IX Scoring Criteria'!I158</f>
        <v>Jones County - 684</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3822</v>
      </c>
      <c r="F1713" s="1625"/>
      <c r="G1713" s="1676"/>
      <c r="H1713" s="1676"/>
      <c r="I1713" s="1524"/>
      <c r="J1713" s="1517"/>
      <c r="K1713" s="1517"/>
      <c r="L1713" s="1517"/>
      <c r="M1713" s="1676"/>
      <c r="N1713" s="1550"/>
      <c r="O1713" s="1621" t="str">
        <f>'Part IX Scoring Criteria'!O159</f>
        <v>N/a</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2904</v>
      </c>
      <c r="F1714" s="457" t="str">
        <f>'Part I-Project Information'!$H$82</f>
        <v>HFOP</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3818</v>
      </c>
      <c r="I1715" s="1550" t="s">
        <v>3863</v>
      </c>
      <c r="J1715" s="1550"/>
      <c r="K1715" s="1550"/>
      <c r="L1715" s="1550"/>
      <c r="M1715" s="1389" t="s">
        <v>3817</v>
      </c>
      <c r="N1715" s="1389"/>
      <c r="O1715" s="1389" t="s">
        <v>3821</v>
      </c>
      <c r="P1715" s="1389"/>
      <c r="Q1715" s="1550"/>
      <c r="R1715" s="1659"/>
      <c r="S1715" s="1659"/>
      <c r="T1715" s="1659"/>
      <c r="U1715" s="1659"/>
      <c r="V1715" s="1659"/>
      <c r="W1715" s="1659"/>
      <c r="X1715" s="1659"/>
      <c r="Y1715" s="1659"/>
      <c r="Z1715" s="1659"/>
    </row>
    <row r="1716" spans="1:26" ht="21.6">
      <c r="A1716" s="1508"/>
      <c r="B1716" s="1735" t="s">
        <v>3815</v>
      </c>
      <c r="C1716" s="1517"/>
      <c r="D1716" s="1335" t="s">
        <v>4574</v>
      </c>
      <c r="E1716" s="1335"/>
      <c r="F1716" s="1335"/>
      <c r="G1716" s="1603" t="s">
        <v>3398</v>
      </c>
      <c r="H1716" s="1587"/>
      <c r="I1716" s="1626">
        <v>2014</v>
      </c>
      <c r="J1716" s="1626">
        <v>2015</v>
      </c>
      <c r="K1716" s="1626">
        <v>2016</v>
      </c>
      <c r="L1716" s="1626">
        <v>2017</v>
      </c>
      <c r="M1716" s="1389"/>
      <c r="N1716" s="1389"/>
      <c r="O1716" s="1389"/>
      <c r="P1716" s="1389"/>
      <c r="Q1716" s="1736" t="s">
        <v>3816</v>
      </c>
      <c r="R1716" s="1736"/>
      <c r="S1716" s="1659"/>
      <c r="T1716" s="1659"/>
      <c r="U1716" s="1659"/>
      <c r="V1716" s="1659"/>
      <c r="W1716" s="1659"/>
      <c r="X1716" s="1659"/>
      <c r="Y1716" s="1659"/>
      <c r="Z1716" s="1659"/>
    </row>
    <row r="1717" spans="1:26" ht="40.799999999999997">
      <c r="A1717" s="1620" t="s">
        <v>2435</v>
      </c>
      <c r="B1717" s="1556" t="s">
        <v>3998</v>
      </c>
      <c r="C1717" s="1659"/>
      <c r="D1717" s="1550" t="str">
        <f>'Part IX Scoring Criteria'!D166</f>
        <v>Gray Elementary School - 1550</v>
      </c>
      <c r="E1717" s="1550">
        <f>'Part IX Scoring Criteria'!E166</f>
        <v>0</v>
      </c>
      <c r="F1717" s="1550">
        <f>'Part IX Scoring Criteria'!F166</f>
        <v>0</v>
      </c>
      <c r="G1717" s="1850" t="str">
        <f>'Part IX Scoring Criteria'!G166</f>
        <v>PK - 05</v>
      </c>
      <c r="H1717" s="1611" t="str">
        <f>'Part IX Scoring Criteria'!H166</f>
        <v>No</v>
      </c>
      <c r="I1717" s="1739">
        <f>'Part IX Scoring Criteria'!I166</f>
        <v>79.900000000000006</v>
      </c>
      <c r="J1717" s="1739">
        <f>'Part IX Scoring Criteria'!J166</f>
        <v>74.7</v>
      </c>
      <c r="K1717" s="1739">
        <f>'Part IX Scoring Criteria'!K166</f>
        <v>82.2</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40.799999999999997">
      <c r="A1718" s="1627" t="s">
        <v>2436</v>
      </c>
      <c r="B1718" s="1556" t="s">
        <v>4161</v>
      </c>
      <c r="C1718" s="1659"/>
      <c r="D1718" s="1550" t="str">
        <f>'Part IX Scoring Criteria'!D167</f>
        <v>Gray Station Middle School - 0106</v>
      </c>
      <c r="E1718" s="1550">
        <f>'Part IX Scoring Criteria'!E167</f>
        <v>0</v>
      </c>
      <c r="F1718" s="1550">
        <f>'Part IX Scoring Criteria'!F167</f>
        <v>0</v>
      </c>
      <c r="G1718" s="1850" t="str">
        <f>'Part IX Scoring Criteria'!G167</f>
        <v>06 - 08</v>
      </c>
      <c r="H1718" s="1611" t="str">
        <f>'Part IX Scoring Criteria'!H167</f>
        <v>No</v>
      </c>
      <c r="I1718" s="1739">
        <f>'Part IX Scoring Criteria'!I167</f>
        <v>85.9</v>
      </c>
      <c r="J1718" s="1739">
        <f>'Part IX Scoring Criteria'!J167</f>
        <v>78.8</v>
      </c>
      <c r="K1718" s="1739">
        <f>'Part IX Scoring Criteria'!K167</f>
        <v>74.8</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40.799999999999997">
      <c r="A1719" s="1620" t="s">
        <v>2437</v>
      </c>
      <c r="B1719" s="1556" t="s">
        <v>3996</v>
      </c>
      <c r="C1719" s="1659"/>
      <c r="D1719" s="1550" t="str">
        <f>'Part IX Scoring Criteria'!D168</f>
        <v>Jones County High School - 0192</v>
      </c>
      <c r="E1719" s="1550">
        <f>'Part IX Scoring Criteria'!E168</f>
        <v>0</v>
      </c>
      <c r="F1719" s="1550">
        <f>'Part IX Scoring Criteria'!F168</f>
        <v>0</v>
      </c>
      <c r="G1719" s="1850" t="str">
        <f>'Part IX Scoring Criteria'!G168</f>
        <v>09 - 12</v>
      </c>
      <c r="H1719" s="1611" t="str">
        <f>'Part IX Scoring Criteria'!H168</f>
        <v>No</v>
      </c>
      <c r="I1719" s="1739">
        <f>'Part IX Scoring Criteria'!I168</f>
        <v>81.8</v>
      </c>
      <c r="J1719" s="1739">
        <f>'Part IX Scoring Criteria'!J168</f>
        <v>76.8</v>
      </c>
      <c r="K1719" s="1739">
        <f>'Part IX Scoring Criteria'!K168</f>
        <v>77.3</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2438</v>
      </c>
      <c r="B1721" s="1738" t="s">
        <v>3998</v>
      </c>
      <c r="C1721" s="1659"/>
      <c r="D1721" s="1647" t="str">
        <f>IF(D1717="","",D1717)</f>
        <v>Gray Elementary School - 1550</v>
      </c>
      <c r="E1721" s="1659"/>
      <c r="F1721" s="1659"/>
      <c r="G1721" s="1626" t="str">
        <f t="shared" ref="G1721:H1723" si="320">IF(G1717="","",G1717)</f>
        <v>PK - 05</v>
      </c>
      <c r="H1721" s="1626" t="str">
        <f t="shared" si="320"/>
        <v>No</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2439</v>
      </c>
      <c r="B1722" s="1738" t="s">
        <v>3997</v>
      </c>
      <c r="C1722" s="1659"/>
      <c r="D1722" s="1647" t="str">
        <f>IF(D1718="","",D1718)</f>
        <v>Gray Station Middle School - 0106</v>
      </c>
      <c r="E1722" s="1659"/>
      <c r="F1722" s="1659"/>
      <c r="G1722" s="1626" t="str">
        <f t="shared" si="320"/>
        <v>06 - 08</v>
      </c>
      <c r="H1722" s="1626" t="str">
        <f t="shared" si="320"/>
        <v>No</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2455</v>
      </c>
      <c r="B1723" s="1738" t="s">
        <v>3996</v>
      </c>
      <c r="C1723" s="1659"/>
      <c r="D1723" s="1647" t="str">
        <f>IF(D1719="","",D1719)</f>
        <v>Jones County High School - 0192</v>
      </c>
      <c r="E1723" s="1659"/>
      <c r="F1723" s="1659"/>
      <c r="G1723" s="1626" t="str">
        <f t="shared" si="320"/>
        <v>09 - 12</v>
      </c>
      <c r="H1723" s="1626" t="str">
        <f t="shared" si="320"/>
        <v>No</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1985</v>
      </c>
      <c r="B1725" s="1312" t="s">
        <v>4000</v>
      </c>
      <c r="C1725" s="1676"/>
      <c r="D1725" s="1724"/>
      <c r="E1725" s="1724"/>
      <c r="F1725" s="1709" t="s">
        <v>3391</v>
      </c>
      <c r="G1725" s="1676"/>
      <c r="H1725" s="1524" t="s">
        <v>3864</v>
      </c>
      <c r="I1725" s="1676"/>
      <c r="J1725" s="1676"/>
      <c r="K1725" s="1676"/>
      <c r="L1725" s="1676"/>
      <c r="M1725" s="1313">
        <v>2</v>
      </c>
      <c r="N1725" s="1696"/>
      <c r="O1725" s="1658" t="str">
        <f>'Part IX Scoring Criteria'!O171</f>
        <v>1.</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4163</v>
      </c>
      <c r="F1726" s="1741" t="s">
        <v>3658</v>
      </c>
      <c r="G1726" s="1491" t="s">
        <v>3399</v>
      </c>
      <c r="H1726" s="1491"/>
      <c r="I1726" s="1491"/>
      <c r="J1726" s="1491"/>
      <c r="K1726" s="1491"/>
      <c r="L1726" s="1491"/>
      <c r="M1726" s="1491"/>
      <c r="N1726" s="1491"/>
      <c r="O1726" s="1051"/>
      <c r="P1726" s="1648"/>
      <c r="Q1726" s="1051"/>
      <c r="R1726" s="1051" t="s">
        <v>2833</v>
      </c>
      <c r="S1726" s="1051"/>
      <c r="T1726" s="1638" t="str">
        <f>'Part I-Project Information'!$F$38</f>
        <v>Gray</v>
      </c>
      <c r="U1726" s="1638"/>
      <c r="V1726" s="1638"/>
      <c r="W1726" s="1638"/>
      <c r="X1726" s="1638"/>
      <c r="Y1726" s="1051"/>
      <c r="Z1726" s="1051"/>
    </row>
    <row r="1727" spans="1:26" ht="12.75" customHeight="1">
      <c r="A1727" s="1618"/>
      <c r="B1727" s="1741" t="s">
        <v>4003</v>
      </c>
      <c r="C1727" s="1741"/>
      <c r="D1727" s="1741"/>
      <c r="E1727" s="1741"/>
      <c r="F1727" s="1741"/>
      <c r="G1727" s="1583" t="s">
        <v>4002</v>
      </c>
      <c r="H1727" s="1583"/>
      <c r="I1727" s="1583"/>
      <c r="J1727" s="1583"/>
      <c r="K1727" s="1583"/>
      <c r="L1727" s="1583"/>
      <c r="M1727" s="1583"/>
      <c r="N1727" s="1583"/>
      <c r="O1727" s="1741" t="s">
        <v>3659</v>
      </c>
      <c r="P1727" s="1741"/>
      <c r="Q1727" s="1051"/>
      <c r="R1727" s="1638" t="s">
        <v>2834</v>
      </c>
      <c r="S1727" s="1051"/>
      <c r="T1727" s="1638" t="str">
        <f>'Part I-Project Information'!$J$39</f>
        <v>Jones</v>
      </c>
      <c r="U1727" s="1638"/>
      <c r="V1727" s="1638"/>
      <c r="W1727" s="1638"/>
      <c r="X1727" s="1638"/>
      <c r="Y1727" s="1051"/>
      <c r="Z1727" s="1051"/>
    </row>
    <row r="1728" spans="1:26">
      <c r="A1728" s="1618"/>
      <c r="B1728" s="457" t="s">
        <v>3824</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2835</v>
      </c>
      <c r="S1728" s="1051"/>
      <c r="T1728" s="1638" t="str">
        <f>'Part I-Project Information'!$O$40</f>
        <v>Macon</v>
      </c>
      <c r="U1728" s="1638"/>
      <c r="V1728" s="1638"/>
      <c r="W1728" s="1638"/>
      <c r="X1728" s="1638"/>
      <c r="Y1728" s="1051"/>
      <c r="Z1728" s="1051"/>
    </row>
    <row r="1729" spans="1:26" ht="12.75" customHeight="1">
      <c r="A1729" s="1618"/>
      <c r="B1729" s="1550" t="s">
        <v>4001</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3857</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3858</v>
      </c>
      <c r="C1731" s="1051"/>
      <c r="D1731" s="1051"/>
      <c r="E1731" s="1745"/>
      <c r="F1731" s="1745"/>
      <c r="G1731" s="1745"/>
      <c r="H1731" s="1051"/>
      <c r="I1731" s="1745">
        <f>'Part IX Scoring Criteria'!I177</f>
        <v>3000</v>
      </c>
      <c r="J1731" s="1745">
        <f>'Part IX Scoring Criteria'!J177</f>
        <v>0</v>
      </c>
      <c r="K1731" s="1051"/>
      <c r="L1731" s="1051"/>
      <c r="M1731" s="1051"/>
      <c r="N1731" s="1051"/>
      <c r="O1731" s="1051"/>
      <c r="P1731" s="1051"/>
      <c r="Q1731" s="1051"/>
      <c r="R1731" s="1051" t="s">
        <v>3624</v>
      </c>
      <c r="S1731" s="1051"/>
      <c r="T1731" s="1638" t="str">
        <f>'Part I-Project Information'!$K$40</f>
        <v>Rural</v>
      </c>
      <c r="U1731" s="1638"/>
      <c r="V1731" s="1638"/>
      <c r="W1731" s="1638"/>
      <c r="X1731" s="1638"/>
      <c r="Y1731" s="1051"/>
      <c r="Z1731" s="1051"/>
    </row>
    <row r="1732" spans="1:26">
      <c r="A1732" s="1738"/>
      <c r="B1732" s="1647" t="s">
        <v>3623</v>
      </c>
      <c r="C1732" s="1051"/>
      <c r="D1732" s="1051"/>
      <c r="E1732" s="1051"/>
      <c r="F1732" s="1051"/>
      <c r="G1732" s="1051"/>
      <c r="H1732" s="1746" t="str">
        <f>IF(I1732&lt;I1731,"Threshold not met!","")</f>
        <v/>
      </c>
      <c r="I1732" s="1745">
        <f>'Part IX Scoring Criteria'!I178</f>
        <v>3528</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4162</v>
      </c>
      <c r="D1734" s="1638"/>
      <c r="E1734" s="1638"/>
      <c r="F1734" s="1638"/>
      <c r="G1734" s="1638"/>
      <c r="H1734" s="1747" t="s">
        <v>1986</v>
      </c>
      <c r="I1734" s="1691" t="str">
        <f>'Part IX Scoring Criteria'!I180</f>
        <v>Yes</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4004</v>
      </c>
      <c r="D1735" s="1734"/>
      <c r="E1735" s="1734"/>
      <c r="F1735" s="1734"/>
      <c r="G1735" s="1051"/>
      <c r="H1735" s="1747" t="s">
        <v>1988</v>
      </c>
      <c r="I1735" s="1748" t="str">
        <f>'Part IX Scoring Criteria'!I181</f>
        <v>No</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3879</v>
      </c>
      <c r="D1736" s="1734"/>
      <c r="E1736" s="1734"/>
      <c r="F1736" s="1734"/>
      <c r="G1736" s="1725"/>
      <c r="H1736" s="1051"/>
      <c r="I1736" s="1632">
        <f>'Part IX Scoring Criteria'!I182</f>
        <v>0.17599999999999993</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3750</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9.6">
      <c r="A1739" s="1583" t="str">
        <f>'Part IX Scoring Criteria'!A185</f>
        <v>The project falls within the school boundaries of Gray Elementary School, Gray Station Middle School and Jones County Hgh School. All three school have 2015-2017 average CCRPI scores above the threshold for points. In addition, Gray Elementary School recieved 2017 "Beating the Odds" designation. There are 3,528 jobs within a 2-mile radius of the site. The minimum jobs threshold for rural areas is 3,000, therefore the project is eligible for one point under Workforce Housing Need.</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4010</v>
      </c>
      <c r="C1743" s="1676"/>
      <c r="D1743" s="1677"/>
      <c r="E1743" s="1677"/>
      <c r="F1743" s="1676"/>
      <c r="G1743" s="1676"/>
      <c r="H1743" s="1525" t="s">
        <v>4011</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4575</v>
      </c>
      <c r="C1745" s="1503"/>
      <c r="D1745" s="1503"/>
      <c r="E1745" s="1335" t="s">
        <v>4173</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4128</v>
      </c>
      <c r="D1747" s="1583"/>
      <c r="E1747" s="1583"/>
      <c r="F1747" s="1583"/>
      <c r="G1747" s="1583"/>
      <c r="H1747" s="1583"/>
      <c r="I1747" s="1583"/>
      <c r="J1747" s="1627" t="s">
        <v>2435</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4576</v>
      </c>
      <c r="D1749" s="1583"/>
      <c r="E1749" s="1583"/>
      <c r="F1749" s="1583"/>
      <c r="G1749" s="1583"/>
      <c r="H1749" s="1659"/>
      <c r="I1749" s="1659"/>
      <c r="J1749" s="1620" t="s">
        <v>2436</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4014</v>
      </c>
      <c r="D1751" s="1604"/>
      <c r="E1751" s="1604"/>
      <c r="F1751" s="1604"/>
      <c r="G1751" s="1604"/>
      <c r="H1751" s="1604"/>
      <c r="I1751" s="1596"/>
      <c r="J1751" s="1627" t="s">
        <v>2438</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4170</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4005</v>
      </c>
      <c r="D1753" s="1604"/>
      <c r="E1753" s="1604"/>
      <c r="F1753" s="1604"/>
      <c r="G1753" s="1604"/>
      <c r="H1753" s="1604"/>
      <c r="I1753" s="1596"/>
      <c r="J1753" s="1627" t="s">
        <v>2439</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4006</v>
      </c>
      <c r="D1755" s="1604"/>
      <c r="E1755" s="1604"/>
      <c r="F1755" s="1604"/>
      <c r="G1755" s="1596"/>
      <c r="H1755" s="1596"/>
      <c r="I1755" s="1596"/>
      <c r="J1755" s="1627" t="s">
        <v>2456</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4007</v>
      </c>
      <c r="E1756" s="1604"/>
      <c r="F1756" s="1752" t="e">
        <f>'Part IX Scoring Criteria'!#REF!</f>
        <v>#REF!</v>
      </c>
      <c r="G1756" s="1752" t="e">
        <f>'Part IX Scoring Criteria'!#REF!</f>
        <v>#REF!</v>
      </c>
      <c r="H1756" s="1596"/>
      <c r="I1756" s="1604" t="s">
        <v>4008</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4577</v>
      </c>
      <c r="D1757" s="1604"/>
      <c r="E1757" s="1604"/>
      <c r="F1757" s="1604"/>
      <c r="G1757" s="1596"/>
      <c r="H1757" s="1596"/>
      <c r="I1757" s="1596"/>
      <c r="J1757" s="1627" t="s">
        <v>2457</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4129</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4009</v>
      </c>
      <c r="M1761" s="1313">
        <v>5</v>
      </c>
      <c r="N1761" s="1618" t="s">
        <v>1983</v>
      </c>
      <c r="O1761" s="1753">
        <f>'Part IX Scoring Criteria'!O205</f>
        <v>0</v>
      </c>
      <c r="P1761" s="1753">
        <f>'Part IX Scoring Criteria'!P205</f>
        <v>0</v>
      </c>
      <c r="Q1761" s="1372"/>
      <c r="X1761" s="1322"/>
      <c r="Y1761" s="1620"/>
    </row>
    <row r="1762" spans="1:26" ht="12.75" customHeight="1">
      <c r="A1762" s="1618"/>
      <c r="B1762" s="1733" t="s">
        <v>1986</v>
      </c>
      <c r="C1762" s="1583" t="s">
        <v>4578</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0</v>
      </c>
      <c r="P1762" s="1697">
        <f>'Part IX Scoring Criteria'!P206</f>
        <v>0</v>
      </c>
      <c r="Q1762" s="1698" t="str">
        <f>IF(OR($O1762=$M1762,$O1762=0,$O1762=""),"","*CHECK!*")</f>
        <v/>
      </c>
      <c r="R1762" s="1331" t="s">
        <v>2706</v>
      </c>
    </row>
    <row r="1763" spans="1:26" ht="12.75" customHeight="1">
      <c r="A1763" s="1618"/>
      <c r="B1763" s="1733" t="s">
        <v>1988</v>
      </c>
      <c r="C1763" s="1648" t="s">
        <v>4579</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0</v>
      </c>
      <c r="P1763" s="1697">
        <f>'Part IX Scoring Criteria'!P207</f>
        <v>0</v>
      </c>
      <c r="Q1763" s="1698" t="str">
        <f>IF(OR($O1763=$M1763,$O1763=0,$O1763=""),"","*CHECK!*")</f>
        <v/>
      </c>
      <c r="R1763" s="1331" t="s">
        <v>2706</v>
      </c>
    </row>
    <row r="1764" spans="1:26">
      <c r="A1764" s="1618"/>
      <c r="B1764" s="1647"/>
      <c r="C1764" s="1647" t="s">
        <v>3775</v>
      </c>
      <c r="E1764" s="1647" t="str">
        <f>'Part I-Project Information'!$N$39</f>
        <v>No</v>
      </c>
      <c r="G1764" s="1647" t="s">
        <v>3575</v>
      </c>
      <c r="I1764" s="1754" t="str">
        <f>'Part I-Project Information'!$O$38</f>
        <v>13169030301</v>
      </c>
      <c r="J1764" s="1754"/>
      <c r="K1764" s="1524" t="s">
        <v>3375</v>
      </c>
      <c r="M1764" s="1524" t="str">
        <f>'Part IV-A-Uses of Funds'!$H$152</f>
        <v>&lt;&lt;Select&gt;&gt;</v>
      </c>
    </row>
    <row r="1765" spans="1:26">
      <c r="A1765" s="1618"/>
      <c r="B1765" s="1647"/>
      <c r="D1765" s="1626"/>
      <c r="E1765" s="1647"/>
      <c r="G1765" s="1524"/>
      <c r="K1765" s="1524"/>
      <c r="L1765" s="1524"/>
    </row>
    <row r="1766" spans="1:26" ht="13.8">
      <c r="A1766" s="1508" t="s">
        <v>1985</v>
      </c>
      <c r="B1766" s="1503" t="s">
        <v>4012</v>
      </c>
      <c r="D1766" s="1314"/>
      <c r="K1766" s="1512"/>
      <c r="L1766" s="1625" t="str">
        <f>IF(OR($O1766=$M1766,$O1766=0,$O1766=""),"","* * Check Score! * *")</f>
        <v/>
      </c>
      <c r="M1766" s="1313">
        <v>2</v>
      </c>
      <c r="N1766" s="1618" t="s">
        <v>1985</v>
      </c>
      <c r="O1766" s="1658">
        <f>'Part IX Scoring Criteria'!O210</f>
        <v>0</v>
      </c>
      <c r="P1766" s="1658">
        <f>'Part IX Scoring Criteria'!P210</f>
        <v>0</v>
      </c>
      <c r="Q1766" s="1698" t="str">
        <f>IF(OR($O1766=$M1766,$O1766=0,$O1766=""),"","*CHECK!*")</f>
        <v/>
      </c>
      <c r="R1766" s="1331" t="s">
        <v>2706</v>
      </c>
    </row>
    <row r="1767" spans="1:26" ht="17.399999999999999">
      <c r="A1767" s="1508"/>
      <c r="B1767" s="457" t="s">
        <v>2794</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3854</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3855</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3622</v>
      </c>
      <c r="N1769" s="1659"/>
      <c r="O1769" s="1659"/>
      <c r="P1769" s="1659"/>
      <c r="Q1769" s="1659"/>
      <c r="R1769" s="1659"/>
      <c r="S1769" s="1659"/>
      <c r="T1769" s="1659"/>
      <c r="U1769" s="1659"/>
      <c r="V1769" s="1726"/>
      <c r="W1769" s="1726"/>
      <c r="X1769" s="1659"/>
      <c r="Y1769" s="1659"/>
      <c r="Z1769" s="1659"/>
    </row>
    <row r="1770" spans="1:26" ht="17.399999999999999">
      <c r="A1770" s="1562"/>
      <c r="B1770" s="1647" t="s">
        <v>4187</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3784</v>
      </c>
      <c r="G1771" s="1604"/>
      <c r="J1771" s="1853">
        <f>'Part IX Scoring Criteria'!O215</f>
        <v>0</v>
      </c>
      <c r="K1771" s="1755" t="s">
        <v>3783</v>
      </c>
      <c r="L1771" s="1596"/>
      <c r="N1771" s="1320"/>
      <c r="O1771" s="1322"/>
      <c r="P1771" s="1322"/>
      <c r="V1771" s="1726"/>
      <c r="W1771" s="1726"/>
    </row>
    <row r="1772" spans="1:26" ht="18.75" customHeight="1">
      <c r="A1772" s="1756" t="s">
        <v>4167</v>
      </c>
      <c r="B1772" s="1583" t="s">
        <v>4164</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4165</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4166</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3454</v>
      </c>
      <c r="G1775" s="457" t="s">
        <v>2629</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4580</v>
      </c>
      <c r="D1776" s="1582"/>
      <c r="E1776" s="1659"/>
      <c r="F1776" s="1659"/>
      <c r="G1776" s="1757">
        <f>'Part IV-A-Uses of Funds'!$G$132</f>
        <v>9013295</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3750</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15.6">
      <c r="A1778" s="1583" t="str">
        <f>'Part IX Scoring Criteria'!A224</f>
        <v>N/A</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4013</v>
      </c>
      <c r="C1782" s="1582"/>
      <c r="D1782" s="1582"/>
      <c r="E1782" s="1582"/>
      <c r="F1782" s="1582"/>
      <c r="G1782" s="1582"/>
      <c r="H1782" s="1582"/>
      <c r="I1782" s="1582"/>
      <c r="J1782" s="1582"/>
      <c r="K1782" s="1611" t="s">
        <v>3246</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4.4">
      <c r="A1783" s="1508"/>
      <c r="B1783" s="1612" t="s">
        <v>4015</v>
      </c>
      <c r="C1783" s="1659"/>
      <c r="D1783" s="1051" t="s">
        <v>4016</v>
      </c>
      <c r="E1783" s="1659"/>
      <c r="F1783" s="1659"/>
      <c r="G1783" s="1659"/>
      <c r="H1783" s="1659"/>
      <c r="I1783" s="1659"/>
      <c r="J1783" s="1659"/>
      <c r="K1783" s="1753">
        <f>'Part IX Scoring Criteria'!K231</f>
        <v>0</v>
      </c>
      <c r="L1783" s="1753">
        <f>'Part IX Scoring Criteria'!L231</f>
        <v>0</v>
      </c>
      <c r="M1783" s="1659"/>
      <c r="N1783" s="1620" t="s">
        <v>2435</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4017</v>
      </c>
      <c r="E1784" s="1659"/>
      <c r="F1784" s="1659"/>
      <c r="G1784" s="1659"/>
      <c r="H1784" s="1659"/>
      <c r="I1784" s="1659"/>
      <c r="J1784" s="1659"/>
      <c r="K1784" s="1753">
        <f>'Part IX Scoring Criteria'!K232</f>
        <v>4</v>
      </c>
      <c r="L1784" s="1753">
        <f>'Part IX Scoring Criteria'!L232</f>
        <v>0</v>
      </c>
      <c r="M1784" s="1659"/>
      <c r="N1784" s="1620" t="s">
        <v>2436</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4018</v>
      </c>
      <c r="E1785" s="1659"/>
      <c r="F1785" s="1659"/>
      <c r="G1785" s="1659"/>
      <c r="H1785" s="1659"/>
      <c r="I1785" s="1659"/>
      <c r="J1785" s="1659"/>
      <c r="K1785" s="1659"/>
      <c r="L1785" s="1659"/>
      <c r="M1785" s="1659"/>
      <c r="N1785" s="1620" t="s">
        <v>2437</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4019</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4020</v>
      </c>
      <c r="E1787" s="1659"/>
      <c r="F1787" s="1659"/>
      <c r="G1787" s="1659"/>
      <c r="H1787" s="1659"/>
      <c r="I1787" s="1659"/>
      <c r="J1787" s="1659"/>
      <c r="K1787" s="1659"/>
      <c r="L1787" s="1659"/>
      <c r="M1787" s="1659"/>
      <c r="N1787" s="1620" t="s">
        <v>2439</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4581</v>
      </c>
      <c r="D1789" s="1314"/>
      <c r="G1789" s="1647" t="s">
        <v>3779</v>
      </c>
      <c r="Q1789" s="1372"/>
    </row>
    <row r="1790" spans="1:26">
      <c r="A1790" s="1618"/>
      <c r="B1790" s="457" t="s">
        <v>3859</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2194</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4021</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4582</v>
      </c>
      <c r="D1794" s="1550"/>
      <c r="E1794" s="1550"/>
      <c r="F1794" s="1550"/>
      <c r="G1794" s="1550"/>
      <c r="H1794" s="1550"/>
      <c r="I1794" s="1550"/>
      <c r="J1794" s="1550"/>
      <c r="K1794" s="1550"/>
      <c r="L1794" s="1550"/>
      <c r="M1794" s="1314"/>
      <c r="N1794" s="1684" t="s">
        <v>1986</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4023</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4025</v>
      </c>
      <c r="P1795" s="1468"/>
      <c r="Q1795" s="1604"/>
      <c r="S1795" s="1314"/>
      <c r="T1795" s="1314"/>
      <c r="U1795" s="1314"/>
      <c r="V1795" s="1726"/>
      <c r="W1795" s="1726"/>
      <c r="X1795" s="1314"/>
      <c r="Y1795" s="1314"/>
      <c r="Z1795" s="1314"/>
    </row>
    <row r="1796" spans="1:26" ht="17.399999999999999">
      <c r="A1796" s="1618"/>
      <c r="B1796" s="1314"/>
      <c r="C1796" s="457" t="s">
        <v>2194</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4024</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4025</v>
      </c>
      <c r="P1797" s="1468"/>
      <c r="Q1797" s="1604"/>
      <c r="S1797" s="1314"/>
      <c r="T1797" s="1314"/>
      <c r="U1797" s="1314"/>
      <c r="V1797" s="1726"/>
      <c r="W1797" s="1726"/>
      <c r="X1797" s="1314"/>
      <c r="Y1797" s="1314"/>
      <c r="Z1797" s="1314"/>
    </row>
    <row r="1798" spans="1:26" ht="17.399999999999999">
      <c r="A1798" s="1618"/>
      <c r="B1798" s="1314"/>
      <c r="C1798" s="457" t="s">
        <v>2194</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1988</v>
      </c>
      <c r="C1799" s="1576" t="s">
        <v>4026</v>
      </c>
      <c r="D1799" s="1604"/>
      <c r="E1799" s="1604"/>
      <c r="F1799" s="1604"/>
      <c r="G1799" s="1647" t="s">
        <v>3779</v>
      </c>
      <c r="H1799" s="1604"/>
      <c r="I1799" s="1604"/>
      <c r="J1799" s="1604"/>
      <c r="K1799" s="1604"/>
      <c r="L1799" s="1604"/>
      <c r="M1799" s="1604"/>
      <c r="N1799" s="1604"/>
      <c r="O1799" s="1578" t="s">
        <v>2510</v>
      </c>
      <c r="P1799" s="1578" t="s">
        <v>2510</v>
      </c>
      <c r="Q1799" s="1604"/>
    </row>
    <row r="1800" spans="1:26" ht="18.75" customHeight="1">
      <c r="A1800" s="1618"/>
      <c r="B1800" s="1759"/>
      <c r="C1800" s="1583" t="s">
        <v>4583</v>
      </c>
      <c r="D1800" s="1583"/>
      <c r="E1800" s="1583"/>
      <c r="F1800" s="1583"/>
      <c r="G1800" s="1583"/>
      <c r="H1800" s="1583"/>
      <c r="I1800" s="1583"/>
      <c r="J1800" s="1583"/>
      <c r="K1800" s="1583"/>
      <c r="L1800" s="1583"/>
      <c r="M1800" s="1583"/>
      <c r="N1800" s="1684" t="s">
        <v>1988</v>
      </c>
      <c r="O1800" s="1628">
        <f>'Part IX Scoring Criteria'!O249</f>
        <v>0</v>
      </c>
      <c r="P1800" s="1628">
        <f>'Part IX Scoring Criteria'!P249</f>
        <v>0</v>
      </c>
      <c r="Q1800" s="1630"/>
      <c r="V1800" s="1726"/>
      <c r="W1800" s="1726"/>
    </row>
    <row r="1801" spans="1:26" ht="17.399999999999999">
      <c r="A1801" s="1618"/>
      <c r="B1801" s="1620" t="s">
        <v>2435</v>
      </c>
      <c r="C1801" s="1635" t="s">
        <v>4132</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4130</v>
      </c>
      <c r="D1805" s="1582"/>
      <c r="E1805" s="1582"/>
      <c r="F1805" s="1582"/>
      <c r="G1805" s="1582"/>
      <c r="H1805" s="1582"/>
      <c r="I1805" s="1582"/>
      <c r="J1805" s="1582"/>
      <c r="K1805" s="1582"/>
      <c r="L1805" s="1583" t="s">
        <v>4134</v>
      </c>
      <c r="M1805" s="1583"/>
      <c r="N1805" s="1604" t="s">
        <v>4135</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4027</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4031</v>
      </c>
      <c r="D1810" s="1550"/>
      <c r="E1810" s="1550"/>
      <c r="F1810" s="1550"/>
      <c r="G1810" s="1550"/>
      <c r="H1810" s="1550"/>
      <c r="I1810" s="1550"/>
      <c r="J1810" s="1550"/>
      <c r="K1810" s="1550"/>
      <c r="L1810" s="1550"/>
      <c r="M1810" s="1550"/>
      <c r="N1810" s="1684" t="s">
        <v>2534</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3782</v>
      </c>
      <c r="D1811" s="1314"/>
      <c r="Q1811" s="1313"/>
    </row>
    <row r="1812" spans="1:26" ht="18.75" customHeight="1">
      <c r="A1812" s="1618"/>
      <c r="B1812" s="1760"/>
      <c r="C1812" s="1583" t="s">
        <v>4033</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4034</v>
      </c>
      <c r="D1813" s="1550"/>
      <c r="E1813" s="1550"/>
      <c r="F1813" s="1550"/>
      <c r="G1813" s="1550"/>
      <c r="H1813" s="1550"/>
      <c r="I1813" s="1550"/>
      <c r="J1813" s="1550"/>
      <c r="K1813" s="1550"/>
      <c r="L1813" s="1550"/>
      <c r="M1813" s="1550"/>
      <c r="N1813" s="1620" t="s">
        <v>2435</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4035</v>
      </c>
      <c r="D1814" s="1550"/>
      <c r="E1814" s="1550"/>
      <c r="F1814" s="1550"/>
      <c r="G1814" s="1550"/>
      <c r="H1814" s="1550"/>
      <c r="I1814" s="1550"/>
      <c r="J1814" s="1550"/>
      <c r="K1814" s="1550"/>
      <c r="L1814" s="1550"/>
      <c r="M1814" s="1550"/>
      <c r="N1814" s="1620" t="s">
        <v>2436</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1985</v>
      </c>
      <c r="B1816" s="1503" t="s">
        <v>4584</v>
      </c>
      <c r="D1816" s="1314"/>
      <c r="G1816" s="1647" t="s">
        <v>3779</v>
      </c>
      <c r="O1816" s="1578" t="s">
        <v>2510</v>
      </c>
      <c r="P1816" s="1578" t="s">
        <v>2510</v>
      </c>
      <c r="Q1816" s="1372"/>
    </row>
    <row r="1817" spans="1:26" ht="18.75" customHeight="1">
      <c r="A1817" s="1618"/>
      <c r="B1817" s="1733" t="s">
        <v>1986</v>
      </c>
      <c r="C1817" s="1583" t="s">
        <v>4029</v>
      </c>
      <c r="D1817" s="1583"/>
      <c r="E1817" s="1583"/>
      <c r="F1817" s="1583"/>
      <c r="G1817" s="1583"/>
      <c r="H1817" s="1583"/>
      <c r="I1817" s="1583"/>
      <c r="J1817" s="1583"/>
      <c r="K1817" s="1583"/>
      <c r="L1817" s="1583"/>
      <c r="M1817" s="1762" t="s">
        <v>1985</v>
      </c>
      <c r="N1817" s="1684" t="s">
        <v>1986</v>
      </c>
      <c r="O1817" s="1628">
        <f>'Part IX Scoring Criteria'!O269</f>
        <v>0</v>
      </c>
      <c r="P1817" s="1628">
        <f>'Part IX Scoring Criteria'!P269</f>
        <v>0</v>
      </c>
      <c r="Q1817" s="1372"/>
      <c r="V1817" s="1726"/>
      <c r="W1817" s="1726"/>
    </row>
    <row r="1818" spans="1:26" ht="17.399999999999999">
      <c r="A1818" s="1618"/>
      <c r="B1818" s="1733" t="s">
        <v>1988</v>
      </c>
      <c r="C1818" s="1524" t="s">
        <v>4030</v>
      </c>
      <c r="D1818" s="1550"/>
      <c r="E1818" s="1550"/>
      <c r="F1818" s="1550"/>
      <c r="G1818" s="1550"/>
      <c r="H1818" s="1550"/>
      <c r="I1818" s="1550"/>
      <c r="J1818" s="1550"/>
      <c r="K1818" s="1550"/>
      <c r="L1818" s="1550"/>
      <c r="M1818" s="1550"/>
      <c r="N1818" s="1684" t="s">
        <v>1988</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3750</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15.6">
      <c r="A1820" s="1573" t="str">
        <f>'Part IX Scoring Criteria'!A273</f>
        <v>N/A</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2786</v>
      </c>
      <c r="C1824" s="1676"/>
      <c r="D1824" s="1677"/>
      <c r="E1824" s="1677"/>
      <c r="F1824" s="1676"/>
      <c r="G1824" s="1676"/>
      <c r="H1824" s="1335" t="s">
        <v>4175</v>
      </c>
      <c r="I1824" s="1676"/>
      <c r="J1824" s="1676"/>
      <c r="K1824" s="1676"/>
      <c r="L1824" s="1676"/>
      <c r="M1824" s="1496">
        <v>7</v>
      </c>
      <c r="N1824" s="1313"/>
      <c r="O1824" s="1499">
        <f>'Part IX Scoring Criteria'!O277</f>
        <v>5</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3599</v>
      </c>
      <c r="B1826" s="1503" t="s">
        <v>3597</v>
      </c>
      <c r="C1826" s="1676"/>
      <c r="D1826" s="1677"/>
      <c r="E1826" s="1677"/>
      <c r="F1826" s="1676"/>
      <c r="G1826" s="1676"/>
      <c r="H1826" s="1335"/>
      <c r="I1826" s="1676"/>
      <c r="J1826" s="1676"/>
      <c r="K1826" s="1676"/>
      <c r="L1826" s="1676"/>
      <c r="M1826" s="1313">
        <v>3</v>
      </c>
      <c r="N1826" s="1721" t="s">
        <v>4038</v>
      </c>
      <c r="O1826" s="1499">
        <f>'Part IX Scoring Criteria'!O279</f>
        <v>3</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Rural</v>
      </c>
      <c r="N1827" s="1721"/>
      <c r="O1827" s="1626" t="s">
        <v>2510</v>
      </c>
      <c r="P1827" s="1626" t="s">
        <v>2510</v>
      </c>
    </row>
    <row r="1828" spans="1:26" ht="12.75" customHeight="1">
      <c r="A1828" s="1764"/>
      <c r="B1828" s="1729" t="s">
        <v>1986</v>
      </c>
      <c r="C1828" s="1051" t="s">
        <v>2685</v>
      </c>
      <c r="M1828" s="1320"/>
      <c r="N1828" s="1721"/>
      <c r="O1828" s="1621" t="str">
        <f>'Part IX Scoring Criteria'!O281</f>
        <v>Yes</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f>'Part IX Scoring Criteria'!H282</f>
        <v>0.1</v>
      </c>
      <c r="I1829" s="1051" t="s">
        <v>2740</v>
      </c>
      <c r="L1829" s="457" t="s">
        <v>2738</v>
      </c>
      <c r="M1829" s="1577" t="str">
        <f>IF(O1829&gt;H1829,"CHECK ACTUAL PERCENT!!!","")</f>
        <v/>
      </c>
      <c r="N1829" s="1696" t="s">
        <v>1988</v>
      </c>
      <c r="O1829" s="1766">
        <f>'Part IX Scoring Criteria'!O282</f>
        <v>8.0500000000000002E-2</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t="str">
        <f>'Part IX Scoring Criteria'!O283</f>
        <v>Upper</v>
      </c>
      <c r="P1830" s="1578" t="str">
        <f>'Part IX Scoring Criteria'!P283</f>
        <v>&lt;Select&gt;</v>
      </c>
      <c r="Q1830" s="1765"/>
      <c r="R1830" s="1765"/>
    </row>
    <row r="1831" spans="1:26" ht="12.75" customHeight="1">
      <c r="A1831" s="1596"/>
      <c r="B1831" s="1733" t="s">
        <v>1224</v>
      </c>
      <c r="C1831" s="1583" t="s">
        <v>4585</v>
      </c>
      <c r="D1831" s="1583"/>
      <c r="E1831" s="1583"/>
      <c r="F1831" s="1583"/>
      <c r="G1831" s="1583"/>
      <c r="H1831" s="1583"/>
      <c r="I1831" s="1583"/>
      <c r="J1831" s="1767" t="s">
        <v>4037</v>
      </c>
      <c r="K1831" s="1767" t="s">
        <v>4036</v>
      </c>
      <c r="L1831" s="1596"/>
      <c r="M1831" s="1316">
        <v>2</v>
      </c>
      <c r="N1831" s="1696" t="s">
        <v>1224</v>
      </c>
      <c r="O1831" s="1628" t="str">
        <f>'Part IX Scoring Criteria'!O284</f>
        <v>N/a</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4092</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3598</v>
      </c>
      <c r="C1834" s="1051"/>
      <c r="G1834" s="1051"/>
      <c r="M1834" s="1313">
        <v>2</v>
      </c>
      <c r="N1834" s="1511" t="s">
        <v>749</v>
      </c>
      <c r="O1834" s="1499">
        <f>'Part IX Scoring Criteria'!O288</f>
        <v>2</v>
      </c>
      <c r="P1834" s="1499">
        <f>'Part IX Scoring Criteria'!P288</f>
        <v>0</v>
      </c>
    </row>
    <row r="1835" spans="1:26">
      <c r="A1835" s="1531"/>
      <c r="B1835" s="1638" t="s">
        <v>3602</v>
      </c>
      <c r="C1835" s="1638"/>
      <c r="D1835" s="1638"/>
      <c r="E1835" s="1638"/>
      <c r="F1835" s="1638"/>
      <c r="G1835" s="1638"/>
      <c r="H1835" s="1587"/>
      <c r="I1835" s="1587"/>
      <c r="N1835" s="1320"/>
      <c r="O1835" s="1578">
        <f>'Part IX Scoring Criteria'!O289</f>
        <v>83</v>
      </c>
      <c r="P1835" s="1578">
        <f>'Part IX Scoring Criteria'!P289</f>
        <v>0</v>
      </c>
    </row>
    <row r="1836" spans="1:26">
      <c r="A1836" s="1531" t="s">
        <v>2115</v>
      </c>
      <c r="B1836" s="1729" t="s">
        <v>3600</v>
      </c>
      <c r="C1836" s="1051"/>
      <c r="G1836" s="1647" t="s">
        <v>3601</v>
      </c>
      <c r="H1836" s="1771">
        <f>'Part VI-Revenues &amp; Expenses'!$O$64</f>
        <v>0</v>
      </c>
      <c r="I1836" s="1626" t="s">
        <v>3603</v>
      </c>
      <c r="J1836" s="1771">
        <f>'Part VI-Revenues &amp; Expenses'!$O$67</f>
        <v>48</v>
      </c>
      <c r="K1836" s="1626" t="s">
        <v>3604</v>
      </c>
      <c r="L1836" s="1772">
        <f>IF(J1836=0,0,H1836/J1836)</f>
        <v>0</v>
      </c>
      <c r="M1836" s="1313">
        <v>2</v>
      </c>
      <c r="N1836" s="1315" t="s">
        <v>2115</v>
      </c>
      <c r="O1836" s="1496">
        <f>'Part IX Scoring Criteria'!O293</f>
        <v>0</v>
      </c>
      <c r="P1836" s="1496">
        <f>'Part IX Scoring Criteria'!P293</f>
        <v>0</v>
      </c>
    </row>
    <row r="1837" spans="1:26" ht="14.4">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4039</v>
      </c>
      <c r="C1840" s="1676"/>
      <c r="D1840" s="1677"/>
      <c r="E1840" s="1677"/>
      <c r="F1840" s="1676"/>
      <c r="G1840" s="1676"/>
      <c r="H1840" s="1335"/>
      <c r="I1840" s="1773" t="s">
        <v>3795</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3786</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f>'Part IX Scoring Criteria'!O299</f>
        <v>0</v>
      </c>
      <c r="P1841" s="1621">
        <f>'Part IX Scoring Criteria'!P299</f>
        <v>0</v>
      </c>
      <c r="U1841" s="1626">
        <f>IF(L1841="Yes",1,0)</f>
        <v>0</v>
      </c>
    </row>
    <row r="1842" spans="1:26">
      <c r="A1842" s="1495" t="s">
        <v>1985</v>
      </c>
      <c r="B1842" s="1774" t="s">
        <v>3787</v>
      </c>
      <c r="D1842" s="1635"/>
      <c r="L1842" s="1635"/>
      <c r="M1842" s="1775"/>
      <c r="N1842" s="1620" t="s">
        <v>1985</v>
      </c>
      <c r="O1842" s="1621">
        <f>'Part IX Scoring Criteria'!O300</f>
        <v>0</v>
      </c>
      <c r="P1842" s="1621">
        <f>'Part IX Scoring Criteria'!P300</f>
        <v>0</v>
      </c>
      <c r="U1842" s="1626">
        <f>IF(L1842="Yes",1,0)</f>
        <v>0</v>
      </c>
    </row>
    <row r="1843" spans="1:26" ht="14.4">
      <c r="A1843" s="1314"/>
      <c r="B1843" s="1677" t="s">
        <v>3750</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15.6">
      <c r="A1844" s="1583" t="str">
        <f>'Part IX Scoring Criteria'!A302</f>
        <v>N/A</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2459</v>
      </c>
      <c r="C1848" s="1659"/>
      <c r="D1848" s="1695"/>
      <c r="E1848" s="1695"/>
      <c r="F1848" s="1695"/>
      <c r="G1848" s="1659"/>
      <c r="H1848" s="1709" t="s">
        <v>3391</v>
      </c>
      <c r="I1848" s="1659"/>
      <c r="J1848" s="1577" t="s">
        <v>2794</v>
      </c>
      <c r="K1848" s="1317"/>
      <c r="L1848" s="1577" t="str">
        <f>'Part I-Project Information'!$H$105</f>
        <v>Rural</v>
      </c>
      <c r="M1848" s="1496">
        <v>4</v>
      </c>
      <c r="N1848" s="1313"/>
      <c r="O1848" s="1496">
        <f>'Part IX Scoring Criteria'!O306</f>
        <v>2</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4586</v>
      </c>
      <c r="D1849" s="1314"/>
      <c r="E1849" s="1314"/>
      <c r="F1849" s="1314"/>
      <c r="H1849" s="1577" t="s">
        <v>3681</v>
      </c>
      <c r="I1849" s="1051"/>
      <c r="J1849" s="1577" t="str">
        <f>'Part I-Project Information'!$O$34</f>
        <v>No</v>
      </c>
      <c r="K1849" s="1577"/>
      <c r="L1849" s="1725">
        <f>'Part I-Project Information'!$O$35</f>
        <v>0</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4188</v>
      </c>
      <c r="D1850" s="1583"/>
      <c r="E1850" s="1583"/>
      <c r="F1850" s="1583"/>
      <c r="G1850" s="1583"/>
      <c r="H1850" s="1583"/>
      <c r="I1850" s="1583"/>
      <c r="J1850" s="1583"/>
      <c r="K1850" s="1583"/>
      <c r="L1850" s="1583"/>
      <c r="M1850" s="1583"/>
      <c r="N1850" s="1684" t="s">
        <v>1986</v>
      </c>
      <c r="O1850" s="1628">
        <f>'Part IX Scoring Criteria'!O308</f>
        <v>0</v>
      </c>
      <c r="P1850" s="1628">
        <f>'Part IX Scoring Criteria'!P308</f>
        <v>0</v>
      </c>
      <c r="Q1850" s="1583" t="s">
        <v>4587</v>
      </c>
      <c r="R1850" s="1583"/>
      <c r="S1850" s="1583"/>
      <c r="T1850" s="1583"/>
      <c r="U1850" s="1583"/>
      <c r="V1850" s="1583"/>
      <c r="W1850" s="1583"/>
      <c r="X1850" s="1583"/>
      <c r="Y1850" s="1583"/>
      <c r="Z1850" s="1583"/>
    </row>
    <row r="1851" spans="1:26">
      <c r="A1851" s="457"/>
      <c r="B1851" s="1729"/>
      <c r="C1851" s="457" t="s">
        <v>3801</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3856</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4588</v>
      </c>
      <c r="C1856" s="1314"/>
      <c r="D1856" s="1314"/>
      <c r="E1856" s="1314"/>
      <c r="F1856" s="1314"/>
      <c r="G1856" s="1314"/>
      <c r="H1856" s="1709" t="s">
        <v>3392</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3605</v>
      </c>
      <c r="C1857" s="1314"/>
      <c r="D1857" s="1314"/>
      <c r="E1857" s="1314"/>
      <c r="F1857" s="1314"/>
      <c r="G1857" s="1314"/>
      <c r="H1857" s="1709"/>
      <c r="I1857" s="1314"/>
      <c r="J1857" s="1314"/>
      <c r="K1857" s="1314"/>
      <c r="L1857" s="1314"/>
      <c r="M1857" s="1313">
        <v>3</v>
      </c>
      <c r="N1857" s="1620" t="s">
        <v>1985</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4589</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0</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4590</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4591</v>
      </c>
      <c r="C1860" s="1314"/>
      <c r="D1860" s="1314"/>
      <c r="E1860" s="1314"/>
      <c r="F1860" s="1314"/>
      <c r="G1860" s="1314"/>
      <c r="H1860" s="1709" t="s">
        <v>4045</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3608</v>
      </c>
      <c r="C1861" s="1314"/>
      <c r="D1861" s="1314"/>
      <c r="E1861" s="1314"/>
      <c r="F1861" s="1314"/>
      <c r="G1861" s="1314"/>
      <c r="H1861" s="1709"/>
      <c r="I1861" s="1314"/>
      <c r="J1861" s="1314"/>
      <c r="K1861" s="1314"/>
      <c r="L1861" s="1314"/>
      <c r="M1861" s="1313">
        <v>4</v>
      </c>
      <c r="N1861" s="1620" t="s">
        <v>749</v>
      </c>
      <c r="O1861" s="1658">
        <f>'Part IX Scoring Criteria'!O320</f>
        <v>2</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3607</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4592</v>
      </c>
      <c r="D1863" s="1314"/>
      <c r="E1863" s="1314"/>
      <c r="F1863" s="1314"/>
      <c r="G1863" s="1524"/>
      <c r="H1863" s="1525"/>
      <c r="I1863" s="1524"/>
      <c r="K1863" s="1500"/>
      <c r="L1863" s="1500"/>
      <c r="M1863" s="1320">
        <v>3</v>
      </c>
      <c r="N1863" s="1776" t="s">
        <v>1988</v>
      </c>
      <c r="O1863" s="1658">
        <f>'Part IX Scoring Criteria'!O322</f>
        <v>0</v>
      </c>
      <c r="P1863" s="1658">
        <f>'Part IX Scoring Criteria'!P322</f>
        <v>0</v>
      </c>
      <c r="Q1863" s="1698" t="str">
        <f>IF(OR($O1863=$M1863,$O1863=0,$O1863=""),"","*CHECK!*")</f>
        <v/>
      </c>
      <c r="R1863" s="1740" t="s">
        <v>2706</v>
      </c>
    </row>
    <row r="1864" spans="1:26">
      <c r="A1864" s="1621" t="s">
        <v>1353</v>
      </c>
      <c r="B1864" s="1733" t="s">
        <v>2534</v>
      </c>
      <c r="C1864" s="1633" t="s">
        <v>4593</v>
      </c>
      <c r="D1864" s="1314"/>
      <c r="E1864" s="1314"/>
      <c r="F1864" s="1314"/>
      <c r="G1864" s="1524"/>
      <c r="H1864" s="1709"/>
      <c r="I1864" s="1524"/>
      <c r="K1864" s="1500"/>
      <c r="L1864" s="1500"/>
      <c r="M1864" s="1320">
        <v>2</v>
      </c>
      <c r="N1864" s="1776" t="s">
        <v>2534</v>
      </c>
      <c r="O1864" s="1658">
        <f>'Part IX Scoring Criteria'!O323</f>
        <v>2</v>
      </c>
      <c r="P1864" s="1658">
        <f>'Part IX Scoring Criteria'!P323</f>
        <v>0</v>
      </c>
      <c r="Q1864" s="1698" t="str">
        <f>IF(OR($O1864=$M1864,$O1864=0,$O1864=""),"","*CHECK!*")</f>
        <v/>
      </c>
      <c r="R1864" s="1740" t="s">
        <v>2706</v>
      </c>
    </row>
    <row r="1865" spans="1:26" ht="14.4">
      <c r="A1865" s="1314"/>
      <c r="B1865" s="1677" t="s">
        <v>3750</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122.4">
      <c r="A1866" s="1583" t="str">
        <f>'Part IX Scoring Criteria'!A325</f>
        <v>There have been no 9% Credits awarded within the City of Gray Political Jurisdiction in the years 2015, 2016, 2017 or 2018.</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7.399999999999999">
      <c r="A1872" s="1508"/>
      <c r="B1872" s="1524" t="s">
        <v>2691</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7.399999999999999">
      <c r="A1874" s="1508"/>
      <c r="B1874" s="1524" t="s">
        <v>4046</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2782</v>
      </c>
      <c r="B1878" s="1661" t="s">
        <v>4047</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1985</v>
      </c>
      <c r="B1879" s="1503" t="s">
        <v>4048</v>
      </c>
      <c r="C1879" s="1543"/>
      <c r="D1879" s="1638"/>
      <c r="E1879" s="457"/>
      <c r="F1879" s="1659"/>
      <c r="G1879" s="1532">
        <f>'Part IX Scoring Criteria'!G343</f>
        <v>0</v>
      </c>
      <c r="H1879" s="1659"/>
      <c r="I1879" s="1659"/>
      <c r="J1879" s="1524" t="s">
        <v>2686</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1986</v>
      </c>
      <c r="C1880" s="457" t="s">
        <v>3460</v>
      </c>
      <c r="D1880" s="1314"/>
      <c r="E1880" s="1676"/>
      <c r="F1880" s="1676"/>
      <c r="G1880" s="1676"/>
      <c r="H1880" s="1676"/>
      <c r="I1880" s="1676"/>
      <c r="J1880" s="1676"/>
      <c r="K1880" s="1676"/>
      <c r="L1880" s="1676"/>
      <c r="M1880" s="1676"/>
      <c r="N1880" s="1776" t="s">
        <v>1986</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4.4">
      <c r="A1881" s="1508"/>
      <c r="B1881" s="1730" t="s">
        <v>1988</v>
      </c>
      <c r="C1881" s="457" t="s">
        <v>4065</v>
      </c>
      <c r="D1881" s="1314"/>
      <c r="E1881" s="1676"/>
      <c r="F1881" s="1676"/>
      <c r="G1881" s="1676"/>
      <c r="H1881" s="1676"/>
      <c r="I1881" s="1676"/>
      <c r="J1881" s="1676"/>
      <c r="K1881" s="1676"/>
      <c r="L1881" s="1676"/>
      <c r="M1881" s="1676"/>
      <c r="N1881" s="1776" t="s">
        <v>1988</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2534</v>
      </c>
      <c r="C1882" s="457" t="s">
        <v>4064</v>
      </c>
      <c r="D1882" s="1314"/>
      <c r="E1882" s="1676"/>
      <c r="F1882" s="1676"/>
      <c r="G1882" s="1676"/>
      <c r="H1882" s="1676"/>
      <c r="I1882" s="1676"/>
      <c r="J1882" s="1676"/>
      <c r="K1882" s="1676"/>
      <c r="L1882" s="1676"/>
      <c r="M1882" s="1676"/>
      <c r="N1882" s="1776" t="s">
        <v>2534</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4066</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1983</v>
      </c>
      <c r="B1884" s="1503" t="s">
        <v>4049</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1986</v>
      </c>
      <c r="C1885" s="457" t="s">
        <v>3460</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1988</v>
      </c>
      <c r="C1886" s="457" t="s">
        <v>4078</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2534</v>
      </c>
      <c r="C1887" s="457" t="s">
        <v>4066</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2251</v>
      </c>
      <c r="B1891" s="1661" t="s">
        <v>4050</v>
      </c>
      <c r="C1891" s="1719"/>
      <c r="D1891" s="1719"/>
      <c r="E1891" s="1719"/>
      <c r="F1891" s="1719"/>
      <c r="G1891" s="1719"/>
      <c r="H1891" s="457" t="s">
        <v>3576</v>
      </c>
      <c r="I1891" s="1612" t="str">
        <f>'Part I-Project Information'!$H$105</f>
        <v>Rural</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4594</v>
      </c>
      <c r="B1892" s="1583"/>
      <c r="C1892" s="1583"/>
      <c r="D1892" s="1583"/>
      <c r="E1892" s="1583"/>
      <c r="F1892" s="1583"/>
      <c r="G1892" s="1583"/>
      <c r="H1892" s="1583"/>
      <c r="I1892" s="1604" t="s">
        <v>4139</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3750</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42.80000000000001">
      <c r="A1896" s="1583" t="str">
        <f>'Part IX Scoring Criteria'!A365</f>
        <v>Dulles Park II is the only application the Applicant is submitting where there is direct or indirect interest. Applicant is selecting the priority point for Dulles Park II.</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4096</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1983</v>
      </c>
      <c r="B1901" s="1612" t="s">
        <v>3612</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1</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4.4">
      <c r="A1902" s="1659"/>
      <c r="B1902" s="1524" t="s">
        <v>4054</v>
      </c>
      <c r="C1902" s="1659"/>
      <c r="D1902" s="1676"/>
      <c r="E1902" s="1543"/>
      <c r="F1902" s="457"/>
      <c r="G1902" s="457"/>
      <c r="H1902" s="457" t="str">
        <f>'Part IX Scoring Criteria'!I370</f>
        <v>Gray / Jones County</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4051</v>
      </c>
      <c r="D1903" s="457"/>
      <c r="E1903" s="457"/>
      <c r="F1903" s="457"/>
      <c r="G1903" s="457"/>
      <c r="H1903" s="457"/>
      <c r="I1903" s="457"/>
      <c r="J1903" s="457"/>
      <c r="K1903" s="457"/>
      <c r="L1903" s="457"/>
      <c r="M1903" s="457"/>
      <c r="N1903" s="1776" t="s">
        <v>1986</v>
      </c>
      <c r="O1903" s="1621" t="str">
        <f>'Part IX Scoring Criteria'!O374</f>
        <v>Yes</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4052</v>
      </c>
      <c r="D1904" s="457"/>
      <c r="E1904" s="457"/>
      <c r="F1904" s="457"/>
      <c r="G1904" s="457"/>
      <c r="H1904" s="457"/>
      <c r="I1904" s="457"/>
      <c r="J1904" s="457"/>
      <c r="K1904" s="457"/>
      <c r="L1904" s="457"/>
      <c r="M1904" s="457"/>
      <c r="N1904" s="1776" t="s">
        <v>1988</v>
      </c>
      <c r="O1904" s="1621" t="str">
        <f>'Part IX Scoring Criteria'!O375</f>
        <v>Yes</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4053</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3613</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1985</v>
      </c>
      <c r="B1908" s="1503" t="s">
        <v>2797</v>
      </c>
      <c r="D1908" s="1314"/>
      <c r="H1908" s="1778" t="s">
        <v>3485</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3615</v>
      </c>
      <c r="C1910" s="457" t="str">
        <f>'Part I-Project Information'!$F$38</f>
        <v>Gray</v>
      </c>
      <c r="D1910" s="1314"/>
      <c r="E1910" s="457" t="s">
        <v>3484</v>
      </c>
      <c r="F1910" s="457" t="str">
        <f>'Part I-Project Information'!$J$39</f>
        <v>Jones</v>
      </c>
      <c r="G1910" s="1314"/>
      <c r="H1910" s="1524" t="s">
        <v>451</v>
      </c>
      <c r="I1910" s="1524" t="str">
        <f>'Part I-Project Information'!$N$39</f>
        <v>No</v>
      </c>
      <c r="J1910" s="1314"/>
      <c r="K1910" s="1524" t="s">
        <v>3614</v>
      </c>
      <c r="L1910" s="1754" t="str">
        <f>'Part I-Project Information'!$O$38</f>
        <v>13169030301</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3750</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377.4">
      <c r="A1912" s="1583" t="str">
        <f>'Part IX Scoring Criteria'!A380</f>
        <v>Please see Tab 39 for documentation of the GICH support letter signed by the primary contact, Donald Black, stating support for the project and that the property lies within the GICH community boundaries. Also in Tab 39, there is the local government letter agreeing to the issuance of the letter from the GICH Team. The Gray/Jones County GICH Team - Alumni Certified May 17, 2019</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4097</v>
      </c>
      <c r="B1916" s="1661" t="s">
        <v>4057</v>
      </c>
      <c r="C1916" s="1659"/>
      <c r="D1916" s="1543"/>
      <c r="E1916" s="1543"/>
      <c r="F1916" s="457"/>
      <c r="G1916" s="457"/>
      <c r="H1916" s="1503" t="s">
        <v>2794</v>
      </c>
      <c r="I1916" s="1659"/>
      <c r="J1916" s="1503" t="str">
        <f>'Part I-Project Information'!$H$105</f>
        <v>Rural</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2883</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4.4">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3804</v>
      </c>
      <c r="D1919" s="1051"/>
      <c r="E1919" s="1051"/>
      <c r="F1919" s="1051"/>
      <c r="G1919" s="1051"/>
      <c r="H1919" s="1051"/>
      <c r="I1919" s="1051"/>
      <c r="J1919" s="1051"/>
      <c r="K1919" s="1051"/>
      <c r="L1919" s="1648"/>
      <c r="M1919" s="1648"/>
      <c r="N1919" s="1627" t="s">
        <v>2436</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3803</v>
      </c>
      <c r="D1920" s="1051"/>
      <c r="E1920" s="1051"/>
      <c r="F1920" s="1051"/>
      <c r="G1920" s="1051"/>
      <c r="H1920" s="1051"/>
      <c r="I1920" s="1051"/>
      <c r="J1920" s="1051"/>
      <c r="K1920" s="1051"/>
      <c r="L1920" s="1648"/>
      <c r="M1920" s="1648"/>
      <c r="N1920" s="1620" t="s">
        <v>2437</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4058</v>
      </c>
      <c r="D1921" s="1550"/>
      <c r="E1921" s="1550"/>
      <c r="F1921" s="1550"/>
      <c r="G1921" s="1550"/>
      <c r="H1921" s="1550"/>
      <c r="I1921" s="1550"/>
      <c r="J1921" s="1550"/>
      <c r="K1921" s="1550"/>
      <c r="L1921" s="1550"/>
      <c r="M1921" s="1550"/>
      <c r="N1921" s="1627" t="s">
        <v>2438</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4059</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4060</v>
      </c>
      <c r="D1924" s="1583"/>
      <c r="E1924" s="1583"/>
      <c r="F1924" s="1583"/>
      <c r="G1924" s="1583"/>
      <c r="H1924" s="1583"/>
      <c r="I1924" s="1583"/>
      <c r="J1924" s="1722" t="s">
        <v>1990</v>
      </c>
      <c r="K1924" s="1722"/>
      <c r="M1924" s="1722" t="s">
        <v>1990</v>
      </c>
      <c r="N1924" s="1722"/>
      <c r="O1924" s="1722"/>
      <c r="P1924" s="1722"/>
    </row>
    <row r="1925" spans="1:26" ht="14.4">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3619</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3461</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3617</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4595</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3618</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3620</v>
      </c>
      <c r="C1934" s="457" t="s">
        <v>4133</v>
      </c>
      <c r="I1934" s="1620" t="s">
        <v>3620</v>
      </c>
      <c r="J1934" s="1545">
        <f>'Part IX Scoring Criteria'!J403</f>
        <v>0</v>
      </c>
      <c r="K1934" s="1545">
        <f>'Part IX Scoring Criteria'!K403</f>
        <v>0</v>
      </c>
      <c r="L1934" s="1620" t="s">
        <v>3620</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4596</v>
      </c>
      <c r="H1935" s="1612" t="s">
        <v>2628</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1988</v>
      </c>
      <c r="C1937" s="1531" t="s">
        <v>2627</v>
      </c>
      <c r="E1937" s="1524" t="s">
        <v>2629</v>
      </c>
      <c r="H1937" s="1607">
        <f>'Part IX Scoring Criteria'!I407</f>
        <v>0</v>
      </c>
      <c r="I1937" s="1316"/>
      <c r="J1937" s="1545">
        <f>'Part IV-A-Uses of Funds'!$G$132</f>
        <v>9013295</v>
      </c>
      <c r="K1937" s="1545"/>
      <c r="M1937" s="1311"/>
      <c r="N1937" s="1311"/>
      <c r="P1937" s="1311"/>
    </row>
    <row r="1938" spans="1:26" ht="12.75" customHeight="1">
      <c r="A1938" s="1570" t="s">
        <v>4597</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4237</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1985</v>
      </c>
      <c r="B1941" s="1681" t="s">
        <v>3621</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4061</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2436</v>
      </c>
      <c r="C1943" s="457" t="s">
        <v>3796</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4062</v>
      </c>
      <c r="N1944" s="1620" t="s">
        <v>2437</v>
      </c>
      <c r="O1944" s="1621">
        <f>'Part IX Scoring Criteria'!O414</f>
        <v>0</v>
      </c>
      <c r="P1944" s="1621">
        <f>'Part IX Scoring Criteria'!P414</f>
        <v>0</v>
      </c>
    </row>
    <row r="1945" spans="1:26">
      <c r="B1945" s="1677" t="s">
        <v>3750</v>
      </c>
      <c r="N1945" s="1320"/>
      <c r="O1945" s="1322"/>
      <c r="P1945" s="1322"/>
    </row>
    <row r="1946" spans="1:26" ht="15.6">
      <c r="A1946" s="1583" t="str">
        <f>'Part IX Scoring Criteria'!A416</f>
        <v>N/A</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4095</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1983</v>
      </c>
      <c r="B1951" s="1503" t="s">
        <v>3647</v>
      </c>
      <c r="C1951" s="1659"/>
      <c r="D1951" s="1314"/>
      <c r="E1951" s="1314"/>
      <c r="F1951" s="1314"/>
      <c r="G1951" s="1659"/>
      <c r="H1951" s="1659"/>
      <c r="I1951" s="1659"/>
      <c r="J1951" s="1524" t="s">
        <v>3807</v>
      </c>
      <c r="K1951" s="1659"/>
      <c r="L1951" s="1557">
        <f>'Part VI-Revenues &amp; Expenses'!$O$67*0.1</f>
        <v>4.8000000000000007</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3806</v>
      </c>
      <c r="D1952" s="1583"/>
      <c r="E1952" s="1583"/>
      <c r="F1952" s="1583"/>
      <c r="G1952" s="1583"/>
      <c r="H1952" s="1583"/>
      <c r="I1952" s="1583"/>
      <c r="J1952" s="1524" t="s">
        <v>3809</v>
      </c>
      <c r="K1952" s="1659"/>
      <c r="L1952" s="1557">
        <f>'Part VI-Revenues &amp; Expenses'!$O$63</f>
        <v>48</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3810</v>
      </c>
      <c r="K1953" s="1711"/>
      <c r="L1953" s="1557">
        <f>L1952*0.1</f>
        <v>4.8000000000000007</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3811</v>
      </c>
      <c r="K1954" s="1711"/>
      <c r="L1954" s="1557">
        <f>'Part VI-Revenues &amp; Expenses'!$K$63</f>
        <v>8</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3394</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3808</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3805</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3827</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3652</v>
      </c>
      <c r="D1961" s="1582"/>
      <c r="E1961" s="1582"/>
      <c r="F1961" s="1582"/>
      <c r="G1961" s="1573" t="e">
        <f>'Part IX Scoring Criteria'!#REF!</f>
        <v>#REF!</v>
      </c>
      <c r="H1961" s="1573" t="e">
        <f>'Part IX Scoring Criteria'!#REF!</f>
        <v>#REF!</v>
      </c>
      <c r="I1961" s="1573" t="e">
        <f>'Part IX Scoring Criteria'!#REF!</f>
        <v>#REF!</v>
      </c>
      <c r="J1961" s="1784" t="s">
        <v>3653</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3395</v>
      </c>
      <c r="D1962" s="1604"/>
      <c r="E1962" s="1604"/>
      <c r="F1962" s="1604"/>
      <c r="G1962" s="1604"/>
      <c r="H1962" s="1604"/>
      <c r="I1962" s="1604"/>
      <c r="J1962" s="1604" t="s">
        <v>3651</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3750</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4098</v>
      </c>
      <c r="B1968" s="1661" t="s">
        <v>2721</v>
      </c>
      <c r="C1968" s="1659"/>
      <c r="D1968" s="1524"/>
      <c r="E1968" s="1659"/>
      <c r="F1968" s="1659"/>
      <c r="G1968" s="1709" t="s">
        <v>3391</v>
      </c>
      <c r="H1968" s="1659"/>
      <c r="I1968" s="1659"/>
      <c r="J1968" s="457" t="s">
        <v>3397</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3462</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2832</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1983</v>
      </c>
      <c r="B1972" s="1577" t="s">
        <v>4598</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4190</v>
      </c>
      <c r="C1973" s="1550"/>
      <c r="D1973" s="1550"/>
      <c r="E1973" s="1550"/>
      <c r="F1973" s="1550"/>
      <c r="G1973" s="1550"/>
      <c r="H1973" s="1550"/>
      <c r="I1973" s="1550"/>
      <c r="J1973" s="1550"/>
      <c r="K1973" s="1550"/>
      <c r="L1973" s="1550"/>
      <c r="M1973" s="1583" t="s">
        <v>4599</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2830</v>
      </c>
      <c r="N1975" s="1713"/>
      <c r="O1975" s="1787">
        <f>'Part VI-Revenues &amp; Expenses'!$O$67</f>
        <v>48</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2831</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N/A</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4600</v>
      </c>
      <c r="B1979" s="1576" t="s">
        <v>3357</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4191</v>
      </c>
      <c r="C1980" s="1583"/>
      <c r="D1980" s="1583"/>
      <c r="E1980" s="1583"/>
      <c r="F1980" s="1583"/>
      <c r="G1980" s="1583"/>
      <c r="H1980" s="1583"/>
      <c r="I1980" s="1583"/>
      <c r="J1980" s="1583"/>
      <c r="K1980" s="1583"/>
      <c r="L1980" s="1583"/>
      <c r="M1980" s="1635" t="s">
        <v>2830</v>
      </c>
      <c r="N1980" s="1713"/>
      <c r="O1980" s="1787">
        <f>'Part VI-Revenues &amp; Expenses'!$O$67</f>
        <v>48</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2831</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3750</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15.6">
      <c r="A1983" s="1583" t="str">
        <f>'Part IX Scoring Criteria'!A436</f>
        <v>N/A</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4099</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3655</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3656</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3657</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4603</v>
      </c>
      <c r="R1995" s="1658">
        <f>'Part IX Scoring Criteria'!O448</f>
        <v>54</v>
      </c>
      <c r="S1995" s="1314"/>
      <c r="T1995" s="1314"/>
      <c r="U1995" s="1314"/>
      <c r="V1995" s="1314"/>
      <c r="W1995" s="1314"/>
      <c r="X1995" s="1314"/>
      <c r="Y1995" s="1314"/>
      <c r="Z1995" s="1314"/>
    </row>
    <row r="1996" spans="1:26" ht="15.6">
      <c r="A1996" s="1659"/>
      <c r="B1996" s="1790"/>
      <c r="C1996" s="1659"/>
      <c r="F1996" s="1657"/>
      <c r="G1996" s="1657"/>
      <c r="H1996" s="1503" t="s">
        <v>4185</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4186</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4193</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3686</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409.6">
      <c r="A2001" s="1583" t="str">
        <f>'Part IX Scoring Criteria'!A454</f>
        <v xml:space="preserve">I.  The Applicant believes to have fully completed the proposed application.
II. The overall AMI percentage for each affordable unit is 56.67%.
IV. Rural Public Transportation will be available to the residents at Dulles Park II through Jones County Transit. Please see Tab 29 for community transportation documentation.
V. The proposed development will offer enriched property services including Preventive Health Care under a MOU with a local health care provider, Jones County Health Department. Additionally, the Applicant agrees to provide a Healthy Eating Initiative at the proposed. Monthly educational newsletters will be provide free of charge to the residents at Dulles Park II.
IX.   The proposed project is located in a census tract that has a poverty level of 8.05% and is designated as an Upper Income level. Additionally, the State percentile scores from the Opportunity360 report for Housing Stability, Healthy and Well-being and Economic Security are greater to or equal than 80 for three categories. Please see Tab 34 for the Stable Communities documentation.
XXI. EXTENDED AFFORDABILITY COMMITMENT: 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
</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4197</v>
      </c>
    </row>
    <row r="2010" spans="1:26" ht="13.8">
      <c r="A2010" s="1796" t="str">
        <f>'Part I-Project Information'!$F$34</f>
        <v>Dulles Park II</v>
      </c>
    </row>
    <row r="2011" spans="1:26" ht="13.8">
      <c r="A2011" s="1796" t="str">
        <f>CONCATENATE('Part I-Project Information'!$F$38,", ", 'Part I-Project Information'!$J$39," County")</f>
        <v>Gray, Jones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2964" t="str">
        <f>CONCATENATE("PART TWO - DEVELOPMENT TEAM INFORMATION","  -  ",'Part I-Project Information'!$O$6," ",'Part I-Project Information'!$F$34,", ",'Part I-Project Information'!F38,", ",'Part I-Project Information'!J39," County")</f>
        <v>PART TWO - DEVELOPMENT TEAM INFORMATION  -  2019-060 Dulles Park II, Gray, Jones County</v>
      </c>
      <c r="B1" s="2965"/>
      <c r="C1" s="2965"/>
      <c r="D1" s="2965"/>
      <c r="E1" s="2965"/>
      <c r="F1" s="2965"/>
      <c r="G1" s="2965"/>
      <c r="H1" s="2965"/>
      <c r="I1" s="2965"/>
      <c r="J1" s="2965"/>
      <c r="K1" s="2965"/>
      <c r="L1" s="2965"/>
      <c r="M1" s="2965"/>
      <c r="N1" s="2965"/>
      <c r="O1" s="2965"/>
      <c r="P1" s="2965"/>
      <c r="Q1" s="2965"/>
      <c r="R1" s="2965"/>
      <c r="S1" s="2966"/>
    </row>
    <row r="2" spans="1:27" ht="12" customHeight="1" thickBot="1">
      <c r="A2" s="954" t="s">
        <v>4453</v>
      </c>
      <c r="B2" s="955"/>
      <c r="C2" s="955"/>
      <c r="D2" s="955"/>
      <c r="E2" s="955"/>
      <c r="F2" s="955"/>
      <c r="G2" s="955"/>
      <c r="H2" s="955"/>
      <c r="I2" s="955"/>
      <c r="J2" s="955"/>
      <c r="K2" s="955"/>
      <c r="L2" s="955"/>
      <c r="M2" s="955"/>
      <c r="N2" s="955"/>
      <c r="O2" s="955"/>
      <c r="P2" s="955"/>
      <c r="Q2" s="955"/>
      <c r="R2" s="955"/>
      <c r="S2" s="955"/>
    </row>
    <row r="3" spans="1:27" s="294" customFormat="1" ht="13.2" customHeight="1" thickBot="1">
      <c r="A3" s="296" t="s">
        <v>616</v>
      </c>
      <c r="B3" s="299" t="s">
        <v>1858</v>
      </c>
      <c r="C3" s="299"/>
      <c r="E3" s="299"/>
      <c r="F3" s="299"/>
      <c r="G3" s="299"/>
      <c r="H3" s="1275" t="s">
        <v>4250</v>
      </c>
      <c r="O3" s="2967" t="str">
        <f>'Part I-Project Information'!$B$6</f>
        <v>May 2019</v>
      </c>
      <c r="P3" s="2968"/>
      <c r="Q3" s="2968"/>
      <c r="R3" s="2968"/>
      <c r="S3" s="2969"/>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2956" t="s">
        <v>5184</v>
      </c>
      <c r="I5" s="2957"/>
      <c r="J5" s="2957"/>
      <c r="K5" s="2957"/>
      <c r="L5" s="2957"/>
      <c r="M5" s="2957"/>
      <c r="N5" s="2958"/>
      <c r="O5" s="2264" t="s">
        <v>1989</v>
      </c>
      <c r="P5" s="2264"/>
      <c r="Q5" s="2956" t="s">
        <v>5182</v>
      </c>
      <c r="R5" s="2957"/>
      <c r="S5" s="2958"/>
      <c r="Y5" s="1063"/>
      <c r="Z5" s="1064"/>
      <c r="AA5" s="2276"/>
    </row>
    <row r="6" spans="1:27" s="294" customFormat="1" ht="11.25" customHeight="1">
      <c r="D6" s="333"/>
      <c r="E6" s="2266" t="s">
        <v>1021</v>
      </c>
      <c r="F6" s="306"/>
      <c r="H6" s="2783" t="s">
        <v>5185</v>
      </c>
      <c r="I6" s="2960"/>
      <c r="J6" s="2960"/>
      <c r="K6" s="2961"/>
      <c r="L6" s="2960"/>
      <c r="M6" s="2960"/>
      <c r="N6" s="2962"/>
      <c r="O6" s="2264" t="s">
        <v>1747</v>
      </c>
      <c r="Q6" s="2827" t="s">
        <v>5186</v>
      </c>
      <c r="R6" s="2874"/>
      <c r="S6" s="2875"/>
      <c r="V6" s="1063"/>
      <c r="W6" s="1063"/>
      <c r="X6" s="1063"/>
      <c r="Y6" s="1063"/>
      <c r="Z6" s="1064"/>
      <c r="AA6" s="2276"/>
    </row>
    <row r="7" spans="1:27" s="294" customFormat="1" ht="11.25" customHeight="1">
      <c r="D7" s="333"/>
      <c r="E7" s="2266" t="s">
        <v>618</v>
      </c>
      <c r="H7" s="2783" t="s">
        <v>1205</v>
      </c>
      <c r="I7" s="2961"/>
      <c r="J7" s="2877"/>
      <c r="K7" s="2524" t="s">
        <v>762</v>
      </c>
      <c r="L7" s="2796"/>
      <c r="M7" s="2960"/>
      <c r="N7" s="2962"/>
      <c r="O7" s="2264" t="s">
        <v>1721</v>
      </c>
      <c r="Q7" s="2939">
        <v>4043344590</v>
      </c>
      <c r="R7" s="2940"/>
      <c r="S7" s="2941"/>
    </row>
    <row r="8" spans="1:27" s="294" customFormat="1" ht="11.25" customHeight="1">
      <c r="D8" s="333"/>
      <c r="E8" s="2266" t="s">
        <v>1799</v>
      </c>
      <c r="H8" s="2499" t="s">
        <v>848</v>
      </c>
      <c r="I8" s="1054" t="s">
        <v>2229</v>
      </c>
      <c r="J8" s="2950">
        <v>303392063</v>
      </c>
      <c r="K8" s="2951"/>
      <c r="L8" s="294" t="s">
        <v>3685</v>
      </c>
      <c r="M8" s="2952" t="s">
        <v>5147</v>
      </c>
      <c r="N8" s="2953"/>
      <c r="O8" s="2264" t="s">
        <v>1979</v>
      </c>
      <c r="Q8" s="2939">
        <v>7703630414</v>
      </c>
      <c r="R8" s="2940"/>
      <c r="S8" s="2941"/>
    </row>
    <row r="9" spans="1:27" s="294" customFormat="1" ht="11.25" customHeight="1">
      <c r="D9" s="333"/>
      <c r="E9" s="2266" t="s">
        <v>4251</v>
      </c>
      <c r="H9" s="2954">
        <v>4043344590</v>
      </c>
      <c r="I9" s="2955"/>
      <c r="J9" s="2525"/>
      <c r="K9" s="2277" t="s">
        <v>1984</v>
      </c>
      <c r="L9" s="2830" t="s">
        <v>5216</v>
      </c>
      <c r="M9" s="2901"/>
      <c r="N9" s="2901"/>
      <c r="O9" s="2831"/>
      <c r="P9" s="2831"/>
      <c r="Q9" s="2901"/>
      <c r="R9" s="2901"/>
      <c r="S9" s="2902"/>
    </row>
    <row r="10" spans="1:27" s="294" customFormat="1" ht="11.25" customHeight="1">
      <c r="D10" s="333"/>
      <c r="E10" s="1275" t="s">
        <v>4250</v>
      </c>
      <c r="H10" s="328"/>
      <c r="K10" s="269"/>
      <c r="N10" s="365" t="s">
        <v>3565</v>
      </c>
      <c r="Q10" s="2277"/>
    </row>
    <row r="11" spans="1:27" s="294" customFormat="1" ht="4.2" customHeight="1">
      <c r="D11" s="334"/>
      <c r="E11" s="2266"/>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6" t="s">
        <v>1284</v>
      </c>
      <c r="W12" s="2526"/>
      <c r="X12" s="2526"/>
      <c r="Y12" s="2526"/>
      <c r="Z12" s="2526"/>
    </row>
    <row r="13" spans="1:27" s="294" customFormat="1" ht="11.25" customHeight="1">
      <c r="C13" s="335" t="s">
        <v>1986</v>
      </c>
      <c r="D13" s="332" t="s">
        <v>1987</v>
      </c>
      <c r="H13" s="2276"/>
      <c r="I13" s="2276"/>
      <c r="J13" s="2276"/>
      <c r="N13" s="1067"/>
      <c r="W13" s="2527"/>
      <c r="X13" s="2527"/>
      <c r="Y13" s="2527"/>
      <c r="Z13" s="2527"/>
    </row>
    <row r="14" spans="1:27" s="294" customFormat="1" ht="11.25" customHeight="1">
      <c r="D14" s="296" t="s">
        <v>2116</v>
      </c>
      <c r="E14" s="294" t="s">
        <v>1856</v>
      </c>
      <c r="H14" s="2956" t="s">
        <v>5183</v>
      </c>
      <c r="I14" s="2957"/>
      <c r="J14" s="2957"/>
      <c r="K14" s="2957"/>
      <c r="L14" s="2957"/>
      <c r="M14" s="2957"/>
      <c r="N14" s="2958"/>
      <c r="O14" s="2264" t="s">
        <v>1989</v>
      </c>
      <c r="P14" s="2264"/>
      <c r="Q14" s="2956" t="s">
        <v>5182</v>
      </c>
      <c r="R14" s="2957"/>
      <c r="S14" s="2958"/>
    </row>
    <row r="15" spans="1:27" s="294" customFormat="1" ht="11.25" customHeight="1">
      <c r="D15" s="333"/>
      <c r="E15" s="2266" t="s">
        <v>1021</v>
      </c>
      <c r="F15" s="306"/>
      <c r="H15" s="2783" t="s">
        <v>5185</v>
      </c>
      <c r="I15" s="2960"/>
      <c r="J15" s="2960"/>
      <c r="K15" s="2961"/>
      <c r="L15" s="2960"/>
      <c r="M15" s="2960"/>
      <c r="N15" s="2962"/>
      <c r="O15" s="2264" t="s">
        <v>1747</v>
      </c>
      <c r="Q15" s="2827" t="s">
        <v>5186</v>
      </c>
      <c r="R15" s="2874"/>
      <c r="S15" s="2875"/>
    </row>
    <row r="16" spans="1:27" s="294" customFormat="1" ht="11.25" customHeight="1">
      <c r="D16" s="333"/>
      <c r="E16" s="2266" t="s">
        <v>618</v>
      </c>
      <c r="H16" s="2783" t="s">
        <v>1205</v>
      </c>
      <c r="I16" s="2961"/>
      <c r="J16" s="2877"/>
      <c r="K16" s="2269" t="s">
        <v>2704</v>
      </c>
      <c r="L16" s="2783"/>
      <c r="M16" s="2960"/>
      <c r="N16" s="2877"/>
      <c r="O16" s="2264" t="s">
        <v>1721</v>
      </c>
      <c r="Q16" s="2939">
        <v>4043344590</v>
      </c>
      <c r="R16" s="2940"/>
      <c r="S16" s="2941"/>
    </row>
    <row r="17" spans="3:19" s="294" customFormat="1" ht="11.25" customHeight="1">
      <c r="D17" s="296"/>
      <c r="E17" s="2266" t="s">
        <v>1799</v>
      </c>
      <c r="H17" s="2499" t="s">
        <v>848</v>
      </c>
      <c r="K17" s="1054" t="s">
        <v>2229</v>
      </c>
      <c r="L17" s="2772">
        <v>303392063</v>
      </c>
      <c r="M17" s="2963"/>
      <c r="O17" s="2264" t="s">
        <v>1979</v>
      </c>
      <c r="Q17" s="2939">
        <v>7703630414</v>
      </c>
      <c r="R17" s="2940"/>
      <c r="S17" s="2941"/>
    </row>
    <row r="18" spans="3:19" s="294" customFormat="1" ht="11.25" customHeight="1">
      <c r="D18" s="333"/>
      <c r="E18" s="2266" t="s">
        <v>4251</v>
      </c>
      <c r="H18" s="2954">
        <v>4043344590</v>
      </c>
      <c r="I18" s="2959"/>
      <c r="J18" s="2528"/>
      <c r="K18" s="2277" t="s">
        <v>1984</v>
      </c>
      <c r="L18" s="2938" t="s">
        <v>5216</v>
      </c>
      <c r="M18" s="2901"/>
      <c r="N18" s="2831"/>
      <c r="O18" s="2831"/>
      <c r="P18" s="2831"/>
      <c r="Q18" s="2901"/>
      <c r="R18" s="2901"/>
      <c r="S18" s="2902"/>
    </row>
    <row r="19" spans="3:19" ht="4.2" customHeight="1">
      <c r="D19" s="321"/>
      <c r="H19" s="2529"/>
      <c r="I19" s="2529"/>
      <c r="J19" s="2529"/>
      <c r="K19" s="2277"/>
      <c r="L19" s="2529"/>
      <c r="M19" s="2529"/>
      <c r="N19" s="2263"/>
      <c r="O19" s="2256"/>
      <c r="P19" s="2256"/>
      <c r="Q19" s="2277"/>
      <c r="R19" s="2256"/>
      <c r="S19" s="2256"/>
    </row>
    <row r="20" spans="3:19" s="294" customFormat="1" ht="11.25" customHeight="1">
      <c r="D20" s="296" t="s">
        <v>2117</v>
      </c>
      <c r="E20" s="294" t="s">
        <v>1857</v>
      </c>
      <c r="F20" s="2276"/>
      <c r="H20" s="2956" t="s">
        <v>970</v>
      </c>
      <c r="I20" s="2957"/>
      <c r="J20" s="2957"/>
      <c r="K20" s="2957"/>
      <c r="L20" s="2957"/>
      <c r="M20" s="2957"/>
      <c r="N20" s="2958"/>
      <c r="O20" s="2264" t="s">
        <v>1989</v>
      </c>
      <c r="P20" s="2264"/>
      <c r="Q20" s="2956"/>
      <c r="R20" s="2957"/>
      <c r="S20" s="2958"/>
    </row>
    <row r="21" spans="3:19" s="294" customFormat="1" ht="11.25" customHeight="1">
      <c r="D21" s="333"/>
      <c r="E21" s="2266" t="s">
        <v>1021</v>
      </c>
      <c r="F21" s="306"/>
      <c r="H21" s="2783"/>
      <c r="I21" s="2960"/>
      <c r="J21" s="2960"/>
      <c r="K21" s="2961"/>
      <c r="L21" s="2960"/>
      <c r="M21" s="2960"/>
      <c r="N21" s="2962"/>
      <c r="O21" s="2264" t="s">
        <v>1747</v>
      </c>
      <c r="Q21" s="2827"/>
      <c r="R21" s="2874"/>
      <c r="S21" s="2875"/>
    </row>
    <row r="22" spans="3:19" s="294" customFormat="1" ht="11.25" customHeight="1">
      <c r="D22" s="333"/>
      <c r="E22" s="2266" t="s">
        <v>618</v>
      </c>
      <c r="H22" s="2783"/>
      <c r="I22" s="2961"/>
      <c r="J22" s="2877"/>
      <c r="K22" s="2269" t="s">
        <v>2704</v>
      </c>
      <c r="L22" s="2783"/>
      <c r="M22" s="2960"/>
      <c r="N22" s="2877"/>
      <c r="O22" s="2264" t="s">
        <v>1721</v>
      </c>
      <c r="Q22" s="2939"/>
      <c r="R22" s="2940"/>
      <c r="S22" s="2941"/>
    </row>
    <row r="23" spans="3:19" s="294" customFormat="1" ht="11.25" customHeight="1">
      <c r="E23" s="2266" t="s">
        <v>1799</v>
      </c>
      <c r="H23" s="2499"/>
      <c r="K23" s="1054" t="s">
        <v>2229</v>
      </c>
      <c r="L23" s="2772"/>
      <c r="M23" s="2963"/>
      <c r="O23" s="2264" t="s">
        <v>1979</v>
      </c>
      <c r="Q23" s="2939"/>
      <c r="R23" s="2940"/>
      <c r="S23" s="2941"/>
    </row>
    <row r="24" spans="3:19" s="294" customFormat="1" ht="11.25" customHeight="1">
      <c r="D24" s="333"/>
      <c r="E24" s="2266" t="s">
        <v>4251</v>
      </c>
      <c r="H24" s="2954"/>
      <c r="I24" s="2959"/>
      <c r="J24" s="2528"/>
      <c r="K24" s="2277" t="s">
        <v>1984</v>
      </c>
      <c r="L24" s="2938"/>
      <c r="M24" s="2901"/>
      <c r="N24" s="2831"/>
      <c r="O24" s="2831"/>
      <c r="P24" s="2831"/>
      <c r="Q24" s="2901"/>
      <c r="R24" s="2901"/>
      <c r="S24" s="2902"/>
    </row>
    <row r="25" spans="3:19" s="294" customFormat="1" ht="4.2" customHeight="1">
      <c r="D25" s="333"/>
      <c r="E25" s="2276"/>
      <c r="F25" s="2276"/>
      <c r="G25" s="2264"/>
      <c r="H25" s="2529"/>
      <c r="I25" s="2529"/>
      <c r="J25" s="2529"/>
      <c r="K25" s="2277"/>
      <c r="L25" s="2529"/>
      <c r="M25" s="2529"/>
      <c r="N25" s="2263"/>
      <c r="O25" s="2256"/>
      <c r="P25" s="2256"/>
      <c r="Q25" s="2277"/>
      <c r="R25" s="2256"/>
      <c r="S25" s="2256"/>
    </row>
    <row r="26" spans="3:19" s="294" customFormat="1" ht="11.25" customHeight="1">
      <c r="D26" s="296" t="s">
        <v>1734</v>
      </c>
      <c r="E26" s="294" t="s">
        <v>1857</v>
      </c>
      <c r="F26" s="2276"/>
      <c r="H26" s="2956" t="s">
        <v>970</v>
      </c>
      <c r="I26" s="2957"/>
      <c r="J26" s="2957"/>
      <c r="K26" s="2957"/>
      <c r="L26" s="2957"/>
      <c r="M26" s="2957"/>
      <c r="N26" s="2958"/>
      <c r="O26" s="2264" t="s">
        <v>1989</v>
      </c>
      <c r="P26" s="2264"/>
      <c r="Q26" s="2956"/>
      <c r="R26" s="2957"/>
      <c r="S26" s="2958"/>
    </row>
    <row r="27" spans="3:19" s="294" customFormat="1" ht="11.25" customHeight="1">
      <c r="D27" s="333"/>
      <c r="E27" s="2266" t="s">
        <v>1021</v>
      </c>
      <c r="F27" s="306"/>
      <c r="H27" s="2783"/>
      <c r="I27" s="2960"/>
      <c r="J27" s="2960"/>
      <c r="K27" s="2961"/>
      <c r="L27" s="2960"/>
      <c r="M27" s="2960"/>
      <c r="N27" s="2962"/>
      <c r="O27" s="2264" t="s">
        <v>1747</v>
      </c>
      <c r="Q27" s="2827"/>
      <c r="R27" s="2874"/>
      <c r="S27" s="2875"/>
    </row>
    <row r="28" spans="3:19" s="294" customFormat="1" ht="11.25" customHeight="1">
      <c r="D28" s="333"/>
      <c r="E28" s="2266" t="s">
        <v>618</v>
      </c>
      <c r="H28" s="2783"/>
      <c r="I28" s="2961"/>
      <c r="J28" s="2877"/>
      <c r="K28" s="2269" t="s">
        <v>2704</v>
      </c>
      <c r="L28" s="2783"/>
      <c r="M28" s="2960"/>
      <c r="N28" s="2877"/>
      <c r="O28" s="2264" t="s">
        <v>1721</v>
      </c>
      <c r="Q28" s="2939"/>
      <c r="R28" s="2940"/>
      <c r="S28" s="2941"/>
    </row>
    <row r="29" spans="3:19" s="294" customFormat="1" ht="11.25" customHeight="1">
      <c r="E29" s="2266" t="s">
        <v>1799</v>
      </c>
      <c r="H29" s="2499"/>
      <c r="K29" s="1054" t="s">
        <v>2229</v>
      </c>
      <c r="L29" s="2772"/>
      <c r="M29" s="2963"/>
      <c r="O29" s="2264" t="s">
        <v>1979</v>
      </c>
      <c r="Q29" s="2939"/>
      <c r="R29" s="2940"/>
      <c r="S29" s="2941"/>
    </row>
    <row r="30" spans="3:19" s="294" customFormat="1" ht="11.25" customHeight="1">
      <c r="D30" s="333"/>
      <c r="E30" s="2266" t="s">
        <v>4251</v>
      </c>
      <c r="H30" s="2954"/>
      <c r="I30" s="2959"/>
      <c r="J30" s="2528"/>
      <c r="K30" s="2277" t="s">
        <v>1984</v>
      </c>
      <c r="L30" s="2938"/>
      <c r="M30" s="2901"/>
      <c r="N30" s="2831"/>
      <c r="O30" s="2831"/>
      <c r="P30" s="2831"/>
      <c r="Q30" s="2901"/>
      <c r="R30" s="2901"/>
      <c r="S30" s="2902"/>
    </row>
    <row r="31" spans="3:19" ht="4.2" customHeight="1"/>
    <row r="32" spans="3:19" s="294" customFormat="1" ht="11.25" customHeight="1">
      <c r="C32" s="335" t="s">
        <v>1988</v>
      </c>
      <c r="D32" s="332" t="s">
        <v>1859</v>
      </c>
      <c r="H32" s="2276"/>
      <c r="I32" s="2276"/>
      <c r="J32" s="2276"/>
      <c r="K32" s="1275" t="s">
        <v>4250</v>
      </c>
      <c r="L32" s="2276"/>
      <c r="M32" s="2276"/>
    </row>
    <row r="33" spans="3:19" s="294" customFormat="1" ht="11.25" customHeight="1">
      <c r="D33" s="296" t="s">
        <v>2116</v>
      </c>
      <c r="E33" s="294" t="s">
        <v>750</v>
      </c>
      <c r="H33" s="2956" t="s">
        <v>5128</v>
      </c>
      <c r="I33" s="2957"/>
      <c r="J33" s="2957"/>
      <c r="K33" s="2957"/>
      <c r="L33" s="2957"/>
      <c r="M33" s="2957"/>
      <c r="N33" s="2958"/>
      <c r="O33" s="2264" t="s">
        <v>1989</v>
      </c>
      <c r="P33" s="2264"/>
      <c r="Q33" s="2956" t="s">
        <v>5131</v>
      </c>
      <c r="R33" s="2957"/>
      <c r="S33" s="2958"/>
    </row>
    <row r="34" spans="3:19" s="294" customFormat="1" ht="11.25" customHeight="1">
      <c r="D34" s="333"/>
      <c r="E34" s="2266" t="s">
        <v>1021</v>
      </c>
      <c r="F34" s="306"/>
      <c r="H34" s="2783" t="s">
        <v>5129</v>
      </c>
      <c r="I34" s="2960"/>
      <c r="J34" s="2960"/>
      <c r="K34" s="2961"/>
      <c r="L34" s="2960"/>
      <c r="M34" s="2960"/>
      <c r="N34" s="2962"/>
      <c r="O34" s="2264" t="s">
        <v>1747</v>
      </c>
      <c r="Q34" s="2827" t="s">
        <v>5132</v>
      </c>
      <c r="R34" s="2874"/>
      <c r="S34" s="2875"/>
    </row>
    <row r="35" spans="3:19" s="294" customFormat="1" ht="11.25" customHeight="1">
      <c r="D35" s="333"/>
      <c r="E35" s="2266" t="s">
        <v>618</v>
      </c>
      <c r="H35" s="2783" t="s">
        <v>2528</v>
      </c>
      <c r="I35" s="2961"/>
      <c r="J35" s="2877"/>
      <c r="K35" s="2269" t="s">
        <v>2704</v>
      </c>
      <c r="L35" s="2783" t="s">
        <v>5133</v>
      </c>
      <c r="M35" s="2960"/>
      <c r="N35" s="2877"/>
      <c r="O35" s="2264" t="s">
        <v>1721</v>
      </c>
      <c r="Q35" s="2939">
        <v>5734432021</v>
      </c>
      <c r="R35" s="2940"/>
      <c r="S35" s="2941"/>
    </row>
    <row r="36" spans="3:19" s="294" customFormat="1" ht="11.25" customHeight="1">
      <c r="E36" s="2266" t="s">
        <v>1799</v>
      </c>
      <c r="H36" s="2499" t="s">
        <v>1341</v>
      </c>
      <c r="K36" s="1054" t="s">
        <v>2229</v>
      </c>
      <c r="L36" s="2772">
        <v>652034905</v>
      </c>
      <c r="M36" s="2963"/>
      <c r="O36" s="2264" t="s">
        <v>1979</v>
      </c>
      <c r="Q36" s="2939">
        <v>5734248811</v>
      </c>
      <c r="R36" s="2940"/>
      <c r="S36" s="2941"/>
    </row>
    <row r="37" spans="3:19" s="294" customFormat="1" ht="11.25" customHeight="1">
      <c r="D37" s="333"/>
      <c r="E37" s="2266" t="s">
        <v>4251</v>
      </c>
      <c r="H37" s="2954">
        <v>5734432021</v>
      </c>
      <c r="I37" s="2959"/>
      <c r="J37" s="2528"/>
      <c r="K37" s="2277" t="s">
        <v>1984</v>
      </c>
      <c r="L37" s="2938" t="s">
        <v>5130</v>
      </c>
      <c r="M37" s="2901"/>
      <c r="N37" s="2831"/>
      <c r="O37" s="2831"/>
      <c r="P37" s="2831"/>
      <c r="Q37" s="2901"/>
      <c r="R37" s="2901"/>
      <c r="S37" s="2902"/>
    </row>
    <row r="38" spans="3:19" ht="4.2" customHeight="1">
      <c r="H38" s="2529"/>
      <c r="I38" s="2529"/>
      <c r="J38" s="2529"/>
      <c r="K38" s="2277"/>
      <c r="L38" s="2529"/>
      <c r="M38" s="2529"/>
      <c r="N38" s="2263"/>
      <c r="O38" s="2256"/>
      <c r="P38" s="2256"/>
      <c r="Q38" s="2277"/>
      <c r="R38" s="2256"/>
      <c r="S38" s="2256"/>
    </row>
    <row r="39" spans="3:19" s="294" customFormat="1" ht="11.25" customHeight="1">
      <c r="D39" s="296" t="s">
        <v>2117</v>
      </c>
      <c r="E39" s="294" t="s">
        <v>751</v>
      </c>
      <c r="F39" s="296"/>
      <c r="H39" s="2956" t="s">
        <v>5128</v>
      </c>
      <c r="I39" s="2957"/>
      <c r="J39" s="2957"/>
      <c r="K39" s="2957"/>
      <c r="L39" s="2957"/>
      <c r="M39" s="2957"/>
      <c r="N39" s="2958"/>
      <c r="O39" s="2264" t="s">
        <v>1989</v>
      </c>
      <c r="P39" s="2264"/>
      <c r="Q39" s="2956" t="s">
        <v>5131</v>
      </c>
      <c r="R39" s="2957"/>
      <c r="S39" s="2958"/>
    </row>
    <row r="40" spans="3:19" s="294" customFormat="1" ht="11.25" customHeight="1">
      <c r="D40" s="333"/>
      <c r="E40" s="2266" t="s">
        <v>1021</v>
      </c>
      <c r="F40" s="306"/>
      <c r="H40" s="2783" t="s">
        <v>5129</v>
      </c>
      <c r="I40" s="2960"/>
      <c r="J40" s="2960"/>
      <c r="K40" s="2961"/>
      <c r="L40" s="2960"/>
      <c r="M40" s="2960"/>
      <c r="N40" s="2962"/>
      <c r="O40" s="2264" t="s">
        <v>1747</v>
      </c>
      <c r="Q40" s="2827" t="s">
        <v>5132</v>
      </c>
      <c r="R40" s="2874"/>
      <c r="S40" s="2875"/>
    </row>
    <row r="41" spans="3:19" s="294" customFormat="1" ht="11.25" customHeight="1">
      <c r="D41" s="333"/>
      <c r="E41" s="2266" t="s">
        <v>618</v>
      </c>
      <c r="H41" s="2783" t="s">
        <v>2528</v>
      </c>
      <c r="I41" s="2961"/>
      <c r="J41" s="2877"/>
      <c r="K41" s="2269" t="s">
        <v>2704</v>
      </c>
      <c r="L41" s="2783" t="s">
        <v>5133</v>
      </c>
      <c r="M41" s="2960"/>
      <c r="N41" s="2877"/>
      <c r="O41" s="2264" t="s">
        <v>1721</v>
      </c>
      <c r="Q41" s="2939">
        <v>5734432021</v>
      </c>
      <c r="R41" s="2940"/>
      <c r="S41" s="2941"/>
    </row>
    <row r="42" spans="3:19" s="294" customFormat="1" ht="11.25" customHeight="1">
      <c r="D42" s="296"/>
      <c r="E42" s="2266" t="s">
        <v>1799</v>
      </c>
      <c r="H42" s="2499" t="s">
        <v>1341</v>
      </c>
      <c r="K42" s="1054" t="s">
        <v>2229</v>
      </c>
      <c r="L42" s="2772">
        <v>652034905</v>
      </c>
      <c r="M42" s="2963"/>
      <c r="O42" s="2264" t="s">
        <v>1979</v>
      </c>
      <c r="Q42" s="2939">
        <v>5734248811</v>
      </c>
      <c r="R42" s="2940"/>
      <c r="S42" s="2941"/>
    </row>
    <row r="43" spans="3:19" s="294" customFormat="1" ht="11.25" customHeight="1">
      <c r="D43" s="333"/>
      <c r="E43" s="2266" t="s">
        <v>4251</v>
      </c>
      <c r="H43" s="2954">
        <v>5734432021</v>
      </c>
      <c r="I43" s="2959"/>
      <c r="J43" s="2528"/>
      <c r="K43" s="2277" t="s">
        <v>1984</v>
      </c>
      <c r="L43" s="2938" t="s">
        <v>5130</v>
      </c>
      <c r="M43" s="2901"/>
      <c r="N43" s="2831"/>
      <c r="O43" s="2831"/>
      <c r="P43" s="2831"/>
      <c r="Q43" s="2901"/>
      <c r="R43" s="2901"/>
      <c r="S43" s="2902"/>
    </row>
    <row r="44" spans="3:19" s="294" customFormat="1" ht="4.2"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2534</v>
      </c>
      <c r="D45" s="332" t="s">
        <v>651</v>
      </c>
      <c r="H45" s="2276"/>
      <c r="I45" s="2276"/>
      <c r="J45" s="2276"/>
      <c r="K45" s="1275" t="s">
        <v>4250</v>
      </c>
      <c r="L45" s="2276"/>
      <c r="M45" s="2276"/>
    </row>
    <row r="46" spans="3:19" s="294" customFormat="1" ht="11.25" customHeight="1">
      <c r="E46" s="294" t="s">
        <v>92</v>
      </c>
      <c r="H46" s="2956" t="s">
        <v>970</v>
      </c>
      <c r="I46" s="2957"/>
      <c r="J46" s="2957"/>
      <c r="K46" s="2957"/>
      <c r="L46" s="2957"/>
      <c r="M46" s="2957"/>
      <c r="N46" s="2958"/>
      <c r="O46" s="2264" t="s">
        <v>1989</v>
      </c>
      <c r="P46" s="2264"/>
      <c r="Q46" s="2956"/>
      <c r="R46" s="2957"/>
      <c r="S46" s="2958"/>
    </row>
    <row r="47" spans="3:19" s="294" customFormat="1" ht="11.25" customHeight="1">
      <c r="D47" s="333"/>
      <c r="E47" s="2266" t="s">
        <v>1021</v>
      </c>
      <c r="F47" s="306"/>
      <c r="H47" s="2783"/>
      <c r="I47" s="2960"/>
      <c r="J47" s="2960"/>
      <c r="K47" s="2961"/>
      <c r="L47" s="2960"/>
      <c r="M47" s="2960"/>
      <c r="N47" s="2962"/>
      <c r="O47" s="2264" t="s">
        <v>1747</v>
      </c>
      <c r="Q47" s="2827"/>
      <c r="R47" s="2874"/>
      <c r="S47" s="2875"/>
    </row>
    <row r="48" spans="3:19" s="294" customFormat="1" ht="11.25" customHeight="1">
      <c r="D48" s="333"/>
      <c r="E48" s="2266" t="s">
        <v>618</v>
      </c>
      <c r="H48" s="2783"/>
      <c r="I48" s="2961"/>
      <c r="J48" s="2877"/>
      <c r="K48" s="2269" t="s">
        <v>2704</v>
      </c>
      <c r="L48" s="2783"/>
      <c r="M48" s="2960"/>
      <c r="N48" s="2877"/>
      <c r="O48" s="2264" t="s">
        <v>1721</v>
      </c>
      <c r="Q48" s="2939"/>
      <c r="R48" s="2940"/>
      <c r="S48" s="2941"/>
    </row>
    <row r="49" spans="1:19" s="294" customFormat="1" ht="11.25" customHeight="1">
      <c r="E49" s="2266" t="s">
        <v>1799</v>
      </c>
      <c r="H49" s="2499"/>
      <c r="K49" s="1054" t="s">
        <v>2229</v>
      </c>
      <c r="L49" s="2772"/>
      <c r="M49" s="2963"/>
      <c r="O49" s="2264" t="s">
        <v>1979</v>
      </c>
      <c r="Q49" s="2939"/>
      <c r="R49" s="2940"/>
      <c r="S49" s="2941"/>
    </row>
    <row r="50" spans="1:19" s="294" customFormat="1" ht="11.25" customHeight="1">
      <c r="D50" s="333"/>
      <c r="E50" s="2266" t="s">
        <v>4251</v>
      </c>
      <c r="H50" s="2954"/>
      <c r="I50" s="2959"/>
      <c r="J50" s="2528"/>
      <c r="K50" s="2277" t="s">
        <v>1984</v>
      </c>
      <c r="L50" s="2938"/>
      <c r="M50" s="2901"/>
      <c r="N50" s="2831"/>
      <c r="O50" s="2831"/>
      <c r="P50" s="2831"/>
      <c r="Q50" s="2901"/>
      <c r="R50" s="2901"/>
      <c r="S50" s="2902"/>
    </row>
    <row r="51" spans="1:19" ht="6.75" customHeight="1"/>
    <row r="52" spans="1:19" s="294" customFormat="1" ht="13.2" customHeight="1">
      <c r="A52" s="296" t="s">
        <v>740</v>
      </c>
      <c r="B52" s="296" t="s">
        <v>652</v>
      </c>
      <c r="F52" s="296"/>
      <c r="G52" s="2277"/>
      <c r="H52" s="2277"/>
      <c r="I52" s="2277"/>
      <c r="J52" s="2276"/>
      <c r="K52" s="1275" t="s">
        <v>4250</v>
      </c>
      <c r="L52" s="2276"/>
      <c r="M52" s="2276"/>
      <c r="N52" s="2276"/>
      <c r="O52" s="2276"/>
      <c r="P52" s="2276"/>
      <c r="Q52" s="2276"/>
      <c r="R52" s="2276"/>
      <c r="S52" s="2276"/>
    </row>
    <row r="53" spans="1:19" s="294" customFormat="1" ht="3" customHeight="1">
      <c r="A53" s="296"/>
      <c r="B53" s="296"/>
      <c r="F53" s="296"/>
      <c r="G53" s="2277"/>
      <c r="H53" s="2530"/>
      <c r="I53" s="2530"/>
      <c r="J53" s="2530"/>
      <c r="K53" s="2263"/>
      <c r="L53" s="2530"/>
      <c r="M53" s="2530"/>
      <c r="N53" s="2263"/>
      <c r="O53" s="2256"/>
      <c r="P53" s="2256"/>
      <c r="Q53" s="2277"/>
      <c r="R53" s="2256"/>
      <c r="S53" s="2256"/>
    </row>
    <row r="54" spans="1:19" s="294" customFormat="1" ht="11.25" customHeight="1">
      <c r="B54" s="296" t="s">
        <v>1983</v>
      </c>
      <c r="C54" s="296" t="s">
        <v>282</v>
      </c>
      <c r="H54" s="2956" t="s">
        <v>5232</v>
      </c>
      <c r="I54" s="2957"/>
      <c r="J54" s="2957"/>
      <c r="K54" s="2957"/>
      <c r="L54" s="2957"/>
      <c r="M54" s="2957"/>
      <c r="N54" s="2958"/>
      <c r="O54" s="2264" t="s">
        <v>1989</v>
      </c>
      <c r="P54" s="2264"/>
      <c r="Q54" s="2956" t="s">
        <v>5182</v>
      </c>
      <c r="R54" s="2957"/>
      <c r="S54" s="2958"/>
    </row>
    <row r="55" spans="1:19" s="294" customFormat="1" ht="11.25" customHeight="1">
      <c r="D55" s="333"/>
      <c r="E55" s="2266" t="s">
        <v>1021</v>
      </c>
      <c r="F55" s="306"/>
      <c r="H55" s="2783" t="s">
        <v>5185</v>
      </c>
      <c r="I55" s="2960"/>
      <c r="J55" s="2960"/>
      <c r="K55" s="2961"/>
      <c r="L55" s="2960"/>
      <c r="M55" s="2960"/>
      <c r="N55" s="2962"/>
      <c r="O55" s="2264" t="s">
        <v>1747</v>
      </c>
      <c r="Q55" s="2827" t="s">
        <v>5187</v>
      </c>
      <c r="R55" s="2874"/>
      <c r="S55" s="2875"/>
    </row>
    <row r="56" spans="1:19" s="294" customFormat="1" ht="11.25" customHeight="1">
      <c r="D56" s="333"/>
      <c r="E56" s="2266" t="s">
        <v>618</v>
      </c>
      <c r="H56" s="2783" t="s">
        <v>1205</v>
      </c>
      <c r="I56" s="2961"/>
      <c r="J56" s="2877"/>
      <c r="K56" s="2269" t="s">
        <v>2704</v>
      </c>
      <c r="L56" s="2783"/>
      <c r="M56" s="2960"/>
      <c r="N56" s="2877"/>
      <c r="O56" s="2264" t="s">
        <v>1721</v>
      </c>
      <c r="Q56" s="2939">
        <v>4043344590</v>
      </c>
      <c r="R56" s="2940"/>
      <c r="S56" s="2941"/>
    </row>
    <row r="57" spans="1:19" s="294" customFormat="1" ht="11.25" customHeight="1">
      <c r="E57" s="2266" t="s">
        <v>1799</v>
      </c>
      <c r="H57" s="2499" t="s">
        <v>848</v>
      </c>
      <c r="K57" s="1054" t="s">
        <v>2229</v>
      </c>
      <c r="L57" s="2772">
        <v>303392063</v>
      </c>
      <c r="M57" s="2963"/>
      <c r="O57" s="2264" t="s">
        <v>1979</v>
      </c>
      <c r="Q57" s="2939">
        <v>7703630414</v>
      </c>
      <c r="R57" s="2940"/>
      <c r="S57" s="2941"/>
    </row>
    <row r="58" spans="1:19" s="294" customFormat="1" ht="11.25" customHeight="1">
      <c r="D58" s="333"/>
      <c r="E58" s="2266" t="s">
        <v>4251</v>
      </c>
      <c r="H58" s="2954">
        <v>4043344590</v>
      </c>
      <c r="I58" s="2959"/>
      <c r="J58" s="2528"/>
      <c r="K58" s="2277" t="s">
        <v>1984</v>
      </c>
      <c r="L58" s="2938" t="s">
        <v>5216</v>
      </c>
      <c r="M58" s="2901"/>
      <c r="N58" s="2831"/>
      <c r="O58" s="2831"/>
      <c r="P58" s="2831"/>
      <c r="Q58" s="2901"/>
      <c r="R58" s="2901"/>
      <c r="S58" s="2902"/>
    </row>
    <row r="59" spans="1:19" s="294" customFormat="1" ht="6.6" customHeight="1">
      <c r="D59" s="333"/>
      <c r="E59" s="2276"/>
      <c r="F59" s="2276"/>
      <c r="G59" s="2264"/>
      <c r="H59" s="2529"/>
      <c r="I59" s="2529"/>
      <c r="J59" s="2529"/>
      <c r="K59" s="2277"/>
      <c r="L59" s="2529"/>
      <c r="M59" s="2529"/>
      <c r="N59" s="2263"/>
      <c r="O59" s="2256"/>
      <c r="P59" s="2256"/>
      <c r="Q59" s="2277"/>
      <c r="R59" s="2256"/>
      <c r="S59" s="2256"/>
    </row>
    <row r="60" spans="1:19" s="294" customFormat="1" ht="11.25" customHeight="1">
      <c r="B60" s="296" t="s">
        <v>1985</v>
      </c>
      <c r="C60" s="296" t="s">
        <v>283</v>
      </c>
      <c r="H60" s="2956" t="s">
        <v>970</v>
      </c>
      <c r="I60" s="2957"/>
      <c r="J60" s="2957"/>
      <c r="K60" s="2957"/>
      <c r="L60" s="2957"/>
      <c r="M60" s="2957"/>
      <c r="N60" s="2958"/>
      <c r="O60" s="2264" t="s">
        <v>1989</v>
      </c>
      <c r="P60" s="2264"/>
      <c r="Q60" s="2956"/>
      <c r="R60" s="2957"/>
      <c r="S60" s="2958"/>
    </row>
    <row r="61" spans="1:19" s="294" customFormat="1" ht="11.25" customHeight="1">
      <c r="D61" s="333"/>
      <c r="E61" s="2266" t="s">
        <v>1021</v>
      </c>
      <c r="F61" s="306"/>
      <c r="H61" s="2783"/>
      <c r="I61" s="2960"/>
      <c r="J61" s="2960"/>
      <c r="K61" s="2961"/>
      <c r="L61" s="2960"/>
      <c r="M61" s="2960"/>
      <c r="N61" s="2962"/>
      <c r="O61" s="2264" t="s">
        <v>1747</v>
      </c>
      <c r="Q61" s="2827"/>
      <c r="R61" s="2874"/>
      <c r="S61" s="2875"/>
    </row>
    <row r="62" spans="1:19" s="294" customFormat="1" ht="11.25" customHeight="1">
      <c r="D62" s="333"/>
      <c r="E62" s="2266" t="s">
        <v>618</v>
      </c>
      <c r="H62" s="2783"/>
      <c r="I62" s="2961"/>
      <c r="J62" s="2877"/>
      <c r="K62" s="2269" t="s">
        <v>2704</v>
      </c>
      <c r="L62" s="2783"/>
      <c r="M62" s="2960"/>
      <c r="N62" s="2877"/>
      <c r="O62" s="2264" t="s">
        <v>1721</v>
      </c>
      <c r="Q62" s="2939"/>
      <c r="R62" s="2940"/>
      <c r="S62" s="2941"/>
    </row>
    <row r="63" spans="1:19" s="294" customFormat="1" ht="11.25" customHeight="1">
      <c r="E63" s="2266" t="s">
        <v>1799</v>
      </c>
      <c r="H63" s="2499"/>
      <c r="K63" s="1054" t="s">
        <v>2229</v>
      </c>
      <c r="L63" s="2772"/>
      <c r="M63" s="2963"/>
      <c r="O63" s="2264" t="s">
        <v>1979</v>
      </c>
      <c r="Q63" s="2939"/>
      <c r="R63" s="2940"/>
      <c r="S63" s="2941"/>
    </row>
    <row r="64" spans="1:19" s="294" customFormat="1" ht="11.25" customHeight="1">
      <c r="D64" s="333"/>
      <c r="E64" s="2266" t="s">
        <v>4251</v>
      </c>
      <c r="H64" s="2954"/>
      <c r="I64" s="2959"/>
      <c r="J64" s="2528"/>
      <c r="K64" s="2277" t="s">
        <v>1984</v>
      </c>
      <c r="L64" s="2938"/>
      <c r="M64" s="2901"/>
      <c r="N64" s="2831"/>
      <c r="O64" s="2831"/>
      <c r="P64" s="2831"/>
      <c r="Q64" s="2901"/>
      <c r="R64" s="2901"/>
      <c r="S64" s="2902"/>
    </row>
    <row r="65" spans="1:19" s="294" customFormat="1" ht="6.6" customHeight="1">
      <c r="D65" s="333"/>
      <c r="E65" s="2276"/>
      <c r="F65" s="2276"/>
      <c r="G65" s="2264"/>
      <c r="H65" s="2529"/>
      <c r="I65" s="2529"/>
      <c r="J65" s="2529"/>
      <c r="K65" s="2277"/>
      <c r="L65" s="2529"/>
      <c r="M65" s="2529"/>
      <c r="N65" s="2263"/>
      <c r="O65" s="2256"/>
      <c r="P65" s="2256"/>
      <c r="Q65" s="2277"/>
      <c r="R65" s="2256"/>
      <c r="S65" s="2256"/>
    </row>
    <row r="66" spans="1:19" s="294" customFormat="1" ht="11.25" customHeight="1">
      <c r="B66" s="296" t="s">
        <v>749</v>
      </c>
      <c r="C66" s="296" t="s">
        <v>1528</v>
      </c>
      <c r="H66" s="2956" t="s">
        <v>970</v>
      </c>
      <c r="I66" s="2957"/>
      <c r="J66" s="2957"/>
      <c r="K66" s="2957"/>
      <c r="L66" s="2957"/>
      <c r="M66" s="2957"/>
      <c r="N66" s="2958"/>
      <c r="O66" s="2264" t="s">
        <v>1989</v>
      </c>
      <c r="P66" s="2264"/>
      <c r="Q66" s="2956"/>
      <c r="R66" s="2957"/>
      <c r="S66" s="2958"/>
    </row>
    <row r="67" spans="1:19" s="294" customFormat="1" ht="11.25" customHeight="1">
      <c r="D67" s="333"/>
      <c r="E67" s="2266" t="s">
        <v>1021</v>
      </c>
      <c r="F67" s="306"/>
      <c r="H67" s="2783"/>
      <c r="I67" s="2960"/>
      <c r="J67" s="2960"/>
      <c r="K67" s="2961"/>
      <c r="L67" s="2960"/>
      <c r="M67" s="2960"/>
      <c r="N67" s="2962"/>
      <c r="O67" s="2264" t="s">
        <v>1747</v>
      </c>
      <c r="Q67" s="2827"/>
      <c r="R67" s="2874"/>
      <c r="S67" s="2875"/>
    </row>
    <row r="68" spans="1:19" s="294" customFormat="1" ht="11.25" customHeight="1">
      <c r="D68" s="333"/>
      <c r="E68" s="2266" t="s">
        <v>618</v>
      </c>
      <c r="H68" s="2783"/>
      <c r="I68" s="2961"/>
      <c r="J68" s="2877"/>
      <c r="K68" s="2269" t="s">
        <v>2704</v>
      </c>
      <c r="L68" s="2783"/>
      <c r="M68" s="2960"/>
      <c r="N68" s="2877"/>
      <c r="O68" s="2264" t="s">
        <v>1721</v>
      </c>
      <c r="Q68" s="2939"/>
      <c r="R68" s="2940"/>
      <c r="S68" s="2941"/>
    </row>
    <row r="69" spans="1:19" s="294" customFormat="1" ht="11.25" customHeight="1">
      <c r="E69" s="2266" t="s">
        <v>1799</v>
      </c>
      <c r="H69" s="2499"/>
      <c r="K69" s="1054" t="s">
        <v>2229</v>
      </c>
      <c r="L69" s="2772"/>
      <c r="M69" s="2963"/>
      <c r="O69" s="2264" t="s">
        <v>1979</v>
      </c>
      <c r="Q69" s="2939"/>
      <c r="R69" s="2940"/>
      <c r="S69" s="2941"/>
    </row>
    <row r="70" spans="1:19" s="294" customFormat="1" ht="11.25" customHeight="1">
      <c r="D70" s="333"/>
      <c r="E70" s="2266" t="s">
        <v>4251</v>
      </c>
      <c r="H70" s="2954"/>
      <c r="I70" s="2959"/>
      <c r="J70" s="2528"/>
      <c r="K70" s="2277" t="s">
        <v>1984</v>
      </c>
      <c r="L70" s="2938"/>
      <c r="M70" s="2901"/>
      <c r="N70" s="2831"/>
      <c r="O70" s="2831"/>
      <c r="P70" s="2831"/>
      <c r="Q70" s="2901"/>
      <c r="R70" s="2901"/>
      <c r="S70" s="2902"/>
    </row>
    <row r="71" spans="1:19" ht="6.6" customHeight="1">
      <c r="H71" s="2529"/>
      <c r="I71" s="2529"/>
      <c r="J71" s="2529"/>
      <c r="K71" s="2277"/>
      <c r="L71" s="2529"/>
      <c r="M71" s="2529"/>
      <c r="N71" s="2263"/>
      <c r="O71" s="2256"/>
      <c r="P71" s="2256"/>
      <c r="Q71" s="2277"/>
      <c r="R71" s="2256"/>
      <c r="S71" s="2256"/>
    </row>
    <row r="72" spans="1:19" s="294" customFormat="1" ht="11.25" customHeight="1">
      <c r="B72" s="296" t="s">
        <v>2115</v>
      </c>
      <c r="C72" s="296" t="s">
        <v>284</v>
      </c>
      <c r="H72" s="2956" t="s">
        <v>970</v>
      </c>
      <c r="I72" s="2957"/>
      <c r="J72" s="2957"/>
      <c r="K72" s="2957"/>
      <c r="L72" s="2957"/>
      <c r="M72" s="2957"/>
      <c r="N72" s="2958"/>
      <c r="O72" s="2264" t="s">
        <v>1989</v>
      </c>
      <c r="P72" s="2264"/>
      <c r="Q72" s="2956"/>
      <c r="R72" s="2957"/>
      <c r="S72" s="2958"/>
    </row>
    <row r="73" spans="1:19" s="294" customFormat="1" ht="11.25" customHeight="1">
      <c r="D73" s="333"/>
      <c r="E73" s="2266" t="s">
        <v>1021</v>
      </c>
      <c r="F73" s="306"/>
      <c r="H73" s="2783"/>
      <c r="I73" s="2960"/>
      <c r="J73" s="2960"/>
      <c r="K73" s="2961"/>
      <c r="L73" s="2960"/>
      <c r="M73" s="2960"/>
      <c r="N73" s="2962"/>
      <c r="O73" s="2264" t="s">
        <v>1747</v>
      </c>
      <c r="Q73" s="2827"/>
      <c r="R73" s="2874"/>
      <c r="S73" s="2875"/>
    </row>
    <row r="74" spans="1:19" s="294" customFormat="1" ht="11.25" customHeight="1">
      <c r="D74" s="333"/>
      <c r="E74" s="2266" t="s">
        <v>618</v>
      </c>
      <c r="H74" s="2783"/>
      <c r="I74" s="2961"/>
      <c r="J74" s="2877"/>
      <c r="K74" s="2269" t="s">
        <v>2704</v>
      </c>
      <c r="L74" s="2783"/>
      <c r="M74" s="2960"/>
      <c r="N74" s="2877"/>
      <c r="O74" s="2264" t="s">
        <v>1721</v>
      </c>
      <c r="Q74" s="2939"/>
      <c r="R74" s="2940"/>
      <c r="S74" s="2941"/>
    </row>
    <row r="75" spans="1:19" s="294" customFormat="1" ht="11.25" customHeight="1">
      <c r="E75" s="2266" t="s">
        <v>1799</v>
      </c>
      <c r="H75" s="2499"/>
      <c r="K75" s="1054" t="s">
        <v>2229</v>
      </c>
      <c r="L75" s="2772"/>
      <c r="M75" s="2963"/>
      <c r="O75" s="2264" t="s">
        <v>1979</v>
      </c>
      <c r="Q75" s="2939"/>
      <c r="R75" s="2940"/>
      <c r="S75" s="2941"/>
    </row>
    <row r="76" spans="1:19" s="294" customFormat="1" ht="11.25" customHeight="1">
      <c r="D76" s="333"/>
      <c r="E76" s="2266" t="s">
        <v>4251</v>
      </c>
      <c r="H76" s="2954"/>
      <c r="I76" s="2959"/>
      <c r="J76" s="2528"/>
      <c r="K76" s="2277" t="s">
        <v>1984</v>
      </c>
      <c r="L76" s="2938"/>
      <c r="M76" s="2901"/>
      <c r="N76" s="2831"/>
      <c r="O76" s="2831"/>
      <c r="P76" s="2831"/>
      <c r="Q76" s="2901"/>
      <c r="R76" s="2901"/>
      <c r="S76" s="2902"/>
    </row>
    <row r="77" spans="1:19" ht="6.75" customHeight="1"/>
    <row r="78" spans="1:19" s="2266" customFormat="1" ht="13.2" customHeight="1">
      <c r="A78" s="299" t="s">
        <v>742</v>
      </c>
      <c r="B78" s="299" t="s">
        <v>285</v>
      </c>
      <c r="D78" s="299"/>
      <c r="E78" s="2264"/>
      <c r="F78" s="2268"/>
      <c r="G78" s="2268"/>
      <c r="H78" s="2268"/>
      <c r="I78" s="2268"/>
      <c r="J78" s="2268"/>
      <c r="K78" s="1275" t="s">
        <v>4250</v>
      </c>
      <c r="L78" s="2268"/>
      <c r="M78" s="2268"/>
    </row>
    <row r="79" spans="1:19" s="2266" customFormat="1" ht="3" customHeight="1">
      <c r="A79" s="299"/>
      <c r="B79" s="299"/>
      <c r="D79" s="299"/>
      <c r="E79" s="2264"/>
      <c r="F79" s="2268"/>
      <c r="G79" s="2268"/>
      <c r="H79" s="2530"/>
      <c r="I79" s="2530"/>
      <c r="J79" s="2530"/>
      <c r="K79" s="2263"/>
      <c r="L79" s="2530"/>
      <c r="M79" s="2530"/>
      <c r="N79" s="2263"/>
      <c r="O79" s="2256"/>
      <c r="P79" s="2256"/>
      <c r="Q79" s="2277"/>
      <c r="R79" s="2256"/>
      <c r="S79" s="2256"/>
    </row>
    <row r="80" spans="1:19" s="294" customFormat="1" ht="11.25" customHeight="1">
      <c r="B80" s="296" t="s">
        <v>1983</v>
      </c>
      <c r="C80" s="296" t="s">
        <v>286</v>
      </c>
      <c r="H80" s="2956" t="s">
        <v>970</v>
      </c>
      <c r="I80" s="2957"/>
      <c r="J80" s="2957"/>
      <c r="K80" s="2957"/>
      <c r="L80" s="2957"/>
      <c r="M80" s="2957"/>
      <c r="N80" s="2958"/>
      <c r="O80" s="2264" t="s">
        <v>1989</v>
      </c>
      <c r="P80" s="2264"/>
      <c r="Q80" s="2956"/>
      <c r="R80" s="2957"/>
      <c r="S80" s="2958"/>
    </row>
    <row r="81" spans="2:19" s="294" customFormat="1" ht="11.25" customHeight="1">
      <c r="D81" s="333"/>
      <c r="E81" s="2266" t="s">
        <v>1021</v>
      </c>
      <c r="F81" s="306"/>
      <c r="H81" s="2783"/>
      <c r="I81" s="2960"/>
      <c r="J81" s="2960"/>
      <c r="K81" s="2961"/>
      <c r="L81" s="2960"/>
      <c r="M81" s="2960"/>
      <c r="N81" s="2962"/>
      <c r="O81" s="2264" t="s">
        <v>1747</v>
      </c>
      <c r="Q81" s="2827"/>
      <c r="R81" s="2874"/>
      <c r="S81" s="2875"/>
    </row>
    <row r="82" spans="2:19" s="294" customFormat="1" ht="11.25" customHeight="1">
      <c r="D82" s="333"/>
      <c r="E82" s="2266" t="s">
        <v>618</v>
      </c>
      <c r="H82" s="2783"/>
      <c r="I82" s="2961"/>
      <c r="J82" s="2877"/>
      <c r="K82" s="2269" t="s">
        <v>2704</v>
      </c>
      <c r="L82" s="2783"/>
      <c r="M82" s="2960"/>
      <c r="N82" s="2877"/>
      <c r="O82" s="2264" t="s">
        <v>1721</v>
      </c>
      <c r="Q82" s="2939"/>
      <c r="R82" s="2940"/>
      <c r="S82" s="2941"/>
    </row>
    <row r="83" spans="2:19" s="294" customFormat="1" ht="11.25" customHeight="1">
      <c r="E83" s="2266" t="s">
        <v>1799</v>
      </c>
      <c r="H83" s="2499"/>
      <c r="K83" s="1054" t="s">
        <v>2229</v>
      </c>
      <c r="L83" s="2772"/>
      <c r="M83" s="2963"/>
      <c r="O83" s="2264" t="s">
        <v>1979</v>
      </c>
      <c r="Q83" s="2939"/>
      <c r="R83" s="2940"/>
      <c r="S83" s="2941"/>
    </row>
    <row r="84" spans="2:19" s="294" customFormat="1" ht="11.25" customHeight="1">
      <c r="D84" s="333"/>
      <c r="E84" s="2266" t="s">
        <v>4251</v>
      </c>
      <c r="H84" s="2954"/>
      <c r="I84" s="2959"/>
      <c r="J84" s="2528"/>
      <c r="K84" s="2277" t="s">
        <v>1984</v>
      </c>
      <c r="L84" s="2938"/>
      <c r="M84" s="2901"/>
      <c r="N84" s="2831"/>
      <c r="O84" s="2831"/>
      <c r="P84" s="2831"/>
      <c r="Q84" s="2901"/>
      <c r="R84" s="2901"/>
      <c r="S84" s="2902"/>
    </row>
    <row r="85" spans="2:19" ht="6.6" customHeight="1">
      <c r="H85" s="2529"/>
      <c r="I85" s="2529"/>
      <c r="J85" s="2529"/>
      <c r="K85" s="2277"/>
      <c r="L85" s="2529"/>
      <c r="M85" s="2529"/>
      <c r="N85" s="2263"/>
      <c r="O85" s="2256"/>
      <c r="P85" s="2256"/>
      <c r="Q85" s="2277"/>
      <c r="R85" s="2256"/>
      <c r="S85" s="2256"/>
    </row>
    <row r="86" spans="2:19" s="294" customFormat="1" ht="11.25" customHeight="1">
      <c r="B86" s="296" t="s">
        <v>1985</v>
      </c>
      <c r="C86" s="296" t="s">
        <v>287</v>
      </c>
      <c r="H86" s="2956" t="s">
        <v>5144</v>
      </c>
      <c r="I86" s="2957"/>
      <c r="J86" s="2957"/>
      <c r="K86" s="2957"/>
      <c r="L86" s="2957"/>
      <c r="M86" s="2957"/>
      <c r="N86" s="2958"/>
      <c r="O86" s="2264" t="s">
        <v>1989</v>
      </c>
      <c r="P86" s="2264"/>
      <c r="Q86" s="2956" t="s">
        <v>5141</v>
      </c>
      <c r="R86" s="2957"/>
      <c r="S86" s="2958"/>
    </row>
    <row r="87" spans="2:19" s="294" customFormat="1" ht="11.25" customHeight="1">
      <c r="D87" s="333"/>
      <c r="E87" s="2266" t="s">
        <v>1021</v>
      </c>
      <c r="F87" s="306"/>
      <c r="H87" s="2783" t="s">
        <v>5129</v>
      </c>
      <c r="I87" s="2960"/>
      <c r="J87" s="2960"/>
      <c r="K87" s="2961"/>
      <c r="L87" s="2960"/>
      <c r="M87" s="2960"/>
      <c r="N87" s="2962"/>
      <c r="O87" s="2264" t="s">
        <v>1747</v>
      </c>
      <c r="Q87" s="2827" t="s">
        <v>5142</v>
      </c>
      <c r="R87" s="2874"/>
      <c r="S87" s="2875"/>
    </row>
    <row r="88" spans="2:19" s="294" customFormat="1" ht="11.25" customHeight="1">
      <c r="D88" s="333"/>
      <c r="E88" s="2266" t="s">
        <v>618</v>
      </c>
      <c r="H88" s="2783" t="s">
        <v>2528</v>
      </c>
      <c r="I88" s="2961"/>
      <c r="J88" s="2877"/>
      <c r="K88" s="2269" t="s">
        <v>2704</v>
      </c>
      <c r="L88" s="2783" t="s">
        <v>5145</v>
      </c>
      <c r="M88" s="2960"/>
      <c r="N88" s="2877"/>
      <c r="O88" s="2264" t="s">
        <v>1721</v>
      </c>
      <c r="Q88" s="2939">
        <v>5734432021</v>
      </c>
      <c r="R88" s="2940"/>
      <c r="S88" s="2941"/>
    </row>
    <row r="89" spans="2:19" s="294" customFormat="1" ht="11.25" customHeight="1">
      <c r="E89" s="2266" t="s">
        <v>1799</v>
      </c>
      <c r="H89" s="2499" t="s">
        <v>1341</v>
      </c>
      <c r="K89" s="1054" t="s">
        <v>2229</v>
      </c>
      <c r="L89" s="2772">
        <v>652034905</v>
      </c>
      <c r="M89" s="2963"/>
      <c r="O89" s="2264" t="s">
        <v>1979</v>
      </c>
      <c r="Q89" s="2939"/>
      <c r="R89" s="2940"/>
      <c r="S89" s="2941"/>
    </row>
    <row r="90" spans="2:19" s="294" customFormat="1" ht="11.25" customHeight="1">
      <c r="D90" s="333"/>
      <c r="E90" s="2266" t="s">
        <v>4251</v>
      </c>
      <c r="H90" s="2954">
        <v>5734432021</v>
      </c>
      <c r="I90" s="2959"/>
      <c r="J90" s="2528"/>
      <c r="K90" s="2277" t="s">
        <v>1984</v>
      </c>
      <c r="L90" s="2938" t="s">
        <v>5143</v>
      </c>
      <c r="M90" s="2901"/>
      <c r="N90" s="2831"/>
      <c r="O90" s="2831"/>
      <c r="P90" s="2831"/>
      <c r="Q90" s="2901"/>
      <c r="R90" s="2901"/>
      <c r="S90" s="2902"/>
    </row>
    <row r="91" spans="2:19" ht="6.6" customHeight="1">
      <c r="H91" s="2529"/>
      <c r="I91" s="2529"/>
      <c r="J91" s="2529"/>
      <c r="K91" s="2277"/>
      <c r="L91" s="2529"/>
      <c r="M91" s="2529"/>
      <c r="N91" s="2263"/>
      <c r="O91" s="2256"/>
      <c r="P91" s="2256"/>
      <c r="Q91" s="2277"/>
      <c r="R91" s="2256"/>
      <c r="S91" s="2256"/>
    </row>
    <row r="92" spans="2:19" s="294" customFormat="1" ht="11.25" customHeight="1">
      <c r="B92" s="296" t="s">
        <v>749</v>
      </c>
      <c r="C92" s="296" t="s">
        <v>288</v>
      </c>
      <c r="F92" s="312"/>
      <c r="H92" s="2956" t="s">
        <v>5217</v>
      </c>
      <c r="I92" s="2957"/>
      <c r="J92" s="2957"/>
      <c r="K92" s="2957"/>
      <c r="L92" s="2957"/>
      <c r="M92" s="2957"/>
      <c r="N92" s="2958"/>
      <c r="O92" s="2264" t="s">
        <v>1989</v>
      </c>
      <c r="P92" s="2264"/>
      <c r="Q92" s="2956" t="s">
        <v>5220</v>
      </c>
      <c r="R92" s="2957"/>
      <c r="S92" s="2958"/>
    </row>
    <row r="93" spans="2:19" s="294" customFormat="1" ht="11.25" customHeight="1">
      <c r="D93" s="333"/>
      <c r="E93" s="2266" t="s">
        <v>1021</v>
      </c>
      <c r="F93" s="306"/>
      <c r="H93" s="2783" t="s">
        <v>5218</v>
      </c>
      <c r="I93" s="2960"/>
      <c r="J93" s="2960"/>
      <c r="K93" s="2961"/>
      <c r="L93" s="2960"/>
      <c r="M93" s="2960"/>
      <c r="N93" s="2962"/>
      <c r="O93" s="2264" t="s">
        <v>1747</v>
      </c>
      <c r="Q93" s="2827" t="s">
        <v>5134</v>
      </c>
      <c r="R93" s="2874"/>
      <c r="S93" s="2875"/>
    </row>
    <row r="94" spans="2:19" s="294" customFormat="1" ht="11.25" customHeight="1">
      <c r="D94" s="333"/>
      <c r="E94" s="2266" t="s">
        <v>618</v>
      </c>
      <c r="H94" s="2783" t="s">
        <v>1022</v>
      </c>
      <c r="I94" s="2961"/>
      <c r="J94" s="2877"/>
      <c r="K94" s="2269" t="s">
        <v>2704</v>
      </c>
      <c r="L94" s="2783"/>
      <c r="M94" s="2960"/>
      <c r="N94" s="2877"/>
      <c r="O94" s="2264" t="s">
        <v>1721</v>
      </c>
      <c r="Q94" s="2939">
        <v>7703862921</v>
      </c>
      <c r="R94" s="2940"/>
      <c r="S94" s="2941"/>
    </row>
    <row r="95" spans="2:19" s="294" customFormat="1" ht="11.25" customHeight="1">
      <c r="D95" s="333"/>
      <c r="E95" s="2266" t="s">
        <v>1799</v>
      </c>
      <c r="H95" s="2499" t="s">
        <v>848</v>
      </c>
      <c r="K95" s="1054" t="s">
        <v>2229</v>
      </c>
      <c r="L95" s="2772">
        <v>301204886</v>
      </c>
      <c r="M95" s="2963"/>
      <c r="O95" s="2264" t="s">
        <v>1979</v>
      </c>
      <c r="Q95" s="2939">
        <v>7706554683</v>
      </c>
      <c r="R95" s="2940"/>
      <c r="S95" s="2941"/>
    </row>
    <row r="96" spans="2:19" s="294" customFormat="1" ht="11.25" customHeight="1">
      <c r="D96" s="333"/>
      <c r="E96" s="2266" t="s">
        <v>4251</v>
      </c>
      <c r="H96" s="2954">
        <v>7703862921</v>
      </c>
      <c r="I96" s="2959"/>
      <c r="J96" s="2528"/>
      <c r="K96" s="2277" t="s">
        <v>1984</v>
      </c>
      <c r="L96" s="2938" t="s">
        <v>5219</v>
      </c>
      <c r="M96" s="2901"/>
      <c r="N96" s="2831"/>
      <c r="O96" s="2831"/>
      <c r="P96" s="2831"/>
      <c r="Q96" s="2901"/>
      <c r="R96" s="2901"/>
      <c r="S96" s="2902"/>
    </row>
    <row r="97" spans="2:19" ht="6.6" customHeight="1">
      <c r="H97" s="2529"/>
      <c r="I97" s="2529"/>
      <c r="J97" s="2529"/>
      <c r="K97" s="2277"/>
      <c r="L97" s="2529"/>
      <c r="M97" s="2529"/>
      <c r="N97" s="2263"/>
      <c r="O97" s="2256"/>
      <c r="P97" s="2256"/>
      <c r="Q97" s="2277"/>
      <c r="R97" s="2256"/>
      <c r="S97" s="2256"/>
    </row>
    <row r="98" spans="2:19" s="294" customFormat="1" ht="11.25" customHeight="1">
      <c r="B98" s="296" t="s">
        <v>2115</v>
      </c>
      <c r="C98" s="296" t="s">
        <v>289</v>
      </c>
      <c r="H98" s="2956" t="s">
        <v>5225</v>
      </c>
      <c r="I98" s="2957"/>
      <c r="J98" s="2957"/>
      <c r="K98" s="2957"/>
      <c r="L98" s="2957"/>
      <c r="M98" s="2957"/>
      <c r="N98" s="2958"/>
      <c r="O98" s="2264" t="s">
        <v>1989</v>
      </c>
      <c r="P98" s="2264"/>
      <c r="Q98" s="2956" t="s">
        <v>5228</v>
      </c>
      <c r="R98" s="2957"/>
      <c r="S98" s="2958"/>
    </row>
    <row r="99" spans="2:19" s="294" customFormat="1" ht="11.25" customHeight="1">
      <c r="D99" s="333"/>
      <c r="E99" s="2266" t="s">
        <v>1021</v>
      </c>
      <c r="F99" s="306"/>
      <c r="H99" s="2783" t="s">
        <v>5226</v>
      </c>
      <c r="I99" s="2960"/>
      <c r="J99" s="2960"/>
      <c r="K99" s="2961"/>
      <c r="L99" s="2960"/>
      <c r="M99" s="2960"/>
      <c r="N99" s="2962"/>
      <c r="O99" s="2264" t="s">
        <v>1747</v>
      </c>
      <c r="Q99" s="2827" t="s">
        <v>5146</v>
      </c>
      <c r="R99" s="2874"/>
      <c r="S99" s="2875"/>
    </row>
    <row r="100" spans="2:19" s="294" customFormat="1" ht="11.25" customHeight="1">
      <c r="D100" s="333"/>
      <c r="E100" s="2266" t="s">
        <v>618</v>
      </c>
      <c r="H100" s="2783" t="s">
        <v>1320</v>
      </c>
      <c r="I100" s="2961"/>
      <c r="J100" s="2877"/>
      <c r="K100" s="2269" t="s">
        <v>2704</v>
      </c>
      <c r="L100" s="2783"/>
      <c r="M100" s="2960"/>
      <c r="N100" s="2877"/>
      <c r="O100" s="2264" t="s">
        <v>1721</v>
      </c>
      <c r="Q100" s="2939">
        <v>4782547985</v>
      </c>
      <c r="R100" s="2940"/>
      <c r="S100" s="2941"/>
    </row>
    <row r="101" spans="2:19" s="294" customFormat="1" ht="11.25" customHeight="1">
      <c r="D101" s="333"/>
      <c r="E101" s="2266" t="s">
        <v>1799</v>
      </c>
      <c r="H101" s="2499" t="s">
        <v>848</v>
      </c>
      <c r="K101" s="1054" t="s">
        <v>2229</v>
      </c>
      <c r="L101" s="2772">
        <v>312101110</v>
      </c>
      <c r="M101" s="2963"/>
      <c r="O101" s="2264" t="s">
        <v>1979</v>
      </c>
      <c r="Q101" s="2939">
        <v>4782561808</v>
      </c>
      <c r="R101" s="2940"/>
      <c r="S101" s="2941"/>
    </row>
    <row r="102" spans="2:19" ht="11.25" customHeight="1">
      <c r="E102" s="2266" t="s">
        <v>4251</v>
      </c>
      <c r="F102" s="294"/>
      <c r="G102" s="294"/>
      <c r="H102" s="2954">
        <v>4782548866</v>
      </c>
      <c r="I102" s="2959"/>
      <c r="J102" s="2528"/>
      <c r="K102" s="2277" t="s">
        <v>1984</v>
      </c>
      <c r="L102" s="2938" t="s">
        <v>5227</v>
      </c>
      <c r="M102" s="2901"/>
      <c r="N102" s="2831"/>
      <c r="O102" s="2831"/>
      <c r="P102" s="2831"/>
      <c r="Q102" s="2901"/>
      <c r="R102" s="2901"/>
      <c r="S102" s="2902"/>
    </row>
    <row r="103" spans="2:19" ht="6" customHeight="1">
      <c r="E103" s="2266"/>
      <c r="F103" s="294"/>
      <c r="G103" s="2276"/>
      <c r="H103" s="2529"/>
      <c r="I103" s="2529"/>
      <c r="J103" s="2529"/>
      <c r="K103" s="2277"/>
      <c r="L103" s="2529"/>
      <c r="M103" s="2529"/>
      <c r="N103" s="2263"/>
      <c r="O103" s="2256"/>
      <c r="P103" s="2256"/>
      <c r="Q103" s="2277"/>
      <c r="R103" s="2256"/>
      <c r="S103" s="2256"/>
    </row>
    <row r="104" spans="2:19" s="294" customFormat="1" ht="11.25" customHeight="1">
      <c r="B104" s="296" t="s">
        <v>1735</v>
      </c>
      <c r="C104" s="296" t="s">
        <v>290</v>
      </c>
      <c r="H104" s="2956" t="s">
        <v>5188</v>
      </c>
      <c r="I104" s="2957"/>
      <c r="J104" s="2957"/>
      <c r="K104" s="2957"/>
      <c r="L104" s="2957"/>
      <c r="M104" s="2957"/>
      <c r="N104" s="2958"/>
      <c r="O104" s="2264" t="s">
        <v>1989</v>
      </c>
      <c r="P104" s="2264"/>
      <c r="Q104" s="2956" t="s">
        <v>5222</v>
      </c>
      <c r="R104" s="2957"/>
      <c r="S104" s="2958"/>
    </row>
    <row r="105" spans="2:19" s="294" customFormat="1" ht="11.25" customHeight="1">
      <c r="D105" s="333"/>
      <c r="E105" s="2266" t="s">
        <v>1021</v>
      </c>
      <c r="F105" s="306"/>
      <c r="H105" s="2783" t="s">
        <v>5189</v>
      </c>
      <c r="I105" s="2960"/>
      <c r="J105" s="2960"/>
      <c r="K105" s="2961"/>
      <c r="L105" s="2960"/>
      <c r="M105" s="2960"/>
      <c r="N105" s="2962"/>
      <c r="O105" s="2264" t="s">
        <v>1747</v>
      </c>
      <c r="Q105" s="2827" t="s">
        <v>5223</v>
      </c>
      <c r="R105" s="2874"/>
      <c r="S105" s="2875"/>
    </row>
    <row r="106" spans="2:19" s="294" customFormat="1" ht="11.25" customHeight="1">
      <c r="D106" s="333"/>
      <c r="E106" s="2266" t="s">
        <v>618</v>
      </c>
      <c r="H106" s="2783" t="s">
        <v>1205</v>
      </c>
      <c r="I106" s="2961"/>
      <c r="J106" s="2877"/>
      <c r="K106" s="2269" t="s">
        <v>2704</v>
      </c>
      <c r="L106" s="2783" t="s">
        <v>5224</v>
      </c>
      <c r="M106" s="2960"/>
      <c r="N106" s="2877"/>
      <c r="O106" s="2264" t="s">
        <v>1721</v>
      </c>
      <c r="Q106" s="2939">
        <v>4048988244</v>
      </c>
      <c r="R106" s="2940"/>
      <c r="S106" s="2941"/>
    </row>
    <row r="107" spans="2:19" s="294" customFormat="1" ht="11.25" customHeight="1">
      <c r="D107" s="333"/>
      <c r="E107" s="2266" t="s">
        <v>1799</v>
      </c>
      <c r="H107" s="2499" t="s">
        <v>848</v>
      </c>
      <c r="K107" s="1054" t="s">
        <v>2229</v>
      </c>
      <c r="L107" s="2772">
        <v>303286132</v>
      </c>
      <c r="M107" s="2963"/>
      <c r="O107" s="2264" t="s">
        <v>1979</v>
      </c>
      <c r="Q107" s="2939">
        <v>6783620453</v>
      </c>
      <c r="R107" s="2940"/>
      <c r="S107" s="2941"/>
    </row>
    <row r="108" spans="2:19" ht="11.25" customHeight="1">
      <c r="E108" s="2266" t="s">
        <v>4251</v>
      </c>
      <c r="F108" s="294"/>
      <c r="G108" s="294"/>
      <c r="H108" s="2954">
        <v>4048929651</v>
      </c>
      <c r="I108" s="2959"/>
      <c r="J108" s="2528"/>
      <c r="K108" s="2277" t="s">
        <v>1984</v>
      </c>
      <c r="L108" s="2938" t="s">
        <v>5221</v>
      </c>
      <c r="M108" s="2901"/>
      <c r="N108" s="2831"/>
      <c r="O108" s="2831"/>
      <c r="P108" s="2831"/>
      <c r="Q108" s="2901"/>
      <c r="R108" s="2901"/>
      <c r="S108" s="2902"/>
    </row>
    <row r="109" spans="2:19" ht="6.6" customHeight="1">
      <c r="E109" s="2266"/>
      <c r="F109" s="294"/>
      <c r="G109" s="2276"/>
      <c r="H109" s="2529"/>
      <c r="I109" s="2529"/>
      <c r="J109" s="2529"/>
      <c r="K109" s="2277"/>
      <c r="L109" s="2529"/>
      <c r="M109" s="2529"/>
      <c r="N109" s="2263"/>
      <c r="O109" s="2256"/>
      <c r="P109" s="2256"/>
      <c r="Q109" s="2277"/>
      <c r="R109" s="2256"/>
      <c r="S109" s="2256"/>
    </row>
    <row r="110" spans="2:19" s="294" customFormat="1" ht="11.25" customHeight="1">
      <c r="B110" s="296" t="s">
        <v>1736</v>
      </c>
      <c r="C110" s="296" t="s">
        <v>291</v>
      </c>
      <c r="H110" s="2956" t="s">
        <v>5136</v>
      </c>
      <c r="I110" s="2957"/>
      <c r="J110" s="2957"/>
      <c r="K110" s="2957"/>
      <c r="L110" s="2957"/>
      <c r="M110" s="2957"/>
      <c r="N110" s="2958"/>
      <c r="O110" s="2264" t="s">
        <v>1989</v>
      </c>
      <c r="P110" s="2264"/>
      <c r="Q110" s="2956" t="s">
        <v>5190</v>
      </c>
      <c r="R110" s="2957"/>
      <c r="S110" s="2958"/>
    </row>
    <row r="111" spans="2:19" s="294" customFormat="1" ht="11.25" customHeight="1">
      <c r="D111" s="333"/>
      <c r="E111" s="2266" t="s">
        <v>1021</v>
      </c>
      <c r="F111" s="306"/>
      <c r="H111" s="2783" t="s">
        <v>5137</v>
      </c>
      <c r="I111" s="2960"/>
      <c r="J111" s="2960"/>
      <c r="K111" s="2961"/>
      <c r="L111" s="2960"/>
      <c r="M111" s="2960"/>
      <c r="N111" s="2962"/>
      <c r="O111" s="2264" t="s">
        <v>1747</v>
      </c>
      <c r="Q111" s="2827" t="s">
        <v>5139</v>
      </c>
      <c r="R111" s="2874"/>
      <c r="S111" s="2875"/>
    </row>
    <row r="112" spans="2:19" s="294" customFormat="1" ht="11.25" customHeight="1">
      <c r="D112" s="333"/>
      <c r="E112" s="2266" t="s">
        <v>618</v>
      </c>
      <c r="H112" s="2783" t="s">
        <v>196</v>
      </c>
      <c r="I112" s="2961"/>
      <c r="J112" s="2877"/>
      <c r="K112" s="2269" t="s">
        <v>2704</v>
      </c>
      <c r="L112" s="2783" t="s">
        <v>5138</v>
      </c>
      <c r="M112" s="2960"/>
      <c r="N112" s="2877"/>
      <c r="O112" s="2264" t="s">
        <v>1721</v>
      </c>
      <c r="Q112" s="2939">
        <v>4043732800</v>
      </c>
      <c r="R112" s="2940"/>
      <c r="S112" s="2941"/>
    </row>
    <row r="113" spans="1:22" s="294" customFormat="1" ht="11.25" customHeight="1">
      <c r="D113" s="337"/>
      <c r="E113" s="2266" t="s">
        <v>1799</v>
      </c>
      <c r="H113" s="2499" t="s">
        <v>848</v>
      </c>
      <c r="K113" s="1054" t="s">
        <v>2229</v>
      </c>
      <c r="L113" s="2772">
        <v>300303330</v>
      </c>
      <c r="M113" s="2963"/>
      <c r="O113" s="2264" t="s">
        <v>1979</v>
      </c>
      <c r="Q113" s="2939"/>
      <c r="R113" s="2940"/>
      <c r="S113" s="2941"/>
    </row>
    <row r="114" spans="1:22" s="294" customFormat="1" ht="11.25" customHeight="1">
      <c r="D114" s="337"/>
      <c r="E114" s="2266" t="s">
        <v>4251</v>
      </c>
      <c r="H114" s="2954">
        <v>4043732800</v>
      </c>
      <c r="I114" s="2959"/>
      <c r="J114" s="2528"/>
      <c r="K114" s="2277" t="s">
        <v>1984</v>
      </c>
      <c r="L114" s="2938" t="s">
        <v>5140</v>
      </c>
      <c r="M114" s="2901"/>
      <c r="N114" s="2831"/>
      <c r="O114" s="2831"/>
      <c r="P114" s="2831"/>
      <c r="Q114" s="2901"/>
      <c r="R114" s="2901"/>
      <c r="S114" s="2902"/>
    </row>
    <row r="115" spans="1:22" ht="3" customHeight="1"/>
    <row r="116" spans="1:22" s="294" customFormat="1" ht="12" customHeight="1">
      <c r="A116" s="296" t="s">
        <v>1792</v>
      </c>
      <c r="B116" s="296" t="s">
        <v>2603</v>
      </c>
      <c r="F116" s="296"/>
      <c r="G116" s="2277"/>
      <c r="H116" s="2277"/>
      <c r="I116" s="2277"/>
      <c r="J116" s="2277"/>
      <c r="K116" s="2277"/>
      <c r="L116" s="2277"/>
      <c r="M116" s="2277"/>
      <c r="N116" s="2277"/>
      <c r="O116" s="2277"/>
      <c r="P116" s="2277"/>
      <c r="Q116" s="2269"/>
    </row>
    <row r="117" spans="1:22" s="294" customFormat="1" ht="11.25" customHeight="1">
      <c r="B117" s="296" t="s">
        <v>1983</v>
      </c>
      <c r="C117" s="296" t="s">
        <v>3577</v>
      </c>
      <c r="H117" s="2956" t="s">
        <v>5191</v>
      </c>
      <c r="I117" s="2979"/>
      <c r="J117" s="2980"/>
      <c r="K117" s="2277" t="s">
        <v>2474</v>
      </c>
      <c r="L117" s="2956" t="s">
        <v>5192</v>
      </c>
      <c r="M117" s="2957"/>
      <c r="N117" s="2958"/>
      <c r="O117" s="2266" t="s">
        <v>3578</v>
      </c>
      <c r="Q117" s="2981">
        <v>4789868756</v>
      </c>
      <c r="R117" s="2982"/>
      <c r="S117" s="2983"/>
    </row>
    <row r="118" spans="1:22" s="294" customFormat="1" ht="11.25" customHeight="1">
      <c r="D118" s="333"/>
      <c r="E118" s="2266" t="s">
        <v>1021</v>
      </c>
      <c r="F118" s="306"/>
      <c r="H118" s="2893" t="s">
        <v>5193</v>
      </c>
      <c r="I118" s="2984"/>
      <c r="J118" s="2985"/>
      <c r="K118" s="2894"/>
      <c r="L118" s="2984"/>
      <c r="M118" s="2984"/>
      <c r="N118" s="2986"/>
      <c r="O118" s="2266" t="s">
        <v>618</v>
      </c>
      <c r="Q118" s="2987"/>
      <c r="R118" s="2897"/>
      <c r="S118" s="2898"/>
    </row>
    <row r="119" spans="1:22" s="294" customFormat="1" ht="11.25" customHeight="1">
      <c r="D119" s="333"/>
      <c r="E119" s="2266" t="s">
        <v>1799</v>
      </c>
      <c r="H119" s="2531" t="s">
        <v>848</v>
      </c>
      <c r="I119" s="1054" t="s">
        <v>2229</v>
      </c>
      <c r="J119" s="2876">
        <v>310320000</v>
      </c>
      <c r="K119" s="2877"/>
      <c r="L119" s="2277" t="s">
        <v>1984</v>
      </c>
      <c r="M119" s="2830" t="s">
        <v>5194</v>
      </c>
      <c r="N119" s="2831"/>
      <c r="O119" s="2831"/>
      <c r="P119" s="2831"/>
      <c r="Q119" s="2901"/>
      <c r="R119" s="2901"/>
      <c r="S119" s="2902"/>
    </row>
    <row r="120" spans="1:22" ht="12" customHeight="1">
      <c r="B120" s="296" t="s">
        <v>1985</v>
      </c>
      <c r="C120" s="296" t="s">
        <v>5005</v>
      </c>
      <c r="H120" s="2153"/>
      <c r="I120" s="2153"/>
      <c r="J120" s="2153"/>
      <c r="K120" s="2153"/>
      <c r="L120" s="2153"/>
      <c r="M120" s="2153"/>
      <c r="N120" s="2153"/>
      <c r="O120" s="2153"/>
      <c r="P120" s="2153"/>
      <c r="Q120" s="2153"/>
      <c r="R120" s="2153"/>
      <c r="S120" s="2153"/>
    </row>
    <row r="121" spans="1:22" ht="11.25" customHeight="1" thickBot="1">
      <c r="A121" s="2970" t="s">
        <v>3876</v>
      </c>
      <c r="B121" s="2970"/>
      <c r="C121" s="2970"/>
      <c r="D121" s="2970"/>
      <c r="E121" s="2971"/>
      <c r="F121" s="2532" t="s">
        <v>2510</v>
      </c>
      <c r="G121" s="2972" t="s">
        <v>3478</v>
      </c>
      <c r="H121" s="2973"/>
      <c r="I121" s="2973"/>
      <c r="J121" s="2973"/>
      <c r="K121" s="2973"/>
      <c r="L121" s="2973"/>
      <c r="M121" s="2973"/>
      <c r="N121" s="2973"/>
      <c r="O121" s="2973"/>
      <c r="P121" s="2973"/>
      <c r="Q121" s="2973"/>
      <c r="R121" s="2973"/>
      <c r="S121" s="2974"/>
    </row>
    <row r="122" spans="1:22" s="294" customFormat="1" ht="25.5" customHeight="1" thickBot="1">
      <c r="B122" s="497"/>
      <c r="C122" s="1091" t="s">
        <v>1986</v>
      </c>
      <c r="D122" s="2975" t="s">
        <v>2837</v>
      </c>
      <c r="E122" s="2975"/>
      <c r="F122" s="2533" t="s">
        <v>2993</v>
      </c>
      <c r="G122" s="2976"/>
      <c r="H122" s="2977"/>
      <c r="I122" s="2977"/>
      <c r="J122" s="2977"/>
      <c r="K122" s="2977"/>
      <c r="L122" s="2977"/>
      <c r="M122" s="2977"/>
      <c r="N122" s="2977"/>
      <c r="O122" s="2977"/>
      <c r="P122" s="2977"/>
      <c r="Q122" s="2977"/>
      <c r="R122" s="2977"/>
      <c r="S122" s="2978"/>
      <c r="U122" s="2949" t="s">
        <v>2031</v>
      </c>
      <c r="V122" s="2949"/>
    </row>
    <row r="123" spans="1:22" s="294" customFormat="1" ht="25.5" customHeight="1" thickBot="1">
      <c r="B123" s="497"/>
      <c r="C123" s="606" t="s">
        <v>1988</v>
      </c>
      <c r="D123" s="2853" t="s">
        <v>2902</v>
      </c>
      <c r="E123" s="2930"/>
      <c r="F123" s="2533" t="s">
        <v>2993</v>
      </c>
      <c r="G123" s="2947"/>
      <c r="H123" s="2947"/>
      <c r="I123" s="2947"/>
      <c r="J123" s="2947"/>
      <c r="K123" s="2947"/>
      <c r="L123" s="2947"/>
      <c r="M123" s="2947"/>
      <c r="N123" s="2947"/>
      <c r="O123" s="2947"/>
      <c r="P123" s="2947"/>
      <c r="Q123" s="2947"/>
      <c r="R123" s="2947"/>
      <c r="S123" s="2948"/>
      <c r="U123" s="2949"/>
      <c r="V123" s="2949"/>
    </row>
    <row r="124" spans="1:22" s="294" customFormat="1" ht="25.5" customHeight="1" thickBot="1">
      <c r="B124" s="497"/>
      <c r="C124" s="606" t="s">
        <v>2534</v>
      </c>
      <c r="D124" s="2853" t="s">
        <v>2878</v>
      </c>
      <c r="E124" s="2930"/>
      <c r="F124" s="2533" t="s">
        <v>2993</v>
      </c>
      <c r="G124" s="2947"/>
      <c r="H124" s="2947"/>
      <c r="I124" s="2947"/>
      <c r="J124" s="2947"/>
      <c r="K124" s="2947"/>
      <c r="L124" s="2947"/>
      <c r="M124" s="2947"/>
      <c r="N124" s="2947"/>
      <c r="O124" s="2947"/>
      <c r="P124" s="2947"/>
      <c r="Q124" s="2947"/>
      <c r="R124" s="2947"/>
      <c r="S124" s="2948"/>
      <c r="U124" s="2949"/>
      <c r="V124" s="2949"/>
    </row>
    <row r="125" spans="1:22" s="294" customFormat="1" ht="25.5" customHeight="1" thickBot="1">
      <c r="B125" s="497"/>
      <c r="C125" s="606" t="s">
        <v>1224</v>
      </c>
      <c r="D125" s="2853" t="s">
        <v>2838</v>
      </c>
      <c r="E125" s="2930"/>
      <c r="F125" s="2533" t="s">
        <v>2993</v>
      </c>
      <c r="G125" s="2947"/>
      <c r="H125" s="2947"/>
      <c r="I125" s="2947"/>
      <c r="J125" s="2947"/>
      <c r="K125" s="2947"/>
      <c r="L125" s="2947"/>
      <c r="M125" s="2947"/>
      <c r="N125" s="2947"/>
      <c r="O125" s="2947"/>
      <c r="P125" s="2947"/>
      <c r="Q125" s="2947"/>
      <c r="R125" s="2947"/>
      <c r="S125" s="2948"/>
      <c r="U125" s="2949"/>
      <c r="V125" s="2949"/>
    </row>
    <row r="126" spans="1:22" s="294" customFormat="1" ht="25.5" customHeight="1" thickBot="1">
      <c r="B126" s="497"/>
      <c r="C126" s="606" t="s">
        <v>1225</v>
      </c>
      <c r="D126" s="2853" t="s">
        <v>3466</v>
      </c>
      <c r="E126" s="2930"/>
      <c r="F126" s="2533" t="s">
        <v>2993</v>
      </c>
      <c r="G126" s="2947"/>
      <c r="H126" s="2947"/>
      <c r="I126" s="2947"/>
      <c r="J126" s="2947"/>
      <c r="K126" s="2947"/>
      <c r="L126" s="2947"/>
      <c r="M126" s="2947"/>
      <c r="N126" s="2947"/>
      <c r="O126" s="2947"/>
      <c r="P126" s="2947"/>
      <c r="Q126" s="2947"/>
      <c r="R126" s="2947"/>
      <c r="S126" s="2948"/>
      <c r="U126" s="2949"/>
      <c r="V126" s="2949"/>
    </row>
    <row r="127" spans="1:22" s="294" customFormat="1" ht="25.5" customHeight="1" thickBot="1">
      <c r="B127" s="497"/>
      <c r="C127" s="606" t="s">
        <v>1881</v>
      </c>
      <c r="D127" s="2853" t="s">
        <v>3467</v>
      </c>
      <c r="E127" s="2930"/>
      <c r="F127" s="2533" t="s">
        <v>2990</v>
      </c>
      <c r="G127" s="2947" t="s">
        <v>5156</v>
      </c>
      <c r="H127" s="2947"/>
      <c r="I127" s="2947"/>
      <c r="J127" s="2947"/>
      <c r="K127" s="2947"/>
      <c r="L127" s="2947"/>
      <c r="M127" s="2947"/>
      <c r="N127" s="2947"/>
      <c r="O127" s="2947"/>
      <c r="P127" s="2947"/>
      <c r="Q127" s="2947"/>
      <c r="R127" s="2947"/>
      <c r="S127" s="2948"/>
      <c r="U127" s="2949"/>
      <c r="V127" s="2949"/>
    </row>
    <row r="128" spans="1:22" s="294" customFormat="1" ht="25.5" customHeight="1" thickBot="1">
      <c r="B128" s="497"/>
      <c r="C128" s="606" t="s">
        <v>503</v>
      </c>
      <c r="D128" s="2853" t="s">
        <v>2839</v>
      </c>
      <c r="E128" s="2930"/>
      <c r="F128" s="2533" t="s">
        <v>2993</v>
      </c>
      <c r="G128" s="2947"/>
      <c r="H128" s="2947"/>
      <c r="I128" s="2947"/>
      <c r="J128" s="2947"/>
      <c r="K128" s="2947"/>
      <c r="L128" s="2947"/>
      <c r="M128" s="2947"/>
      <c r="N128" s="2947"/>
      <c r="O128" s="2947"/>
      <c r="P128" s="2947"/>
      <c r="Q128" s="2947"/>
      <c r="R128" s="2947"/>
      <c r="S128" s="2948"/>
    </row>
    <row r="129" spans="1:22" s="294" customFormat="1" ht="25.5" customHeight="1" thickBot="1">
      <c r="B129" s="497"/>
      <c r="C129" s="606" t="s">
        <v>504</v>
      </c>
      <c r="D129" s="2853" t="s">
        <v>5026</v>
      </c>
      <c r="E129" s="2930"/>
      <c r="F129" s="2533" t="s">
        <v>2993</v>
      </c>
      <c r="G129" s="2947"/>
      <c r="H129" s="2947"/>
      <c r="I129" s="2947"/>
      <c r="J129" s="2947"/>
      <c r="K129" s="2947"/>
      <c r="L129" s="2947"/>
      <c r="M129" s="2947"/>
      <c r="N129" s="2947"/>
      <c r="O129" s="2947"/>
      <c r="P129" s="2947"/>
      <c r="Q129" s="2947"/>
      <c r="R129" s="2947"/>
      <c r="S129" s="2948"/>
    </row>
    <row r="130" spans="1:22" s="294" customFormat="1" ht="25.5" customHeight="1" thickBot="1">
      <c r="B130" s="497"/>
      <c r="C130" s="606" t="s">
        <v>5025</v>
      </c>
      <c r="D130" s="2998" t="s">
        <v>5135</v>
      </c>
      <c r="E130" s="2999"/>
      <c r="F130" s="2533" t="s">
        <v>2993</v>
      </c>
      <c r="G130" s="3000"/>
      <c r="H130" s="3000"/>
      <c r="I130" s="3000"/>
      <c r="J130" s="3000"/>
      <c r="K130" s="3000"/>
      <c r="L130" s="3000"/>
      <c r="M130" s="3000"/>
      <c r="N130" s="3000"/>
      <c r="O130" s="3000"/>
      <c r="P130" s="3000"/>
      <c r="Q130" s="3000"/>
      <c r="R130" s="3000"/>
      <c r="S130" s="3001"/>
    </row>
    <row r="131" spans="1:22" s="294" customFormat="1" ht="13.2" customHeight="1">
      <c r="A131" s="296" t="s">
        <v>1794</v>
      </c>
      <c r="B131" s="296" t="s">
        <v>2847</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2" customHeight="1">
      <c r="B133" s="296" t="s">
        <v>749</v>
      </c>
      <c r="C133" s="296" t="s">
        <v>5006</v>
      </c>
    </row>
    <row r="134" spans="1:22" s="294" customFormat="1" ht="13.5" customHeight="1">
      <c r="A134" s="3002" t="s">
        <v>640</v>
      </c>
      <c r="B134" s="2975"/>
      <c r="C134" s="2975"/>
      <c r="D134" s="2975"/>
      <c r="E134" s="3006" t="s">
        <v>3448</v>
      </c>
      <c r="F134" s="3007"/>
      <c r="G134" s="3007"/>
      <c r="H134" s="3007"/>
      <c r="I134" s="3008"/>
      <c r="J134" s="3012" t="s">
        <v>3449</v>
      </c>
      <c r="K134" s="3015" t="s">
        <v>2908</v>
      </c>
      <c r="L134" s="3015" t="s">
        <v>2909</v>
      </c>
      <c r="M134" s="3018" t="s">
        <v>3458</v>
      </c>
      <c r="N134" s="3019"/>
      <c r="O134" s="3019"/>
      <c r="P134" s="3019"/>
      <c r="Q134" s="3019"/>
      <c r="R134" s="3019"/>
      <c r="S134" s="3020"/>
    </row>
    <row r="135" spans="1:22" s="294" customFormat="1" ht="13.5" customHeight="1">
      <c r="A135" s="3003"/>
      <c r="B135" s="2930"/>
      <c r="C135" s="2930"/>
      <c r="D135" s="2930"/>
      <c r="E135" s="3009"/>
      <c r="F135" s="3010"/>
      <c r="G135" s="3010"/>
      <c r="H135" s="3010"/>
      <c r="I135" s="3011"/>
      <c r="J135" s="3013"/>
      <c r="K135" s="3016"/>
      <c r="L135" s="3016"/>
      <c r="M135" s="3021"/>
      <c r="N135" s="3022"/>
      <c r="O135" s="3022"/>
      <c r="P135" s="3022"/>
      <c r="Q135" s="3022"/>
      <c r="R135" s="3022"/>
      <c r="S135" s="3023"/>
    </row>
    <row r="136" spans="1:22" s="294" customFormat="1" ht="13.5" customHeight="1">
      <c r="A136" s="3003"/>
      <c r="B136" s="2930"/>
      <c r="C136" s="2930"/>
      <c r="D136" s="2930"/>
      <c r="E136" s="3009"/>
      <c r="F136" s="3010"/>
      <c r="G136" s="3010"/>
      <c r="H136" s="3010"/>
      <c r="I136" s="3011"/>
      <c r="J136" s="3013"/>
      <c r="K136" s="3016"/>
      <c r="L136" s="3016"/>
      <c r="M136" s="3021"/>
      <c r="N136" s="3022"/>
      <c r="O136" s="3022"/>
      <c r="P136" s="3022"/>
      <c r="Q136" s="3022"/>
      <c r="R136" s="3022"/>
      <c r="S136" s="3023"/>
    </row>
    <row r="137" spans="1:22" s="294" customFormat="1" ht="23.25" customHeight="1">
      <c r="A137" s="3003"/>
      <c r="B137" s="2930"/>
      <c r="C137" s="2930"/>
      <c r="D137" s="2930"/>
      <c r="E137" s="3024" t="s">
        <v>3716</v>
      </c>
      <c r="F137" s="3025"/>
      <c r="G137" s="3025"/>
      <c r="H137" s="3026"/>
      <c r="I137" s="607"/>
      <c r="J137" s="3013"/>
      <c r="K137" s="3016"/>
      <c r="L137" s="3016"/>
      <c r="M137" s="3021"/>
      <c r="N137" s="3022"/>
      <c r="O137" s="3022"/>
      <c r="P137" s="3022"/>
      <c r="Q137" s="3022"/>
      <c r="R137" s="3022"/>
      <c r="S137" s="3023"/>
    </row>
    <row r="138" spans="1:22" s="294" customFormat="1" ht="13.5" customHeight="1">
      <c r="A138" s="3004"/>
      <c r="B138" s="3005"/>
      <c r="C138" s="3005"/>
      <c r="D138" s="3005"/>
      <c r="E138" s="3027"/>
      <c r="F138" s="3028"/>
      <c r="G138" s="3028"/>
      <c r="H138" s="3029"/>
      <c r="I138" s="2157" t="s">
        <v>2510</v>
      </c>
      <c r="J138" s="3014"/>
      <c r="K138" s="3017"/>
      <c r="L138" s="3016"/>
      <c r="M138" s="2158" t="s">
        <v>2510</v>
      </c>
      <c r="N138" s="2803" t="s">
        <v>2907</v>
      </c>
      <c r="O138" s="2803"/>
      <c r="P138" s="2803"/>
      <c r="Q138" s="2803"/>
      <c r="R138" s="2803"/>
      <c r="S138" s="3030"/>
    </row>
    <row r="139" spans="1:22" s="294" customFormat="1" ht="24" customHeight="1">
      <c r="A139" s="2988" t="s">
        <v>3443</v>
      </c>
      <c r="B139" s="2989"/>
      <c r="C139" s="2989"/>
      <c r="D139" s="2990"/>
      <c r="E139" s="2991"/>
      <c r="F139" s="2977"/>
      <c r="G139" s="2977"/>
      <c r="H139" s="2977"/>
      <c r="I139" s="2534" t="s">
        <v>2993</v>
      </c>
      <c r="J139" s="2535" t="s">
        <v>2993</v>
      </c>
      <c r="K139" s="2536" t="s">
        <v>5147</v>
      </c>
      <c r="L139" s="2537">
        <v>1E-4</v>
      </c>
      <c r="M139" s="2538" t="s">
        <v>2993</v>
      </c>
      <c r="N139" s="2992"/>
      <c r="O139" s="2977"/>
      <c r="P139" s="2977"/>
      <c r="Q139" s="2977"/>
      <c r="R139" s="2977"/>
      <c r="S139" s="2978"/>
    </row>
    <row r="140" spans="1:22" s="294" customFormat="1" ht="24" customHeight="1">
      <c r="A140" s="2993" t="s">
        <v>3444</v>
      </c>
      <c r="B140" s="2994"/>
      <c r="C140" s="2994"/>
      <c r="D140" s="2995"/>
      <c r="E140" s="2996"/>
      <c r="F140" s="2947"/>
      <c r="G140" s="2947"/>
      <c r="H140" s="2947"/>
      <c r="I140" s="2539" t="s">
        <v>4935</v>
      </c>
      <c r="J140" s="2540" t="s">
        <v>4935</v>
      </c>
      <c r="K140" s="2541"/>
      <c r="L140" s="2542"/>
      <c r="M140" s="2543" t="s">
        <v>4935</v>
      </c>
      <c r="N140" s="2997"/>
      <c r="O140" s="2947"/>
      <c r="P140" s="2947"/>
      <c r="Q140" s="2947"/>
      <c r="R140" s="2947"/>
      <c r="S140" s="2948"/>
      <c r="U140" s="2949" t="s">
        <v>2031</v>
      </c>
      <c r="V140" s="2949"/>
    </row>
    <row r="141" spans="1:22" s="294" customFormat="1" ht="24" customHeight="1">
      <c r="A141" s="2993" t="s">
        <v>3445</v>
      </c>
      <c r="B141" s="2994"/>
      <c r="C141" s="2994"/>
      <c r="D141" s="2995"/>
      <c r="E141" s="2996"/>
      <c r="F141" s="2947"/>
      <c r="G141" s="2947"/>
      <c r="H141" s="2947"/>
      <c r="I141" s="2539" t="s">
        <v>4935</v>
      </c>
      <c r="J141" s="2540" t="s">
        <v>4935</v>
      </c>
      <c r="K141" s="2541"/>
      <c r="L141" s="2542"/>
      <c r="M141" s="2543" t="s">
        <v>4935</v>
      </c>
      <c r="N141" s="2997"/>
      <c r="O141" s="2947"/>
      <c r="P141" s="2947"/>
      <c r="Q141" s="2947"/>
      <c r="R141" s="2947"/>
      <c r="S141" s="2948"/>
      <c r="U141" s="2949"/>
      <c r="V141" s="2949"/>
    </row>
    <row r="142" spans="1:22" s="294" customFormat="1" ht="24" customHeight="1">
      <c r="A142" s="2993" t="s">
        <v>3446</v>
      </c>
      <c r="B142" s="2994"/>
      <c r="C142" s="2994"/>
      <c r="D142" s="2995"/>
      <c r="E142" s="2996"/>
      <c r="F142" s="2947"/>
      <c r="G142" s="2947"/>
      <c r="H142" s="2947"/>
      <c r="I142" s="2539" t="s">
        <v>2993</v>
      </c>
      <c r="J142" s="2540" t="s">
        <v>2993</v>
      </c>
      <c r="K142" s="2541" t="s">
        <v>5147</v>
      </c>
      <c r="L142" s="2542">
        <v>0.9899</v>
      </c>
      <c r="M142" s="2543" t="s">
        <v>2993</v>
      </c>
      <c r="N142" s="2997"/>
      <c r="O142" s="2947"/>
      <c r="P142" s="2947"/>
      <c r="Q142" s="2947"/>
      <c r="R142" s="2947"/>
      <c r="S142" s="2948"/>
      <c r="U142" s="2949"/>
      <c r="V142" s="2949"/>
    </row>
    <row r="143" spans="1:22" s="294" customFormat="1" ht="24" customHeight="1">
      <c r="A143" s="2993" t="s">
        <v>3447</v>
      </c>
      <c r="B143" s="2994"/>
      <c r="C143" s="2994"/>
      <c r="D143" s="2995"/>
      <c r="E143" s="2996"/>
      <c r="F143" s="2947"/>
      <c r="G143" s="2947"/>
      <c r="H143" s="2947"/>
      <c r="I143" s="2539" t="s">
        <v>2993</v>
      </c>
      <c r="J143" s="2540" t="s">
        <v>2993</v>
      </c>
      <c r="K143" s="2541" t="s">
        <v>5147</v>
      </c>
      <c r="L143" s="2542">
        <v>0.01</v>
      </c>
      <c r="M143" s="2543" t="s">
        <v>2993</v>
      </c>
      <c r="N143" s="2997"/>
      <c r="O143" s="2947"/>
      <c r="P143" s="2947"/>
      <c r="Q143" s="2947"/>
      <c r="R143" s="2947"/>
      <c r="S143" s="2948"/>
      <c r="U143" s="2949"/>
      <c r="V143" s="2949"/>
    </row>
    <row r="144" spans="1:22" s="294" customFormat="1" ht="24" customHeight="1">
      <c r="A144" s="2993" t="s">
        <v>2895</v>
      </c>
      <c r="B144" s="2994"/>
      <c r="C144" s="2994"/>
      <c r="D144" s="2995"/>
      <c r="E144" s="2996"/>
      <c r="F144" s="2947"/>
      <c r="G144" s="2947"/>
      <c r="H144" s="2947"/>
      <c r="I144" s="2539" t="s">
        <v>4935</v>
      </c>
      <c r="J144" s="2540" t="s">
        <v>4935</v>
      </c>
      <c r="K144" s="2541"/>
      <c r="L144" s="2542"/>
      <c r="M144" s="2543" t="s">
        <v>4935</v>
      </c>
      <c r="N144" s="2997"/>
      <c r="O144" s="2947"/>
      <c r="P144" s="2947"/>
      <c r="Q144" s="2947"/>
      <c r="R144" s="2947"/>
      <c r="S144" s="2948"/>
      <c r="U144" s="2949"/>
      <c r="V144" s="2949"/>
    </row>
    <row r="145" spans="1:24" s="294" customFormat="1" ht="24" customHeight="1">
      <c r="A145" s="2993" t="s">
        <v>653</v>
      </c>
      <c r="B145" s="2994"/>
      <c r="C145" s="2994"/>
      <c r="D145" s="2995"/>
      <c r="E145" s="2996"/>
      <c r="F145" s="2947"/>
      <c r="G145" s="2947"/>
      <c r="H145" s="2947"/>
      <c r="I145" s="2539" t="s">
        <v>2993</v>
      </c>
      <c r="J145" s="2540" t="s">
        <v>2993</v>
      </c>
      <c r="K145" s="2541" t="s">
        <v>5147</v>
      </c>
      <c r="L145" s="2542"/>
      <c r="M145" s="2543" t="s">
        <v>2993</v>
      </c>
      <c r="N145" s="2997"/>
      <c r="O145" s="2947"/>
      <c r="P145" s="2947"/>
      <c r="Q145" s="2947"/>
      <c r="R145" s="2947"/>
      <c r="S145" s="2948"/>
      <c r="U145" s="2949"/>
      <c r="V145" s="2949"/>
    </row>
    <row r="146" spans="1:24" s="294" customFormat="1" ht="24" customHeight="1">
      <c r="A146" s="2993" t="s">
        <v>2896</v>
      </c>
      <c r="B146" s="2994"/>
      <c r="C146" s="2994"/>
      <c r="D146" s="2995"/>
      <c r="E146" s="2996"/>
      <c r="F146" s="2947"/>
      <c r="G146" s="2947"/>
      <c r="H146" s="2947"/>
      <c r="I146" s="2539" t="s">
        <v>4935</v>
      </c>
      <c r="J146" s="2540" t="s">
        <v>4935</v>
      </c>
      <c r="K146" s="2541"/>
      <c r="L146" s="2542"/>
      <c r="M146" s="2543" t="s">
        <v>4935</v>
      </c>
      <c r="N146" s="2997"/>
      <c r="O146" s="2947"/>
      <c r="P146" s="2947"/>
      <c r="Q146" s="2947"/>
      <c r="R146" s="2947"/>
      <c r="S146" s="2948"/>
    </row>
    <row r="147" spans="1:24" s="294" customFormat="1" ht="24" customHeight="1">
      <c r="A147" s="2993" t="s">
        <v>2897</v>
      </c>
      <c r="B147" s="2994"/>
      <c r="C147" s="2994"/>
      <c r="D147" s="2995"/>
      <c r="E147" s="2996"/>
      <c r="F147" s="2947"/>
      <c r="G147" s="2947"/>
      <c r="H147" s="2947"/>
      <c r="I147" s="2539" t="s">
        <v>4935</v>
      </c>
      <c r="J147" s="2540" t="s">
        <v>4935</v>
      </c>
      <c r="K147" s="2541"/>
      <c r="L147" s="2542"/>
      <c r="M147" s="2543" t="s">
        <v>4935</v>
      </c>
      <c r="N147" s="2997"/>
      <c r="O147" s="2947"/>
      <c r="P147" s="2947"/>
      <c r="Q147" s="2947"/>
      <c r="R147" s="2947"/>
      <c r="S147" s="2948"/>
    </row>
    <row r="148" spans="1:24" s="294" customFormat="1" ht="24" customHeight="1">
      <c r="A148" s="2993" t="s">
        <v>2899</v>
      </c>
      <c r="B148" s="2994"/>
      <c r="C148" s="2994"/>
      <c r="D148" s="2995"/>
      <c r="E148" s="2996"/>
      <c r="F148" s="2947"/>
      <c r="G148" s="2947"/>
      <c r="H148" s="2947"/>
      <c r="I148" s="2539" t="s">
        <v>4935</v>
      </c>
      <c r="J148" s="2540" t="s">
        <v>4935</v>
      </c>
      <c r="K148" s="2541"/>
      <c r="L148" s="2542"/>
      <c r="M148" s="2543" t="s">
        <v>4935</v>
      </c>
      <c r="N148" s="2997"/>
      <c r="O148" s="2947"/>
      <c r="P148" s="2947"/>
      <c r="Q148" s="2947"/>
      <c r="R148" s="2947"/>
      <c r="S148" s="2948"/>
    </row>
    <row r="149" spans="1:24" s="294" customFormat="1" ht="24" customHeight="1">
      <c r="A149" s="2993" t="s">
        <v>2898</v>
      </c>
      <c r="B149" s="2994"/>
      <c r="C149" s="2994"/>
      <c r="D149" s="2995"/>
      <c r="E149" s="2996"/>
      <c r="F149" s="2947"/>
      <c r="G149" s="2947"/>
      <c r="H149" s="2947"/>
      <c r="I149" s="2539" t="s">
        <v>4935</v>
      </c>
      <c r="J149" s="2540" t="s">
        <v>4935</v>
      </c>
      <c r="K149" s="2541"/>
      <c r="L149" s="2542"/>
      <c r="M149" s="2543" t="s">
        <v>4935</v>
      </c>
      <c r="N149" s="2997"/>
      <c r="O149" s="2947"/>
      <c r="P149" s="2947"/>
      <c r="Q149" s="2947"/>
      <c r="R149" s="2947"/>
      <c r="S149" s="2948"/>
    </row>
    <row r="150" spans="1:24" s="294" customFormat="1" ht="24" customHeight="1">
      <c r="A150" s="2993" t="s">
        <v>1529</v>
      </c>
      <c r="B150" s="2994"/>
      <c r="C150" s="2994"/>
      <c r="D150" s="2995"/>
      <c r="E150" s="2996"/>
      <c r="F150" s="2947"/>
      <c r="G150" s="2947"/>
      <c r="H150" s="2947"/>
      <c r="I150" s="2539" t="s">
        <v>2993</v>
      </c>
      <c r="J150" s="2540" t="s">
        <v>2993</v>
      </c>
      <c r="K150" s="2541" t="s">
        <v>5147</v>
      </c>
      <c r="L150" s="2542"/>
      <c r="M150" s="2543" t="s">
        <v>2993</v>
      </c>
      <c r="N150" s="2997"/>
      <c r="O150" s="2947"/>
      <c r="P150" s="2947"/>
      <c r="Q150" s="2947"/>
      <c r="R150" s="2947"/>
      <c r="S150" s="2948"/>
    </row>
    <row r="151" spans="1:24" s="294" customFormat="1" ht="24" customHeight="1">
      <c r="A151" s="3031" t="s">
        <v>2900</v>
      </c>
      <c r="B151" s="3032"/>
      <c r="C151" s="3032"/>
      <c r="D151" s="3033"/>
      <c r="E151" s="3034"/>
      <c r="F151" s="3000"/>
      <c r="G151" s="3000"/>
      <c r="H151" s="3000"/>
      <c r="I151" s="2544" t="s">
        <v>2993</v>
      </c>
      <c r="J151" s="2545" t="s">
        <v>2993</v>
      </c>
      <c r="K151" s="2546" t="s">
        <v>5147</v>
      </c>
      <c r="L151" s="2547"/>
      <c r="M151" s="2548" t="s">
        <v>2993</v>
      </c>
      <c r="N151" s="3035"/>
      <c r="O151" s="3000"/>
      <c r="P151" s="3000"/>
      <c r="Q151" s="3000"/>
      <c r="R151" s="3000"/>
      <c r="S151" s="3001"/>
    </row>
    <row r="152" spans="1:24" s="2276" customFormat="1" ht="12" customHeight="1">
      <c r="G152" s="304"/>
      <c r="H152" s="304"/>
      <c r="I152" s="304"/>
      <c r="J152" s="2277"/>
      <c r="K152" s="319" t="s">
        <v>539</v>
      </c>
      <c r="L152" s="545">
        <f>SUM(L139:S151)</f>
        <v>1</v>
      </c>
      <c r="M152" s="2277"/>
      <c r="P152" s="302"/>
    </row>
    <row r="153" spans="1:24" ht="11.25" customHeight="1">
      <c r="A153" s="321" t="s">
        <v>530</v>
      </c>
      <c r="B153" s="332"/>
      <c r="C153" s="321" t="s">
        <v>572</v>
      </c>
      <c r="N153" s="321" t="s">
        <v>530</v>
      </c>
      <c r="O153" s="321" t="s">
        <v>79</v>
      </c>
    </row>
    <row r="154" spans="1:24" ht="60" customHeight="1">
      <c r="A154" s="3036"/>
      <c r="B154" s="3037"/>
      <c r="C154" s="3037"/>
      <c r="D154" s="3037"/>
      <c r="E154" s="3037"/>
      <c r="F154" s="3037"/>
      <c r="G154" s="3037"/>
      <c r="H154" s="3037"/>
      <c r="I154" s="3037"/>
      <c r="J154" s="3037"/>
      <c r="K154" s="3037"/>
      <c r="L154" s="3037"/>
      <c r="M154" s="3038"/>
      <c r="N154" s="3039"/>
      <c r="O154" s="3040"/>
      <c r="P154" s="3040"/>
      <c r="Q154" s="3040"/>
      <c r="R154" s="3040"/>
      <c r="S154" s="3041"/>
      <c r="T154" s="2765" t="s">
        <v>2693</v>
      </c>
      <c r="U154" s="2765"/>
      <c r="V154" s="2765"/>
      <c r="W154" s="2765"/>
      <c r="X154" s="2765"/>
    </row>
    <row r="155" spans="1:24" s="294" customFormat="1" ht="12" customHeight="1">
      <c r="A155" s="299"/>
      <c r="B155" s="312"/>
      <c r="C155" s="312"/>
      <c r="D155" s="312"/>
      <c r="E155" s="312"/>
      <c r="F155" s="312"/>
      <c r="G155" s="312"/>
      <c r="H155" s="312"/>
      <c r="I155" s="312"/>
      <c r="J155" s="312"/>
      <c r="K155" s="312"/>
      <c r="L155" s="312"/>
      <c r="M155" s="312"/>
      <c r="N155" s="312"/>
      <c r="O155" s="312"/>
      <c r="T155" s="2765"/>
      <c r="U155" s="2765"/>
      <c r="V155" s="2765"/>
      <c r="W155" s="2765"/>
      <c r="X155" s="2765"/>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9"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0" t="s">
        <v>838</v>
      </c>
    </row>
    <row r="161" spans="1:16" s="294" customFormat="1" ht="12" customHeight="1">
      <c r="A161" s="333"/>
      <c r="B161" s="312"/>
      <c r="C161" s="312"/>
      <c r="D161" s="312"/>
      <c r="E161" s="312"/>
      <c r="F161" s="312"/>
      <c r="G161" s="312"/>
      <c r="H161" s="312"/>
      <c r="I161" s="312"/>
      <c r="J161" s="312"/>
      <c r="K161" s="312"/>
      <c r="L161" s="312"/>
      <c r="M161" s="312"/>
      <c r="N161" s="312"/>
      <c r="O161" s="312"/>
      <c r="P161" s="2550" t="s">
        <v>839</v>
      </c>
    </row>
    <row r="162" spans="1:16" s="294" customFormat="1" ht="12" customHeight="1">
      <c r="A162" s="333"/>
      <c r="B162" s="312"/>
      <c r="C162" s="312"/>
      <c r="D162" s="312"/>
      <c r="E162" s="312"/>
      <c r="F162" s="312"/>
      <c r="G162" s="312"/>
      <c r="H162" s="312"/>
      <c r="I162" s="312"/>
      <c r="J162" s="312"/>
      <c r="K162" s="312"/>
      <c r="L162" s="312"/>
      <c r="M162" s="312"/>
      <c r="N162" s="312"/>
      <c r="O162" s="312"/>
      <c r="P162" s="2550" t="s">
        <v>840</v>
      </c>
    </row>
    <row r="163" spans="1:16" s="294" customFormat="1" ht="12" customHeight="1">
      <c r="A163" s="480"/>
      <c r="B163" s="312"/>
      <c r="C163" s="312"/>
      <c r="D163" s="312"/>
      <c r="E163" s="312"/>
      <c r="F163" s="312"/>
      <c r="G163" s="312"/>
      <c r="H163" s="312"/>
      <c r="I163" s="312"/>
      <c r="J163" s="312"/>
      <c r="K163" s="312"/>
      <c r="L163" s="312"/>
      <c r="M163" s="312"/>
      <c r="N163" s="312"/>
      <c r="O163" s="312"/>
      <c r="P163" s="2550" t="s">
        <v>841</v>
      </c>
    </row>
    <row r="164" spans="1:16" s="294" customFormat="1" ht="12" customHeight="1">
      <c r="B164" s="312"/>
      <c r="C164" s="312"/>
      <c r="D164" s="312"/>
      <c r="E164" s="312"/>
      <c r="F164" s="312"/>
      <c r="G164" s="312"/>
      <c r="H164" s="312"/>
      <c r="I164" s="312"/>
      <c r="J164" s="312"/>
      <c r="K164" s="312"/>
      <c r="L164" s="312"/>
      <c r="M164" s="312"/>
      <c r="N164" s="312"/>
      <c r="O164" s="312"/>
      <c r="P164" s="2550" t="s">
        <v>842</v>
      </c>
    </row>
    <row r="165" spans="1:16" s="294" customFormat="1" ht="12" customHeight="1">
      <c r="B165" s="312"/>
      <c r="C165" s="312"/>
      <c r="D165" s="312"/>
      <c r="E165" s="312"/>
      <c r="F165" s="312"/>
      <c r="G165" s="312"/>
      <c r="H165" s="312"/>
      <c r="I165" s="312"/>
      <c r="J165" s="312"/>
      <c r="K165" s="312"/>
      <c r="L165" s="312"/>
      <c r="M165" s="312"/>
      <c r="N165" s="312"/>
      <c r="O165" s="312"/>
      <c r="P165" s="2550" t="s">
        <v>843</v>
      </c>
    </row>
    <row r="166" spans="1:16" s="294" customFormat="1" ht="12" customHeight="1">
      <c r="B166" s="312"/>
      <c r="C166" s="312"/>
      <c r="D166" s="312"/>
      <c r="E166" s="312"/>
      <c r="F166" s="312"/>
      <c r="G166" s="312"/>
      <c r="H166" s="312"/>
      <c r="I166" s="312"/>
      <c r="J166" s="312"/>
      <c r="K166" s="312"/>
      <c r="L166" s="312"/>
      <c r="M166" s="312"/>
      <c r="N166" s="312"/>
      <c r="O166" s="312"/>
      <c r="P166" s="2550" t="s">
        <v>844</v>
      </c>
    </row>
    <row r="167" spans="1:16" s="294" customFormat="1" ht="12" customHeight="1">
      <c r="B167" s="312"/>
      <c r="C167" s="312"/>
      <c r="D167" s="312"/>
      <c r="E167" s="312"/>
      <c r="F167" s="312"/>
      <c r="G167" s="312"/>
      <c r="H167" s="312"/>
      <c r="I167" s="312"/>
      <c r="J167" s="312"/>
      <c r="K167" s="312"/>
      <c r="L167" s="312"/>
      <c r="M167" s="312"/>
      <c r="N167" s="312"/>
      <c r="O167" s="312"/>
      <c r="P167" s="2550" t="s">
        <v>845</v>
      </c>
    </row>
    <row r="168" spans="1:16" ht="12" customHeight="1">
      <c r="P168" s="2550" t="s">
        <v>846</v>
      </c>
    </row>
    <row r="169" spans="1:16" ht="12" customHeight="1">
      <c r="A169" s="321"/>
      <c r="P169" s="2550" t="s">
        <v>847</v>
      </c>
    </row>
    <row r="170" spans="1:16" ht="12" customHeight="1">
      <c r="P170" s="2550" t="s">
        <v>848</v>
      </c>
    </row>
    <row r="171" spans="1:16" ht="12" customHeight="1">
      <c r="P171" s="2550" t="s">
        <v>849</v>
      </c>
    </row>
    <row r="172" spans="1:16" ht="12" customHeight="1">
      <c r="P172" s="2550" t="s">
        <v>850</v>
      </c>
    </row>
    <row r="173" spans="1:16" ht="12" customHeight="1">
      <c r="P173" s="2550" t="s">
        <v>851</v>
      </c>
    </row>
    <row r="174" spans="1:16" ht="12" customHeight="1">
      <c r="P174" s="2550" t="s">
        <v>852</v>
      </c>
    </row>
    <row r="175" spans="1:16" ht="12" customHeight="1">
      <c r="P175" s="2550" t="s">
        <v>853</v>
      </c>
    </row>
    <row r="176" spans="1:16" ht="12" customHeight="1">
      <c r="P176" s="2550" t="s">
        <v>854</v>
      </c>
    </row>
    <row r="177" spans="16:16" ht="12" customHeight="1">
      <c r="P177" s="2550" t="s">
        <v>855</v>
      </c>
    </row>
    <row r="178" spans="16:16" ht="12" customHeight="1">
      <c r="P178" s="2550" t="s">
        <v>856</v>
      </c>
    </row>
    <row r="179" spans="16:16" ht="12" customHeight="1">
      <c r="P179" s="2550" t="s">
        <v>857</v>
      </c>
    </row>
    <row r="180" spans="16:16" ht="12" customHeight="1">
      <c r="P180" s="2550" t="s">
        <v>858</v>
      </c>
    </row>
    <row r="181" spans="16:16" ht="12" customHeight="1">
      <c r="P181" s="2550" t="s">
        <v>859</v>
      </c>
    </row>
    <row r="182" spans="16:16" ht="12" customHeight="1">
      <c r="P182" s="2550" t="s">
        <v>860</v>
      </c>
    </row>
    <row r="183" spans="16:16" ht="12" customHeight="1">
      <c r="P183" s="2550" t="s">
        <v>861</v>
      </c>
    </row>
    <row r="184" spans="16:16" ht="12" customHeight="1">
      <c r="P184" s="2550" t="s">
        <v>862</v>
      </c>
    </row>
    <row r="185" spans="16:16" ht="12" customHeight="1">
      <c r="P185" s="2550" t="s">
        <v>1341</v>
      </c>
    </row>
    <row r="186" spans="16:16" ht="12" customHeight="1">
      <c r="P186" s="2550" t="s">
        <v>1342</v>
      </c>
    </row>
    <row r="187" spans="16:16" ht="12" customHeight="1">
      <c r="P187" s="2550" t="s">
        <v>1343</v>
      </c>
    </row>
    <row r="188" spans="16:16" ht="12" customHeight="1">
      <c r="P188" s="2550" t="s">
        <v>1344</v>
      </c>
    </row>
    <row r="189" spans="16:16" ht="12" customHeight="1">
      <c r="P189" s="2550" t="s">
        <v>1345</v>
      </c>
    </row>
    <row r="190" spans="16:16">
      <c r="P190" s="2550" t="s">
        <v>1346</v>
      </c>
    </row>
    <row r="191" spans="16:16" ht="12" customHeight="1">
      <c r="P191" s="2550" t="s">
        <v>1347</v>
      </c>
    </row>
    <row r="192" spans="16:16" ht="12" customHeight="1">
      <c r="P192" s="2550" t="s">
        <v>1348</v>
      </c>
    </row>
    <row r="193" spans="16:16" ht="12" customHeight="1">
      <c r="P193" s="2550" t="s">
        <v>1349</v>
      </c>
    </row>
    <row r="194" spans="16:16" ht="12" customHeight="1">
      <c r="P194" s="2550" t="s">
        <v>1350</v>
      </c>
    </row>
    <row r="195" spans="16:16" ht="12" customHeight="1">
      <c r="P195" s="2550" t="s">
        <v>1351</v>
      </c>
    </row>
    <row r="196" spans="16:16" ht="12" customHeight="1">
      <c r="P196" s="2550" t="s">
        <v>1352</v>
      </c>
    </row>
    <row r="197" spans="16:16" ht="12" customHeight="1">
      <c r="P197" s="2550" t="s">
        <v>1353</v>
      </c>
    </row>
    <row r="198" spans="16:16" ht="12" customHeight="1">
      <c r="P198" s="2550" t="s">
        <v>1354</v>
      </c>
    </row>
    <row r="199" spans="16:16" ht="12" customHeight="1">
      <c r="P199" s="2550" t="s">
        <v>1355</v>
      </c>
    </row>
    <row r="200" spans="16:16" ht="12" customHeight="1">
      <c r="P200" s="2550" t="s">
        <v>1356</v>
      </c>
    </row>
    <row r="201" spans="16:16" ht="12" customHeight="1">
      <c r="P201" s="2550" t="s">
        <v>1357</v>
      </c>
    </row>
    <row r="202" spans="16:16" ht="12" customHeight="1">
      <c r="P202" s="2550" t="s">
        <v>1358</v>
      </c>
    </row>
    <row r="203" spans="16:16" ht="12" customHeight="1">
      <c r="P203" s="2550" t="s">
        <v>1359</v>
      </c>
    </row>
    <row r="204" spans="16:16" ht="12" customHeight="1">
      <c r="P204" s="2550" t="s">
        <v>1360</v>
      </c>
    </row>
    <row r="205" spans="16:16" ht="12" customHeight="1">
      <c r="P205" s="2550" t="s">
        <v>1361</v>
      </c>
    </row>
    <row r="206" spans="16:16" ht="12" customHeight="1">
      <c r="P206" s="2550" t="s">
        <v>1362</v>
      </c>
    </row>
    <row r="207" spans="16:16" ht="12" customHeight="1">
      <c r="P207" s="2550" t="s">
        <v>1363</v>
      </c>
    </row>
    <row r="208" spans="16:16" ht="12" customHeight="1">
      <c r="P208" s="2550" t="s">
        <v>1364</v>
      </c>
    </row>
    <row r="209" spans="16:16" ht="12" customHeight="1">
      <c r="P209" s="2550" t="s">
        <v>1365</v>
      </c>
    </row>
    <row r="210" spans="16:16" ht="12" customHeight="1">
      <c r="P210" s="2550" t="s">
        <v>1366</v>
      </c>
    </row>
  </sheetData>
  <sheetProtection algorithmName="SHA-512" hashValue="LmPgitHxQwwZKdutFi0gQrrRjPfKU/2JM0v1DqSPCNMyLRQ115cB2a87zKoRJywQpcMs9zV8PTCAs40BgKPTnA==" saltValue="uDBWYd3koe8XrmT3Hrcd2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9" zoomScaleNormal="100" workbookViewId="0">
      <selection activeCell="A19"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2964" t="str">
        <f>CONCATENATE("PART THREE - SOURCES OF FUNDS","  -  ",'Part I-Project Information'!$O$6," ",'Part I-Project Information'!$F$34,", ",'Part I-Project Information'!$F$38,", ",'Part I-Project Information'!$J$39," County")</f>
        <v>PART THREE - SOURCES OF FUNDS  -  2019-060 Dulles Park II, Gray, Jones County</v>
      </c>
      <c r="B1" s="2965"/>
      <c r="C1" s="2965"/>
      <c r="D1" s="2965"/>
      <c r="E1" s="2965"/>
      <c r="F1" s="2965"/>
      <c r="G1" s="2965"/>
      <c r="H1" s="2965"/>
      <c r="I1" s="2965"/>
      <c r="J1" s="2965"/>
      <c r="K1" s="2965"/>
      <c r="L1" s="2965"/>
      <c r="M1" s="2965"/>
      <c r="N1" s="2965"/>
      <c r="O1" s="2965"/>
      <c r="P1" s="2965"/>
      <c r="Q1" s="2966"/>
      <c r="S1" s="3051" t="str">
        <f>$A$1</f>
        <v>PART THREE - SOURCES OF FUNDS  -  2019-060 Dulles Park II, Gray, Jones County</v>
      </c>
      <c r="T1" s="3051"/>
    </row>
    <row r="2" spans="1:20" ht="17.7" customHeight="1">
      <c r="A2" s="312"/>
      <c r="B2" s="312"/>
      <c r="C2" s="312"/>
      <c r="D2" s="312"/>
      <c r="E2" s="312"/>
      <c r="F2" s="312"/>
      <c r="G2" s="1290"/>
      <c r="H2" s="1290"/>
      <c r="I2" s="1290"/>
      <c r="J2" s="1290"/>
      <c r="K2" s="1290"/>
      <c r="L2" s="1290"/>
    </row>
    <row r="3" spans="1:20" s="269" customFormat="1" ht="13.2" customHeight="1">
      <c r="A3" s="296" t="s">
        <v>616</v>
      </c>
      <c r="B3" s="304" t="s">
        <v>2491</v>
      </c>
      <c r="C3" s="294"/>
      <c r="D3" s="2276"/>
      <c r="E3" s="2276"/>
      <c r="F3" s="2276"/>
      <c r="G3" s="2276"/>
      <c r="L3" s="3065" t="str">
        <f>'Part I-Project Information'!$B$6</f>
        <v>May 2019</v>
      </c>
      <c r="M3" s="3066"/>
      <c r="N3" s="3066"/>
      <c r="O3" s="3066"/>
      <c r="P3" s="3067"/>
      <c r="S3" s="340" t="str">
        <f>B3</f>
        <v>GOVERNMENT FUNDING SOURCES  (check all that apply)</v>
      </c>
    </row>
    <row r="4" spans="1:20" s="269" customFormat="1" ht="15.75" customHeight="1">
      <c r="A4" s="321"/>
      <c r="B4" s="480"/>
      <c r="C4" s="315"/>
      <c r="D4" s="2276"/>
      <c r="E4" s="2276"/>
      <c r="F4" s="2276"/>
      <c r="G4" s="2276"/>
      <c r="S4" s="3052" t="s">
        <v>2683</v>
      </c>
      <c r="T4" s="3052"/>
    </row>
    <row r="5" spans="1:20" s="269" customFormat="1" ht="16.5" customHeight="1">
      <c r="A5" s="480"/>
      <c r="B5" s="2513" t="s">
        <v>2990</v>
      </c>
      <c r="C5" s="2264" t="s">
        <v>2410</v>
      </c>
      <c r="D5" s="294"/>
      <c r="E5" s="2513"/>
      <c r="F5" s="2264" t="s">
        <v>3720</v>
      </c>
      <c r="G5" s="294"/>
      <c r="H5" s="3060"/>
      <c r="I5" s="3061"/>
      <c r="L5" s="2513"/>
      <c r="M5" s="2264" t="s">
        <v>1537</v>
      </c>
      <c r="S5" s="3053"/>
      <c r="T5" s="3054"/>
    </row>
    <row r="6" spans="1:20" s="269" customFormat="1" ht="16.5" customHeight="1">
      <c r="A6" s="480"/>
      <c r="B6" s="2486"/>
      <c r="C6" s="2264" t="s">
        <v>5000</v>
      </c>
      <c r="D6" s="294"/>
      <c r="E6" s="2498"/>
      <c r="F6" s="2264" t="s">
        <v>3721</v>
      </c>
      <c r="H6" s="3062"/>
      <c r="I6" s="3063"/>
      <c r="L6" s="2486"/>
      <c r="M6" s="2264" t="s">
        <v>549</v>
      </c>
      <c r="S6" s="3042"/>
      <c r="T6" s="3043"/>
    </row>
    <row r="7" spans="1:20" s="269" customFormat="1" ht="16.5" customHeight="1">
      <c r="A7" s="294"/>
      <c r="B7" s="2486"/>
      <c r="C7" s="2264" t="s">
        <v>551</v>
      </c>
      <c r="F7" s="294" t="s">
        <v>4999</v>
      </c>
      <c r="H7" s="3068" t="s">
        <v>3450</v>
      </c>
      <c r="I7" s="3069"/>
      <c r="J7" s="3059"/>
      <c r="L7" s="2486"/>
      <c r="M7" s="2266" t="s">
        <v>3617</v>
      </c>
      <c r="S7" s="3042"/>
      <c r="T7" s="3043"/>
    </row>
    <row r="8" spans="1:20" s="269" customFormat="1" ht="16.5" customHeight="1">
      <c r="A8" s="480"/>
      <c r="B8" s="2486"/>
      <c r="C8" s="2264" t="s">
        <v>2601</v>
      </c>
      <c r="E8" s="2513"/>
      <c r="F8" s="2266" t="s">
        <v>2609</v>
      </c>
      <c r="L8" s="2486"/>
      <c r="M8" s="2266" t="s">
        <v>5001</v>
      </c>
      <c r="S8" s="3044"/>
      <c r="T8" s="3045"/>
    </row>
    <row r="9" spans="1:20" s="269" customFormat="1" ht="16.5" customHeight="1">
      <c r="A9" s="480"/>
      <c r="B9" s="2486"/>
      <c r="C9" s="2264" t="s">
        <v>2602</v>
      </c>
      <c r="E9" s="2486"/>
      <c r="F9" s="2266" t="s">
        <v>3719</v>
      </c>
      <c r="H9" s="3057" t="s">
        <v>3868</v>
      </c>
      <c r="I9" s="3058"/>
      <c r="J9" s="3059"/>
      <c r="L9" s="2486"/>
      <c r="M9" s="2264" t="s">
        <v>3678</v>
      </c>
      <c r="S9" s="3053"/>
      <c r="T9" s="3054"/>
    </row>
    <row r="10" spans="1:20" s="269" customFormat="1" ht="16.5" customHeight="1">
      <c r="A10" s="480"/>
      <c r="B10" s="2486"/>
      <c r="C10" s="2266" t="s">
        <v>3683</v>
      </c>
      <c r="E10" s="2551"/>
      <c r="F10" s="3064" t="s">
        <v>4714</v>
      </c>
      <c r="G10" s="2886"/>
      <c r="H10" s="2886"/>
      <c r="I10" s="2886"/>
      <c r="J10" s="2909"/>
      <c r="L10" s="2486"/>
      <c r="M10" s="294" t="s">
        <v>2610</v>
      </c>
      <c r="S10" s="3042"/>
      <c r="T10" s="3043"/>
    </row>
    <row r="11" spans="1:20" s="269" customFormat="1" ht="16.5" customHeight="1">
      <c r="A11" s="480"/>
      <c r="B11" s="2486"/>
      <c r="C11" s="294" t="s">
        <v>3883</v>
      </c>
      <c r="F11" s="3046" t="s">
        <v>4716</v>
      </c>
      <c r="G11" s="3047"/>
      <c r="H11" s="3047"/>
      <c r="I11" s="3047"/>
      <c r="J11" s="3048"/>
      <c r="L11" s="2486"/>
      <c r="M11" s="294" t="s">
        <v>3722</v>
      </c>
      <c r="S11" s="3042"/>
      <c r="T11" s="3043"/>
    </row>
    <row r="12" spans="1:20" s="269" customFormat="1" ht="16.5" customHeight="1">
      <c r="A12" s="480"/>
      <c r="B12" s="2486"/>
      <c r="C12" s="294" t="s">
        <v>2608</v>
      </c>
      <c r="E12" s="2552"/>
      <c r="F12" s="3064" t="s">
        <v>4715</v>
      </c>
      <c r="G12" s="2886"/>
      <c r="H12" s="2886"/>
      <c r="I12" s="2886"/>
      <c r="J12" s="2909"/>
      <c r="L12" s="2486"/>
      <c r="M12" s="294" t="s">
        <v>2796</v>
      </c>
      <c r="S12" s="3042"/>
      <c r="T12" s="3043"/>
    </row>
    <row r="13" spans="1:20" s="269" customFormat="1" ht="16.5" customHeight="1">
      <c r="A13" s="480"/>
      <c r="B13" s="2486"/>
      <c r="C13" s="294" t="s">
        <v>3717</v>
      </c>
      <c r="F13" s="3046" t="s">
        <v>4717</v>
      </c>
      <c r="G13" s="3047"/>
      <c r="H13" s="3047"/>
      <c r="I13" s="3047"/>
      <c r="J13" s="3048"/>
      <c r="L13" s="2486"/>
      <c r="M13" s="2266" t="s">
        <v>3882</v>
      </c>
      <c r="S13" s="3044"/>
      <c r="T13" s="3045"/>
    </row>
    <row r="14" spans="1:20" s="269" customFormat="1" ht="16.5" customHeight="1">
      <c r="A14" s="480"/>
      <c r="B14" s="2498"/>
      <c r="C14" s="2264" t="s">
        <v>1803</v>
      </c>
      <c r="E14" s="2485"/>
      <c r="F14" s="2264" t="s">
        <v>4998</v>
      </c>
      <c r="I14" s="3055"/>
      <c r="J14" s="3056"/>
      <c r="L14" s="2498"/>
      <c r="M14" s="289" t="s">
        <v>5003</v>
      </c>
    </row>
    <row r="15" spans="1:20" s="269" customFormat="1" ht="16.95" customHeight="1">
      <c r="A15" s="480"/>
      <c r="B15" s="269" t="s">
        <v>5002</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8" t="s">
        <v>2345</v>
      </c>
      <c r="C17" s="294"/>
      <c r="D17" s="2276"/>
      <c r="E17" s="294"/>
      <c r="F17" s="294"/>
      <c r="G17" s="294"/>
      <c r="H17" s="269"/>
      <c r="L17" s="294"/>
      <c r="M17" s="2276"/>
      <c r="N17" s="3049"/>
      <c r="O17" s="3049"/>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6.95" customHeight="1">
      <c r="A19" s="294"/>
      <c r="B19" s="2264" t="s">
        <v>1871</v>
      </c>
      <c r="C19" s="294"/>
      <c r="D19" s="294"/>
      <c r="E19" s="294"/>
      <c r="F19" s="294"/>
      <c r="G19" s="294"/>
      <c r="H19" s="3050" t="s">
        <v>1297</v>
      </c>
      <c r="I19" s="3050"/>
      <c r="J19" s="3050"/>
      <c r="K19" s="3050"/>
      <c r="L19" s="2804" t="s">
        <v>4954</v>
      </c>
      <c r="M19" s="2804"/>
      <c r="N19" s="2804" t="s">
        <v>1507</v>
      </c>
      <c r="O19" s="2804"/>
      <c r="P19" s="2804" t="s">
        <v>1630</v>
      </c>
      <c r="Q19" s="2804"/>
      <c r="S19" s="3052" t="s">
        <v>2683</v>
      </c>
      <c r="T19" s="3052"/>
    </row>
    <row r="20" spans="1:20" s="269" customFormat="1" ht="15.75" customHeight="1">
      <c r="A20" s="294"/>
      <c r="B20" s="3085" t="s">
        <v>1591</v>
      </c>
      <c r="C20" s="3086"/>
      <c r="D20" s="3086"/>
      <c r="E20" s="2274"/>
      <c r="F20" s="2274"/>
      <c r="G20" s="2274"/>
      <c r="H20" s="3087" t="s">
        <v>5149</v>
      </c>
      <c r="I20" s="3088"/>
      <c r="J20" s="3088"/>
      <c r="K20" s="3089"/>
      <c r="L20" s="3090">
        <v>6147213</v>
      </c>
      <c r="M20" s="3091"/>
      <c r="N20" s="3092">
        <v>0.06</v>
      </c>
      <c r="O20" s="3093"/>
      <c r="P20" s="3094">
        <v>18</v>
      </c>
      <c r="Q20" s="3095"/>
      <c r="S20" s="3053"/>
      <c r="T20" s="3054"/>
    </row>
    <row r="21" spans="1:20" s="269" customFormat="1" ht="15.75" customHeight="1">
      <c r="A21" s="294"/>
      <c r="B21" s="3096" t="s">
        <v>1592</v>
      </c>
      <c r="C21" s="3097"/>
      <c r="D21" s="3097"/>
      <c r="E21" s="2276"/>
      <c r="F21" s="2276"/>
      <c r="G21" s="2276"/>
      <c r="H21" s="3098"/>
      <c r="I21" s="3099"/>
      <c r="J21" s="3099"/>
      <c r="K21" s="3100"/>
      <c r="L21" s="3101"/>
      <c r="M21" s="3102"/>
      <c r="N21" s="3070"/>
      <c r="O21" s="3071"/>
      <c r="P21" s="3072"/>
      <c r="Q21" s="3073"/>
      <c r="S21" s="3042"/>
      <c r="T21" s="3043"/>
    </row>
    <row r="22" spans="1:20" s="269" customFormat="1" ht="15.75" customHeight="1">
      <c r="A22" s="294"/>
      <c r="B22" s="3074" t="s">
        <v>1593</v>
      </c>
      <c r="C22" s="3075"/>
      <c r="D22" s="3075"/>
      <c r="E22" s="2273"/>
      <c r="F22" s="2273"/>
      <c r="G22" s="2273"/>
      <c r="H22" s="3076"/>
      <c r="I22" s="3077"/>
      <c r="J22" s="3077"/>
      <c r="K22" s="3078"/>
      <c r="L22" s="3079"/>
      <c r="M22" s="3080"/>
      <c r="N22" s="3081"/>
      <c r="O22" s="3082"/>
      <c r="P22" s="3083"/>
      <c r="Q22" s="3084"/>
      <c r="S22" s="3042"/>
      <c r="T22" s="3043"/>
    </row>
    <row r="23" spans="1:20" s="269" customFormat="1" ht="15.75" customHeight="1">
      <c r="A23" s="294"/>
      <c r="B23" s="3085" t="s">
        <v>2215</v>
      </c>
      <c r="C23" s="3086"/>
      <c r="D23" s="3086"/>
      <c r="E23" s="2276"/>
      <c r="F23" s="2276"/>
      <c r="G23" s="2276"/>
      <c r="H23" s="3103"/>
      <c r="I23" s="3104"/>
      <c r="J23" s="3104"/>
      <c r="K23" s="3105"/>
      <c r="L23" s="3106"/>
      <c r="M23" s="3107"/>
      <c r="N23" s="3108"/>
      <c r="O23" s="3109"/>
      <c r="P23" s="3110"/>
      <c r="Q23" s="3110"/>
      <c r="S23" s="3042"/>
      <c r="T23" s="3043"/>
    </row>
    <row r="24" spans="1:20" s="269" customFormat="1" ht="15.75" customHeight="1">
      <c r="A24" s="294"/>
      <c r="B24" s="3096" t="s">
        <v>801</v>
      </c>
      <c r="C24" s="3097"/>
      <c r="D24" s="3097"/>
      <c r="E24" s="2276"/>
      <c r="H24" s="3098"/>
      <c r="I24" s="3099"/>
      <c r="J24" s="3099"/>
      <c r="K24" s="3100"/>
      <c r="L24" s="3101"/>
      <c r="M24" s="3102"/>
      <c r="N24" s="3108"/>
      <c r="O24" s="3109"/>
      <c r="P24" s="3110"/>
      <c r="Q24" s="3110"/>
      <c r="S24" s="3042"/>
      <c r="T24" s="3043"/>
    </row>
    <row r="25" spans="1:20" s="269" customFormat="1" ht="15.75" customHeight="1">
      <c r="A25" s="294"/>
      <c r="B25" s="3096" t="s">
        <v>641</v>
      </c>
      <c r="C25" s="3097"/>
      <c r="D25" s="3097"/>
      <c r="E25" s="2276"/>
      <c r="H25" s="3098"/>
      <c r="I25" s="3099"/>
      <c r="J25" s="3099"/>
      <c r="K25" s="3100"/>
      <c r="L25" s="3101"/>
      <c r="M25" s="3102"/>
      <c r="N25" s="3108"/>
      <c r="O25" s="3109"/>
      <c r="P25" s="3110"/>
      <c r="Q25" s="3110"/>
      <c r="S25" s="3042"/>
      <c r="T25" s="3043"/>
    </row>
    <row r="26" spans="1:20" s="269" customFormat="1" ht="15.75" customHeight="1">
      <c r="A26" s="294"/>
      <c r="B26" s="3096" t="s">
        <v>802</v>
      </c>
      <c r="C26" s="3097"/>
      <c r="D26" s="3097"/>
      <c r="E26" s="2276"/>
      <c r="H26" s="3098" t="s">
        <v>5128</v>
      </c>
      <c r="I26" s="3099"/>
      <c r="J26" s="3099"/>
      <c r="K26" s="3100"/>
      <c r="L26" s="3101">
        <v>1246852</v>
      </c>
      <c r="M26" s="3102"/>
      <c r="N26" s="294"/>
      <c r="Q26" s="294"/>
      <c r="S26" s="3044"/>
      <c r="T26" s="3045"/>
    </row>
    <row r="27" spans="1:20" s="269" customFormat="1" ht="15.75" customHeight="1">
      <c r="A27" s="294"/>
      <c r="B27" s="3096" t="s">
        <v>803</v>
      </c>
      <c r="C27" s="3097"/>
      <c r="D27" s="3097"/>
      <c r="E27" s="2276"/>
      <c r="H27" s="3098" t="s">
        <v>5128</v>
      </c>
      <c r="I27" s="3099"/>
      <c r="J27" s="3099"/>
      <c r="K27" s="3100"/>
      <c r="L27" s="3101">
        <v>553528</v>
      </c>
      <c r="M27" s="3102"/>
      <c r="N27" s="294"/>
      <c r="Q27" s="294"/>
      <c r="S27" s="3053"/>
      <c r="T27" s="3054"/>
    </row>
    <row r="28" spans="1:20" s="269" customFormat="1" ht="15.75" customHeight="1">
      <c r="A28" s="294"/>
      <c r="B28" s="2275" t="s">
        <v>242</v>
      </c>
      <c r="C28" s="2276"/>
      <c r="D28" s="3111" t="s">
        <v>5233</v>
      </c>
      <c r="E28" s="3111"/>
      <c r="F28" s="3111"/>
      <c r="G28" s="3111"/>
      <c r="H28" s="3098"/>
      <c r="I28" s="3099"/>
      <c r="J28" s="3099"/>
      <c r="K28" s="3100"/>
      <c r="L28" s="3101">
        <v>110</v>
      </c>
      <c r="M28" s="3102"/>
      <c r="N28" s="294"/>
      <c r="Q28" s="294"/>
      <c r="S28" s="3042"/>
      <c r="T28" s="3043"/>
    </row>
    <row r="29" spans="1:20" s="269" customFormat="1" ht="15.75" customHeight="1">
      <c r="A29" s="294"/>
      <c r="B29" s="2275" t="s">
        <v>242</v>
      </c>
      <c r="C29" s="2276"/>
      <c r="D29" s="3112"/>
      <c r="E29" s="3112"/>
      <c r="F29" s="3112"/>
      <c r="G29" s="3112"/>
      <c r="H29" s="3098"/>
      <c r="I29" s="3099"/>
      <c r="J29" s="3099"/>
      <c r="K29" s="3100"/>
      <c r="L29" s="3101"/>
      <c r="M29" s="3102"/>
      <c r="N29" s="294"/>
      <c r="S29" s="3042"/>
      <c r="T29" s="3043"/>
    </row>
    <row r="30" spans="1:20" s="269" customFormat="1" ht="15.75" customHeight="1">
      <c r="A30" s="294"/>
      <c r="B30" s="2272" t="s">
        <v>242</v>
      </c>
      <c r="C30" s="2273"/>
      <c r="D30" s="3113"/>
      <c r="E30" s="3113"/>
      <c r="F30" s="3113"/>
      <c r="G30" s="3113"/>
      <c r="H30" s="3076"/>
      <c r="I30" s="3077"/>
      <c r="J30" s="3077"/>
      <c r="K30" s="3078"/>
      <c r="L30" s="3079"/>
      <c r="M30" s="3080"/>
      <c r="N30" s="294"/>
      <c r="S30" s="3042"/>
      <c r="T30" s="3043"/>
    </row>
    <row r="31" spans="1:20" s="269" customFormat="1" ht="16.5" customHeight="1">
      <c r="A31" s="294"/>
      <c r="B31" s="2268" t="s">
        <v>1298</v>
      </c>
      <c r="C31" s="294"/>
      <c r="D31" s="294"/>
      <c r="E31" s="294"/>
      <c r="F31" s="294"/>
      <c r="G31" s="294"/>
      <c r="H31" s="294"/>
      <c r="I31" s="294"/>
      <c r="L31" s="3114">
        <f>SUM(L20:L30)</f>
        <v>7947703</v>
      </c>
      <c r="M31" s="3115"/>
      <c r="N31" s="312"/>
      <c r="S31" s="3042"/>
      <c r="T31" s="3043"/>
    </row>
    <row r="32" spans="1:20" s="269" customFormat="1" ht="16.5" customHeight="1">
      <c r="A32" s="294"/>
      <c r="B32" s="2264" t="s">
        <v>1299</v>
      </c>
      <c r="C32" s="294"/>
      <c r="D32" s="294"/>
      <c r="E32" s="294"/>
      <c r="F32" s="294"/>
      <c r="G32" s="294"/>
      <c r="H32" s="294"/>
      <c r="I32" s="294"/>
      <c r="L32" s="311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7947703</v>
      </c>
      <c r="M32" s="3117"/>
      <c r="N32" s="850"/>
      <c r="S32" s="3042"/>
      <c r="T32" s="3043"/>
    </row>
    <row r="33" spans="1:20" s="269" customFormat="1" ht="16.5" customHeight="1">
      <c r="A33" s="294"/>
      <c r="B33" s="2266" t="s">
        <v>2157</v>
      </c>
      <c r="C33" s="294"/>
      <c r="D33" s="294"/>
      <c r="E33" s="294"/>
      <c r="F33" s="294"/>
      <c r="G33" s="294"/>
      <c r="H33" s="294"/>
      <c r="I33" s="294"/>
      <c r="L33" s="3118">
        <f>L31-L32</f>
        <v>0</v>
      </c>
      <c r="M33" s="3119"/>
      <c r="N33" s="850"/>
      <c r="S33" s="3044"/>
      <c r="T33" s="3045"/>
    </row>
    <row r="34" spans="1:20" ht="9.6" customHeight="1">
      <c r="A34" s="321"/>
      <c r="B34" s="2268"/>
      <c r="C34" s="312"/>
      <c r="D34" s="312"/>
      <c r="E34" s="312"/>
      <c r="F34" s="312"/>
      <c r="G34" s="312"/>
      <c r="H34" s="312"/>
      <c r="I34" s="312"/>
      <c r="J34" s="312"/>
      <c r="K34" s="312"/>
      <c r="L34" s="312"/>
      <c r="M34" s="2277"/>
      <c r="N34" s="2277"/>
    </row>
    <row r="35" spans="1:20" ht="9.6" customHeight="1">
      <c r="A35" s="296" t="s">
        <v>742</v>
      </c>
      <c r="B35" s="2268" t="s">
        <v>800</v>
      </c>
      <c r="C35" s="312"/>
      <c r="D35" s="312"/>
      <c r="E35" s="312"/>
      <c r="F35" s="312"/>
      <c r="G35" s="312"/>
      <c r="H35" s="312"/>
      <c r="I35" s="312"/>
      <c r="J35" s="312"/>
      <c r="K35" s="312"/>
      <c r="L35" s="312"/>
      <c r="M35" s="2277"/>
      <c r="N35" s="2277"/>
      <c r="O35" s="312"/>
      <c r="S35" s="340" t="str">
        <f>B35</f>
        <v>PERMANENT FINANCING</v>
      </c>
    </row>
    <row r="36" spans="1:20" s="269" customFormat="1" ht="13.2" customHeight="1">
      <c r="A36" s="294"/>
      <c r="B36" s="294"/>
      <c r="C36" s="294"/>
      <c r="D36" s="294"/>
      <c r="E36" s="294"/>
      <c r="F36" s="2277"/>
      <c r="G36" s="2277"/>
      <c r="H36" s="3110"/>
      <c r="I36" s="3110"/>
      <c r="K36" s="366" t="s">
        <v>2099</v>
      </c>
      <c r="L36" s="2277" t="s">
        <v>1295</v>
      </c>
      <c r="M36" s="2277" t="s">
        <v>1300</v>
      </c>
      <c r="P36" s="3123" t="s">
        <v>34</v>
      </c>
      <c r="Q36" s="3123"/>
      <c r="S36" s="340"/>
    </row>
    <row r="37" spans="1:20" s="269" customFormat="1" ht="13.2" customHeight="1">
      <c r="A37" s="294"/>
      <c r="B37" s="2270" t="s">
        <v>1871</v>
      </c>
      <c r="C37" s="2273"/>
      <c r="D37" s="2273"/>
      <c r="E37" s="2838" t="s">
        <v>1297</v>
      </c>
      <c r="F37" s="2838"/>
      <c r="G37" s="2838"/>
      <c r="H37" s="2838"/>
      <c r="I37" s="2804" t="s">
        <v>4953</v>
      </c>
      <c r="J37" s="2804"/>
      <c r="K37" s="2263" t="s">
        <v>1806</v>
      </c>
      <c r="L37" s="2263" t="s">
        <v>2214</v>
      </c>
      <c r="M37" s="2263" t="s">
        <v>2214</v>
      </c>
      <c r="N37" s="2804" t="s">
        <v>74</v>
      </c>
      <c r="O37" s="2804"/>
      <c r="P37" s="3124"/>
      <c r="Q37" s="3124"/>
      <c r="S37" s="3052" t="s">
        <v>2683</v>
      </c>
      <c r="T37" s="3052"/>
    </row>
    <row r="38" spans="1:20" s="269" customFormat="1" ht="15.75" customHeight="1">
      <c r="A38" s="294"/>
      <c r="B38" s="3085" t="s">
        <v>2614</v>
      </c>
      <c r="C38" s="3086"/>
      <c r="D38" s="3086"/>
      <c r="E38" s="3087"/>
      <c r="F38" s="3088"/>
      <c r="G38" s="3088"/>
      <c r="H38" s="3089"/>
      <c r="I38" s="3149"/>
      <c r="J38" s="3150"/>
      <c r="K38" s="2553"/>
      <c r="L38" s="2497"/>
      <c r="M38" s="2497"/>
      <c r="N38" s="3126"/>
      <c r="O38" s="3126"/>
      <c r="P38" s="3151" t="str">
        <f>IF(OR(I38&lt;=0,I38=""),"",IF(N38="Cash Flow",0,IF(N38="Amortizing",-PMT(K38/12,M38*12,I38,0,0)*12,"")))</f>
        <v/>
      </c>
      <c r="Q38" s="3151"/>
      <c r="S38" s="3053"/>
      <c r="T38" s="3054"/>
    </row>
    <row r="39" spans="1:20" s="269" customFormat="1" ht="15.75" customHeight="1">
      <c r="A39" s="294"/>
      <c r="B39" s="3096" t="s">
        <v>2615</v>
      </c>
      <c r="C39" s="3097"/>
      <c r="D39" s="3097"/>
      <c r="E39" s="3098"/>
      <c r="F39" s="3099"/>
      <c r="G39" s="3099"/>
      <c r="H39" s="3100"/>
      <c r="I39" s="3120"/>
      <c r="J39" s="3121"/>
      <c r="K39" s="2554"/>
      <c r="L39" s="2486"/>
      <c r="M39" s="2486"/>
      <c r="N39" s="3125"/>
      <c r="O39" s="3125"/>
      <c r="P39" s="3122" t="str">
        <f>IF(OR(I39&lt;=0,I39=""),"",IF(N39="Cash Flow",0,IF(N39="Amortizing",-PMT(K39/12,M39*12,I39,0,0)*12,"")))</f>
        <v/>
      </c>
      <c r="Q39" s="3122"/>
      <c r="S39" s="3042"/>
      <c r="T39" s="3043"/>
    </row>
    <row r="40" spans="1:20" s="269" customFormat="1" ht="15.75" customHeight="1">
      <c r="A40" s="294"/>
      <c r="B40" s="3096" t="s">
        <v>2616</v>
      </c>
      <c r="C40" s="3097"/>
      <c r="D40" s="3097"/>
      <c r="E40" s="3098"/>
      <c r="F40" s="3099"/>
      <c r="G40" s="3099"/>
      <c r="H40" s="3100"/>
      <c r="I40" s="3120"/>
      <c r="J40" s="3121"/>
      <c r="K40" s="2554"/>
      <c r="L40" s="2486"/>
      <c r="M40" s="2486"/>
      <c r="N40" s="3125"/>
      <c r="O40" s="3125"/>
      <c r="P40" s="3122" t="str">
        <f>IF(OR(I40&lt;=0,I40=""),"",IF(N40="Cash Flow",0,IF(N40="Amortizing",-PMT(K40/12,M40*12,I40,0,0)*12,"")))</f>
        <v/>
      </c>
      <c r="Q40" s="3122"/>
      <c r="S40" s="3042"/>
      <c r="T40" s="3043"/>
    </row>
    <row r="41" spans="1:20" s="269" customFormat="1" ht="15.75" customHeight="1">
      <c r="A41" s="294"/>
      <c r="B41" s="2275" t="s">
        <v>741</v>
      </c>
      <c r="C41" s="3135"/>
      <c r="D41" s="3136"/>
      <c r="E41" s="3098"/>
      <c r="F41" s="3099"/>
      <c r="G41" s="3099"/>
      <c r="H41" s="3100"/>
      <c r="I41" s="3137"/>
      <c r="J41" s="3138"/>
      <c r="K41" s="2555"/>
      <c r="L41" s="2498"/>
      <c r="M41" s="2498"/>
      <c r="N41" s="3140"/>
      <c r="O41" s="3140"/>
      <c r="P41" s="3139" t="str">
        <f>IF(OR(I41&lt;=0,I41=""),"",IF(N41="Cash Flow",0,IF(N41="Amortizing",-PMT(K41/12,M41*12,I41,0,0)*12,"")))</f>
        <v/>
      </c>
      <c r="Q41" s="3139"/>
      <c r="S41" s="3042"/>
      <c r="T41" s="3043"/>
    </row>
    <row r="42" spans="1:20" s="269" customFormat="1" ht="15.75" customHeight="1">
      <c r="A42" s="294"/>
      <c r="B42" s="2275" t="s">
        <v>2749</v>
      </c>
      <c r="C42" s="2276"/>
      <c r="D42" s="2281"/>
      <c r="E42" s="3098"/>
      <c r="F42" s="3099"/>
      <c r="G42" s="3099"/>
      <c r="H42" s="3100"/>
      <c r="I42" s="3120"/>
      <c r="J42" s="3121"/>
      <c r="K42" s="459"/>
      <c r="L42" s="2279"/>
      <c r="M42" s="2279"/>
      <c r="N42" s="3142"/>
      <c r="O42" s="3142"/>
      <c r="P42" s="3141"/>
      <c r="Q42" s="3141"/>
      <c r="S42" s="3042"/>
      <c r="T42" s="3043"/>
    </row>
    <row r="43" spans="1:20" s="269" customFormat="1" ht="15.75" customHeight="1">
      <c r="A43" s="294"/>
      <c r="B43" s="2272" t="s">
        <v>228</v>
      </c>
      <c r="C43" s="2273"/>
      <c r="D43" s="367">
        <f>IF(OR(I43="",I43=0,'Part IV-A-Uses of Funds'!$G$118="",'Part IV-A-Uses of Funds'!$G$118=0),"",I43/'Part IV-A-Uses of Funds'!$G$118)</f>
        <v>1.0240903774491581E-2</v>
      </c>
      <c r="E43" s="3076" t="s">
        <v>5231</v>
      </c>
      <c r="F43" s="3077"/>
      <c r="G43" s="3077"/>
      <c r="H43" s="3078"/>
      <c r="I43" s="3127">
        <v>11295</v>
      </c>
      <c r="J43" s="3128"/>
      <c r="K43" s="2556">
        <v>0</v>
      </c>
      <c r="L43" s="2485">
        <v>15</v>
      </c>
      <c r="M43" s="2485"/>
      <c r="N43" s="3131" t="s">
        <v>1164</v>
      </c>
      <c r="O43" s="3132"/>
      <c r="P43" s="3129">
        <f>IF(OR(I43&lt;=0,I43=""),"",IF(N43="Cash Flow",0,IF(N43="Amortizing",-PMT(K43/12,M43*12,I43,0,0)*12,"")))</f>
        <v>0</v>
      </c>
      <c r="Q43" s="3130"/>
      <c r="S43" s="3042"/>
      <c r="T43" s="3043"/>
    </row>
    <row r="44" spans="1:20" s="269" customFormat="1" ht="3" customHeight="1">
      <c r="A44" s="294"/>
      <c r="B44" s="294"/>
      <c r="C44" s="294"/>
      <c r="D44" s="294"/>
      <c r="E44" s="294"/>
      <c r="F44" s="294"/>
      <c r="G44" s="294"/>
      <c r="H44" s="294"/>
      <c r="I44" s="2257"/>
      <c r="J44" s="2557"/>
      <c r="K44" s="2259"/>
      <c r="L44" s="2277"/>
      <c r="M44" s="2277"/>
      <c r="N44" s="2260"/>
      <c r="O44" s="2260"/>
      <c r="P44" s="2277"/>
      <c r="Q44" s="2277"/>
      <c r="S44" s="3042"/>
      <c r="T44" s="3043"/>
    </row>
    <row r="45" spans="1:20" s="269" customFormat="1" ht="14.25" customHeight="1">
      <c r="A45" s="294"/>
      <c r="B45" s="1067" t="s">
        <v>4179</v>
      </c>
      <c r="C45" s="2276"/>
      <c r="E45" s="269" t="s">
        <v>4081</v>
      </c>
      <c r="F45" s="3133">
        <f>IF(OR($I$43="",$I$43=0,'Part VII-Pro Forma'!$S$35=0,'Part VII-Pro Forma'!$S$35=""),"",VLOOKUP($L$43,'Part VII-Pro Forma'!$Q$20:$S$40,3))</f>
        <v>670737.04444887314</v>
      </c>
      <c r="G45" s="3134"/>
      <c r="H45" s="608" t="s">
        <v>4178</v>
      </c>
      <c r="I45" s="3133">
        <f>IF(OR($I$43="",$I$43=0,'Part VII-Pro Forma'!$R$35=0,'Part VII-Pro Forma'!$R$35=""),"",VLOOKUP($L$43,'Part VII-Pro Forma'!$Q$20:$S$35,2))</f>
        <v>11295</v>
      </c>
      <c r="J45" s="3134"/>
      <c r="K45" s="608" t="s">
        <v>4180</v>
      </c>
      <c r="L45" s="3143">
        <f>IF(OR($F$45 = 0,$F$45 =""),"",$I$45/$F$45)</f>
        <v>1.6839684185448265E-2</v>
      </c>
      <c r="M45" s="3144"/>
      <c r="N45" s="3147" t="s">
        <v>4965</v>
      </c>
      <c r="O45" s="3148"/>
      <c r="P45" s="3145">
        <f>IF(OR($I$60=0,$I$58&gt;$I$59),0,ABS($I$58-$I$59))</f>
        <v>0</v>
      </c>
      <c r="Q45" s="3146"/>
      <c r="S45" s="3042"/>
      <c r="T45" s="3043"/>
    </row>
    <row r="46" spans="1:20" s="269" customFormat="1" ht="3" customHeight="1">
      <c r="A46" s="294"/>
      <c r="B46" s="294"/>
      <c r="C46" s="294"/>
      <c r="D46" s="294"/>
      <c r="E46" s="294"/>
      <c r="F46" s="294"/>
      <c r="G46" s="294"/>
      <c r="H46" s="294"/>
      <c r="I46" s="2558"/>
      <c r="J46" s="2559"/>
      <c r="K46" s="2259"/>
      <c r="L46" s="2277"/>
      <c r="M46" s="2277"/>
      <c r="N46" s="2260"/>
      <c r="O46" s="2260"/>
      <c r="P46" s="2277"/>
      <c r="Q46" s="2277"/>
      <c r="S46" s="3044"/>
      <c r="T46" s="3045"/>
    </row>
    <row r="47" spans="1:20" s="269" customFormat="1" ht="15.75" customHeight="1">
      <c r="A47" s="294"/>
      <c r="B47" s="3152" t="s">
        <v>2215</v>
      </c>
      <c r="C47" s="3153"/>
      <c r="D47" s="3154"/>
      <c r="E47" s="3087"/>
      <c r="F47" s="3088"/>
      <c r="G47" s="3088"/>
      <c r="H47" s="3089"/>
      <c r="I47" s="3155"/>
      <c r="J47" s="3156"/>
      <c r="K47" s="368"/>
      <c r="L47" s="368"/>
      <c r="M47" s="368"/>
      <c r="N47" s="368"/>
      <c r="O47" s="368"/>
      <c r="P47" s="368"/>
      <c r="Q47" s="368"/>
      <c r="S47" s="3053"/>
      <c r="T47" s="3054"/>
    </row>
    <row r="48" spans="1:20" s="269" customFormat="1" ht="15.75" customHeight="1">
      <c r="A48" s="294"/>
      <c r="B48" s="3096" t="s">
        <v>801</v>
      </c>
      <c r="C48" s="3097"/>
      <c r="D48" s="3157"/>
      <c r="E48" s="3098"/>
      <c r="F48" s="3099"/>
      <c r="G48" s="3099"/>
      <c r="H48" s="3100"/>
      <c r="I48" s="3120"/>
      <c r="J48" s="3121"/>
      <c r="L48" s="3158" t="s">
        <v>517</v>
      </c>
      <c r="M48" s="3158"/>
      <c r="N48" s="3159" t="s">
        <v>518</v>
      </c>
      <c r="O48" s="3159"/>
      <c r="P48" s="399" t="s">
        <v>516</v>
      </c>
      <c r="Q48" s="368"/>
      <c r="S48" s="3042"/>
      <c r="T48" s="3043"/>
    </row>
    <row r="49" spans="1:23" s="269" customFormat="1" ht="15.75" customHeight="1">
      <c r="A49" s="294"/>
      <c r="B49" s="3096" t="s">
        <v>802</v>
      </c>
      <c r="C49" s="3097"/>
      <c r="D49" s="3157"/>
      <c r="E49" s="3098" t="s">
        <v>5150</v>
      </c>
      <c r="F49" s="3099"/>
      <c r="G49" s="3099"/>
      <c r="H49" s="3100"/>
      <c r="I49" s="3120">
        <v>6234255</v>
      </c>
      <c r="J49" s="3120"/>
      <c r="L49" s="3160">
        <f>'Part IV-A-Uses of Funds'!$J$175*10*'Part IV-A-Uses of Funds'!$N$168</f>
        <v>6298500</v>
      </c>
      <c r="M49" s="3160"/>
      <c r="N49" s="3161">
        <f>I49-L49</f>
        <v>-64245</v>
      </c>
      <c r="O49" s="3161"/>
      <c r="P49" s="400" t="s">
        <v>2560</v>
      </c>
      <c r="Q49" s="368"/>
      <c r="S49" s="3042"/>
      <c r="T49" s="3043"/>
    </row>
    <row r="50" spans="1:23" s="269" customFormat="1" ht="15.75" customHeight="1">
      <c r="A50" s="294"/>
      <c r="B50" s="3096" t="s">
        <v>803</v>
      </c>
      <c r="C50" s="3097"/>
      <c r="D50" s="3157"/>
      <c r="E50" s="3098" t="s">
        <v>5150</v>
      </c>
      <c r="F50" s="3099"/>
      <c r="G50" s="3099"/>
      <c r="H50" s="3100"/>
      <c r="I50" s="3120">
        <v>2767635</v>
      </c>
      <c r="J50" s="3120"/>
      <c r="L50" s="3160">
        <f>'Part IV-A-Uses of Funds'!$J$175*10*'Part IV-A-Uses of Funds'!$Q$168</f>
        <v>2704650</v>
      </c>
      <c r="M50" s="3160"/>
      <c r="N50" s="3161">
        <f>I50-L50</f>
        <v>62985</v>
      </c>
      <c r="O50" s="3161"/>
      <c r="P50" s="401">
        <f>I49/I59</f>
        <v>0.69167324491209925</v>
      </c>
      <c r="Q50" s="368"/>
      <c r="S50" s="3042"/>
      <c r="T50" s="3043"/>
    </row>
    <row r="51" spans="1:23" s="269" customFormat="1" ht="15.75" customHeight="1">
      <c r="A51" s="294"/>
      <c r="B51" s="3096" t="s">
        <v>1410</v>
      </c>
      <c r="C51" s="3097"/>
      <c r="D51" s="3157"/>
      <c r="E51" s="3098"/>
      <c r="F51" s="3099"/>
      <c r="G51" s="3099"/>
      <c r="H51" s="3100"/>
      <c r="I51" s="3120"/>
      <c r="J51" s="3120"/>
      <c r="P51" s="401">
        <f>I50/I59</f>
        <v>0.30706140207327065</v>
      </c>
      <c r="Q51" s="368"/>
      <c r="S51" s="3044"/>
      <c r="T51" s="3045"/>
    </row>
    <row r="52" spans="1:23" s="269" customFormat="1" ht="15.75" customHeight="1">
      <c r="A52" s="294"/>
      <c r="B52" s="2275" t="s">
        <v>531</v>
      </c>
      <c r="C52" s="2276"/>
      <c r="D52" s="2281"/>
      <c r="E52" s="3098"/>
      <c r="F52" s="3099"/>
      <c r="G52" s="3099"/>
      <c r="H52" s="3100"/>
      <c r="I52" s="3120"/>
      <c r="J52" s="3120"/>
      <c r="K52" s="294"/>
      <c r="P52" s="402">
        <f>SUM(P50:P51)</f>
        <v>0.99873464698536996</v>
      </c>
      <c r="Q52" s="368"/>
      <c r="S52" s="3042"/>
      <c r="T52" s="3043"/>
    </row>
    <row r="53" spans="1:23" s="269" customFormat="1" ht="15.75" customHeight="1">
      <c r="A53" s="294"/>
      <c r="B53" s="2275" t="s">
        <v>1869</v>
      </c>
      <c r="C53" s="2276"/>
      <c r="D53" s="2281"/>
      <c r="E53" s="3098"/>
      <c r="F53" s="3099"/>
      <c r="G53" s="3099"/>
      <c r="H53" s="3100"/>
      <c r="I53" s="3120"/>
      <c r="J53" s="3120"/>
      <c r="N53" s="369"/>
      <c r="O53" s="369"/>
      <c r="P53" s="369"/>
      <c r="Q53" s="368"/>
      <c r="S53" s="3042"/>
      <c r="T53" s="3043"/>
    </row>
    <row r="54" spans="1:23" s="269" customFormat="1" ht="15.75" customHeight="1">
      <c r="A54" s="294"/>
      <c r="B54" s="2275" t="s">
        <v>1870</v>
      </c>
      <c r="C54" s="2276"/>
      <c r="D54" s="2281"/>
      <c r="E54" s="3098"/>
      <c r="F54" s="3099"/>
      <c r="G54" s="3099"/>
      <c r="H54" s="3100"/>
      <c r="I54" s="3120"/>
      <c r="J54" s="3120"/>
      <c r="M54" s="369"/>
      <c r="N54" s="369"/>
      <c r="O54" s="369"/>
      <c r="P54" s="369"/>
      <c r="Q54" s="368"/>
      <c r="S54" s="3042"/>
      <c r="T54" s="3043"/>
    </row>
    <row r="55" spans="1:23" s="269" customFormat="1" ht="15.75" customHeight="1">
      <c r="A55" s="294"/>
      <c r="B55" s="2275" t="s">
        <v>741</v>
      </c>
      <c r="C55" s="3111" t="s">
        <v>5233</v>
      </c>
      <c r="D55" s="3111"/>
      <c r="E55" s="3098"/>
      <c r="F55" s="3099"/>
      <c r="G55" s="3099"/>
      <c r="H55" s="3100"/>
      <c r="I55" s="3120">
        <v>110</v>
      </c>
      <c r="J55" s="3120"/>
      <c r="M55" s="369"/>
      <c r="N55" s="369"/>
      <c r="O55" s="369"/>
      <c r="P55" s="369"/>
      <c r="Q55" s="368"/>
      <c r="S55" s="3042"/>
      <c r="T55" s="3043"/>
    </row>
    <row r="56" spans="1:23" s="269" customFormat="1" ht="15.75" customHeight="1">
      <c r="A56" s="294"/>
      <c r="B56" s="2275" t="s">
        <v>741</v>
      </c>
      <c r="C56" s="3112"/>
      <c r="D56" s="3112"/>
      <c r="E56" s="3098"/>
      <c r="F56" s="3099"/>
      <c r="G56" s="3099"/>
      <c r="H56" s="3100"/>
      <c r="I56" s="3120"/>
      <c r="J56" s="3120"/>
      <c r="K56" s="294"/>
      <c r="L56" s="370"/>
      <c r="M56" s="369"/>
      <c r="N56" s="369"/>
      <c r="O56" s="369"/>
      <c r="P56" s="369"/>
      <c r="Q56" s="368"/>
      <c r="S56" s="3042"/>
      <c r="T56" s="3043"/>
    </row>
    <row r="57" spans="1:23" s="269" customFormat="1" ht="15.75" customHeight="1">
      <c r="A57" s="294"/>
      <c r="B57" s="2272" t="s">
        <v>741</v>
      </c>
      <c r="C57" s="3113"/>
      <c r="D57" s="3113"/>
      <c r="E57" s="3076"/>
      <c r="F57" s="3077"/>
      <c r="G57" s="3077"/>
      <c r="H57" s="3078"/>
      <c r="I57" s="3163"/>
      <c r="J57" s="3163"/>
      <c r="K57" s="294"/>
      <c r="L57" s="370"/>
      <c r="M57" s="369"/>
      <c r="N57" s="369"/>
      <c r="O57" s="369"/>
      <c r="P57" s="369"/>
      <c r="Q57" s="368"/>
      <c r="S57" s="3042"/>
      <c r="T57" s="3043"/>
    </row>
    <row r="58" spans="1:23" s="269" customFormat="1" ht="14.25" customHeight="1">
      <c r="A58" s="294"/>
      <c r="B58" s="2264" t="s">
        <v>2216</v>
      </c>
      <c r="C58" s="294"/>
      <c r="D58" s="294"/>
      <c r="E58" s="294"/>
      <c r="F58" s="294"/>
      <c r="G58" s="294"/>
      <c r="I58" s="3164">
        <f>SUM(I38:J43)+SUM(I47:J57)</f>
        <v>9013295</v>
      </c>
      <c r="J58" s="3165"/>
      <c r="K58" s="294"/>
      <c r="L58" s="370"/>
      <c r="M58" s="369"/>
      <c r="N58" s="369"/>
      <c r="O58" s="369"/>
      <c r="P58" s="369"/>
      <c r="Q58" s="368"/>
      <c r="S58" s="3042"/>
      <c r="T58" s="3043"/>
    </row>
    <row r="59" spans="1:23" s="269" customFormat="1" ht="14.25" customHeight="1" thickBot="1">
      <c r="A59" s="294"/>
      <c r="B59" s="2264" t="s">
        <v>2217</v>
      </c>
      <c r="C59" s="294"/>
      <c r="D59" s="294"/>
      <c r="E59" s="294"/>
      <c r="F59" s="294"/>
      <c r="G59" s="294"/>
      <c r="I59" s="3166">
        <f>'Part IV-A-Uses of Funds'!$G$132</f>
        <v>9013295</v>
      </c>
      <c r="J59" s="3167"/>
      <c r="K59" s="294"/>
      <c r="L59" s="370"/>
      <c r="M59" s="369"/>
      <c r="N59" s="369"/>
      <c r="O59" s="369"/>
      <c r="P59" s="369"/>
      <c r="Q59" s="368"/>
      <c r="S59" s="3042"/>
      <c r="T59" s="3043"/>
    </row>
    <row r="60" spans="1:23" s="269" customFormat="1" ht="14.25" customHeight="1" thickBot="1">
      <c r="A60" s="294"/>
      <c r="B60" s="2266" t="s">
        <v>1525</v>
      </c>
      <c r="C60" s="294"/>
      <c r="D60" s="294"/>
      <c r="E60" s="294"/>
      <c r="F60" s="294"/>
      <c r="G60" s="294"/>
      <c r="I60" s="3168">
        <f>I58-I59</f>
        <v>0</v>
      </c>
      <c r="J60" s="3169"/>
      <c r="K60" s="294"/>
      <c r="L60" s="370"/>
      <c r="M60" s="369"/>
      <c r="N60" s="369"/>
      <c r="O60" s="369"/>
      <c r="P60" s="369"/>
      <c r="Q60" s="368"/>
      <c r="S60" s="3044"/>
      <c r="T60" s="3045"/>
    </row>
    <row r="61" spans="1:23" s="269" customFormat="1" ht="13.2" customHeight="1">
      <c r="A61" s="294" t="s">
        <v>3468</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71"/>
      <c r="B64" s="3171"/>
      <c r="C64" s="3171"/>
      <c r="D64" s="3171"/>
      <c r="E64" s="3171"/>
      <c r="F64" s="3171"/>
      <c r="G64" s="3171"/>
      <c r="H64" s="3171"/>
      <c r="I64" s="3171"/>
      <c r="J64" s="3171"/>
      <c r="K64" s="3171"/>
      <c r="L64" s="3171"/>
      <c r="M64" s="3170"/>
      <c r="N64" s="3170"/>
      <c r="O64" s="3170"/>
      <c r="P64" s="3170"/>
      <c r="Q64" s="3170"/>
      <c r="S64" s="3162" t="s">
        <v>2693</v>
      </c>
      <c r="T64" s="3162"/>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73"/>
    </row>
    <row r="78" spans="1:23" s="269" customFormat="1" ht="14.7" customHeight="1">
      <c r="A78" s="2173"/>
    </row>
    <row r="79" spans="1:23" s="269" customFormat="1" ht="14.7" customHeight="1">
      <c r="A79" s="2174"/>
    </row>
    <row r="80" spans="1:23" s="269" customFormat="1" ht="14.7" customHeight="1">
      <c r="A80" s="2175"/>
    </row>
    <row r="81" spans="1:1" s="269" customFormat="1" ht="14.7" customHeight="1">
      <c r="A81" s="2173"/>
    </row>
    <row r="82" spans="1:1" s="269" customFormat="1" ht="14.7" customHeight="1">
      <c r="A82" s="2173"/>
    </row>
    <row r="83" spans="1:1" s="269" customFormat="1" ht="14.7" customHeight="1">
      <c r="A83" s="2174"/>
    </row>
    <row r="84" spans="1:1" s="269" customFormat="1" ht="14.7" customHeight="1">
      <c r="A84" s="2175"/>
    </row>
    <row r="85" spans="1:1" s="269" customFormat="1" ht="14.7" customHeight="1">
      <c r="A85" s="2173"/>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BRcEBllsfYW+r8vCB68cmRamt4NL/qwZle+MM/t4eXxkpAH5/kD0MOmgd4QyF/8llNb44VM9bR6yLOnmFRV+6Q==" saltValue="54mGtqjfD6xeQTwk4LwaNA=="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28" priority="6" stopIfTrue="1" operator="equal">
      <formula>"Make a selection FIRST --&gt;"</formula>
    </cfRule>
  </conditionalFormatting>
  <conditionalFormatting sqref="D43">
    <cfRule type="cellIs" dxfId="127" priority="3" operator="greaterThan">
      <formula>50.000001%</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180" t="e">
        <f>CONCATENATE("PART III B: USD 538 LOAN","  -  ",#REF!," ",#REF!,", ",#REF!,", ",#REF!," County")</f>
        <v>#REF!</v>
      </c>
      <c r="B1" s="3181"/>
      <c r="C1" s="3181"/>
      <c r="D1" s="3181"/>
      <c r="E1" s="3181"/>
      <c r="F1" s="3182"/>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173" t="s">
        <v>218</v>
      </c>
      <c r="B3" s="3173"/>
      <c r="C3" s="3173"/>
      <c r="D3" s="3173"/>
      <c r="E3" s="3173"/>
      <c r="F3" s="3173"/>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74" t="s">
        <v>128</v>
      </c>
      <c r="B14" s="3174"/>
      <c r="C14" s="3174"/>
      <c r="D14" s="3174"/>
      <c r="E14" s="3174"/>
      <c r="F14" s="3174"/>
      <c r="G14" s="193"/>
      <c r="H14" s="193"/>
    </row>
    <row r="15" spans="1:17" ht="5.7" customHeight="1">
      <c r="A15" s="27"/>
      <c r="E15" s="204"/>
      <c r="F15" s="193"/>
      <c r="G15" s="193"/>
      <c r="H15" s="193"/>
    </row>
    <row r="16" spans="1:17" ht="13.2" customHeight="1">
      <c r="A16" s="206" t="s">
        <v>2480</v>
      </c>
      <c r="B16" s="207" t="s">
        <v>2477</v>
      </c>
      <c r="C16" s="207" t="s">
        <v>2478</v>
      </c>
      <c r="D16" s="3183" t="s">
        <v>2254</v>
      </c>
      <c r="E16" s="3183"/>
      <c r="F16" s="193"/>
      <c r="G16" s="193"/>
      <c r="H16" s="193"/>
    </row>
    <row r="17" spans="1:8" ht="12.6" customHeight="1">
      <c r="A17" s="80">
        <v>1</v>
      </c>
      <c r="B17" s="182">
        <f>IF(A17&gt;$C$9,0,SUM(C64:C75)*($C$6/$C$7))</f>
        <v>0</v>
      </c>
      <c r="C17" s="205">
        <f>IF(A17&gt;C9,0,(E63+K63)*$C$8)</f>
        <v>0</v>
      </c>
      <c r="D17" s="3178">
        <f t="shared" ref="D17:D56" si="0">IF(A17&gt;$C$9,0,$C$11+C17)</f>
        <v>0</v>
      </c>
      <c r="E17" s="3178"/>
      <c r="F17" s="193"/>
      <c r="G17" s="193"/>
      <c r="H17" s="193"/>
    </row>
    <row r="18" spans="1:8" ht="12.6" customHeight="1">
      <c r="A18" s="80">
        <v>2</v>
      </c>
      <c r="B18" s="182">
        <f>IF(A18&gt;C9,0,SUM(C76:C87)*($C$6/$C$7))</f>
        <v>0</v>
      </c>
      <c r="C18" s="212">
        <f>IF(A18&gt;C9,0,(E75+K75)*$C$8)</f>
        <v>0</v>
      </c>
      <c r="D18" s="3176">
        <f t="shared" si="0"/>
        <v>0</v>
      </c>
      <c r="E18" s="3176"/>
      <c r="F18" s="193"/>
      <c r="G18" s="193"/>
      <c r="H18" s="193"/>
    </row>
    <row r="19" spans="1:8" ht="12.6" customHeight="1">
      <c r="A19" s="80">
        <v>3</v>
      </c>
      <c r="B19" s="182">
        <f>IF(A19&gt;C9,0,SUM(C88:C99)*($C$6/$C$7))</f>
        <v>0</v>
      </c>
      <c r="C19" s="205">
        <f>IF(A19&gt;C9,0,(E87+K87)*$C$8)</f>
        <v>0</v>
      </c>
      <c r="D19" s="3176">
        <f t="shared" si="0"/>
        <v>0</v>
      </c>
      <c r="E19" s="3176"/>
      <c r="F19" s="193"/>
      <c r="G19" s="193"/>
      <c r="H19" s="193"/>
    </row>
    <row r="20" spans="1:8" ht="12.6" customHeight="1">
      <c r="A20" s="80">
        <v>4</v>
      </c>
      <c r="B20" s="182">
        <f>IF(A20&gt;C9,0,SUM(C100:C111)*($C$6/$C$7))</f>
        <v>0</v>
      </c>
      <c r="C20" s="205">
        <f>IF(A20&gt;C9,0,(E99+K99)*$C$8)</f>
        <v>0</v>
      </c>
      <c r="D20" s="3176">
        <f t="shared" si="0"/>
        <v>0</v>
      </c>
      <c r="E20" s="3176"/>
      <c r="F20" s="193"/>
      <c r="G20" s="193"/>
      <c r="H20" s="193"/>
    </row>
    <row r="21" spans="1:8" ht="12.6" customHeight="1">
      <c r="A21" s="80">
        <v>5</v>
      </c>
      <c r="B21" s="182">
        <f>IF(A21&gt;C9,0,SUM(C112:C123)*($C$6/$C$7))</f>
        <v>0</v>
      </c>
      <c r="C21" s="205">
        <f>IF(A21&gt;C9,0,(E111+K111)*$C$8)</f>
        <v>0</v>
      </c>
      <c r="D21" s="3177">
        <f t="shared" si="0"/>
        <v>0</v>
      </c>
      <c r="E21" s="3177"/>
      <c r="F21" s="193"/>
      <c r="G21" s="193"/>
      <c r="H21" s="193"/>
    </row>
    <row r="22" spans="1:8" ht="12.6" customHeight="1">
      <c r="A22" s="183">
        <v>6</v>
      </c>
      <c r="B22" s="184">
        <f>IF(A22&gt;C9,0,SUM(C124:C135)*($C$6/$C$7))</f>
        <v>0</v>
      </c>
      <c r="C22" s="209">
        <f>IF(A22&gt;C9,0,(E123+K123)*$C$8)</f>
        <v>0</v>
      </c>
      <c r="D22" s="3176">
        <f t="shared" si="0"/>
        <v>0</v>
      </c>
      <c r="E22" s="3176"/>
      <c r="F22" s="193"/>
      <c r="G22" s="193"/>
      <c r="H22" s="193"/>
    </row>
    <row r="23" spans="1:8" ht="12.6" customHeight="1">
      <c r="A23" s="185">
        <v>7</v>
      </c>
      <c r="B23" s="186">
        <f>IF(A23&gt;C9,0,SUM(C136:C147)*($C$6/$C$7))</f>
        <v>0</v>
      </c>
      <c r="C23" s="187">
        <f>IF(A23&gt;C9,0,(E135+K135)*$C$8)</f>
        <v>0</v>
      </c>
      <c r="D23" s="3176">
        <f t="shared" si="0"/>
        <v>0</v>
      </c>
      <c r="E23" s="3176"/>
      <c r="F23" s="193"/>
      <c r="G23" s="193"/>
      <c r="H23" s="193"/>
    </row>
    <row r="24" spans="1:8" ht="12.6" customHeight="1">
      <c r="A24" s="185">
        <v>8</v>
      </c>
      <c r="B24" s="186">
        <f>IF(A24&gt;C9,0,SUM(C148:C159)*($C$6/$C$7))</f>
        <v>0</v>
      </c>
      <c r="C24" s="187">
        <f>IF(A24&gt;C9,0,(E147+K147)*$C$8)</f>
        <v>0</v>
      </c>
      <c r="D24" s="3176">
        <f t="shared" si="0"/>
        <v>0</v>
      </c>
      <c r="E24" s="3176"/>
      <c r="F24" s="193"/>
      <c r="G24" s="193"/>
      <c r="H24" s="193"/>
    </row>
    <row r="25" spans="1:8" ht="12.6" customHeight="1">
      <c r="A25" s="185">
        <v>9</v>
      </c>
      <c r="B25" s="186">
        <f>IF(A25&gt;C9,0,SUM(C160:C171)*($C$6/$C$7))</f>
        <v>0</v>
      </c>
      <c r="C25" s="187">
        <f>IF(A25&gt;C9,0,(E159+K159)*$C$8)</f>
        <v>0</v>
      </c>
      <c r="D25" s="3176">
        <f t="shared" si="0"/>
        <v>0</v>
      </c>
      <c r="E25" s="3176"/>
      <c r="F25" s="193"/>
      <c r="G25" s="193"/>
      <c r="H25" s="193"/>
    </row>
    <row r="26" spans="1:8" ht="12.6" customHeight="1">
      <c r="A26" s="188">
        <v>10</v>
      </c>
      <c r="B26" s="189">
        <f>IF(A26&gt;C9,0,SUM(C172:C183)*($C$6/$C$7))</f>
        <v>0</v>
      </c>
      <c r="C26" s="208">
        <f>IF(A26&gt;C9,0,(E171+K171)*$C$8)</f>
        <v>0</v>
      </c>
      <c r="D26" s="3177">
        <f t="shared" si="0"/>
        <v>0</v>
      </c>
      <c r="E26" s="3177"/>
      <c r="F26" s="193"/>
      <c r="G26" s="193"/>
      <c r="H26" s="193"/>
    </row>
    <row r="27" spans="1:8" ht="12.6" customHeight="1">
      <c r="A27" s="190">
        <v>11</v>
      </c>
      <c r="B27" s="182">
        <f>IF(A27&gt;C9,0,SUM(C184:C195)*($C$6/$C$7))</f>
        <v>0</v>
      </c>
      <c r="C27" s="205">
        <f>IF(A27&gt;C9,0,(E183+K183)*$C$8)</f>
        <v>0</v>
      </c>
      <c r="D27" s="3176">
        <f t="shared" si="0"/>
        <v>0</v>
      </c>
      <c r="E27" s="3176"/>
      <c r="F27" s="193"/>
      <c r="G27" s="193"/>
      <c r="H27" s="193"/>
    </row>
    <row r="28" spans="1:8" ht="12.6" customHeight="1">
      <c r="A28" s="190">
        <v>12</v>
      </c>
      <c r="B28" s="182">
        <f>IF(A28&gt;C9,0,SUM(C196:C207)*($C$6/$C$7))</f>
        <v>0</v>
      </c>
      <c r="C28" s="205">
        <f>IF(A28&gt;C9,0,(E195+K195)*$C$8)</f>
        <v>0</v>
      </c>
      <c r="D28" s="3176">
        <f t="shared" si="0"/>
        <v>0</v>
      </c>
      <c r="E28" s="3176"/>
      <c r="F28" s="193"/>
      <c r="G28" s="193"/>
      <c r="H28" s="193"/>
    </row>
    <row r="29" spans="1:8" ht="12.6" customHeight="1">
      <c r="A29" s="190">
        <v>13</v>
      </c>
      <c r="B29" s="182">
        <f>IF(A29&gt;C9,0,SUM(C208:C219)*($C$6/$C$7))</f>
        <v>0</v>
      </c>
      <c r="C29" s="205">
        <f>IF(A29&gt;C9,0,(E207+K207)*$C$8)</f>
        <v>0</v>
      </c>
      <c r="D29" s="3176">
        <f t="shared" si="0"/>
        <v>0</v>
      </c>
      <c r="E29" s="3176"/>
      <c r="F29" s="193"/>
      <c r="G29" s="193"/>
      <c r="H29" s="193"/>
    </row>
    <row r="30" spans="1:8" ht="12.6" customHeight="1">
      <c r="A30" s="190">
        <v>14</v>
      </c>
      <c r="B30" s="182">
        <f>IF(A30&gt;C9,0,SUM(C220:C231)*($C$6/$C$7))</f>
        <v>0</v>
      </c>
      <c r="C30" s="205">
        <f>IF(A30&gt;C9,0,(E219+K219)*$C$8)</f>
        <v>0</v>
      </c>
      <c r="D30" s="3176">
        <f t="shared" si="0"/>
        <v>0</v>
      </c>
      <c r="E30" s="3176"/>
      <c r="F30" s="193"/>
      <c r="G30" s="193"/>
      <c r="H30" s="193"/>
    </row>
    <row r="31" spans="1:8" ht="12.6" customHeight="1">
      <c r="A31" s="190">
        <v>15</v>
      </c>
      <c r="B31" s="182">
        <f>IF(A31&gt;C9,0,SUM(C232:C243)*($C$6/$C$7))</f>
        <v>0</v>
      </c>
      <c r="C31" s="205">
        <f>IF(A31&gt;C9,0,(E231+K231)*$C$8)</f>
        <v>0</v>
      </c>
      <c r="D31" s="3177">
        <f t="shared" si="0"/>
        <v>0</v>
      </c>
      <c r="E31" s="3177"/>
      <c r="F31" s="193"/>
      <c r="G31" s="193"/>
      <c r="H31" s="193"/>
    </row>
    <row r="32" spans="1:8" ht="12.6" customHeight="1">
      <c r="A32" s="192">
        <v>16</v>
      </c>
      <c r="B32" s="184">
        <f>IF(A32&gt;C9,0,SUM(C244:C255)*($C$6/$C$7))</f>
        <v>0</v>
      </c>
      <c r="C32" s="209">
        <f>IF(A32&gt;C9,0,(E243+K243)*$C$8)</f>
        <v>0</v>
      </c>
      <c r="D32" s="3176">
        <f t="shared" si="0"/>
        <v>0</v>
      </c>
      <c r="E32" s="3176"/>
      <c r="F32" s="193"/>
      <c r="G32" s="193"/>
      <c r="H32" s="193"/>
    </row>
    <row r="33" spans="1:8" ht="12.6" customHeight="1">
      <c r="A33" s="185">
        <v>17</v>
      </c>
      <c r="B33" s="186">
        <f>IF(A33&gt;C9,0,SUM(C256:C267)*($C$6/$C$7))</f>
        <v>0</v>
      </c>
      <c r="C33" s="187">
        <f>IF(A33&gt;C9,0,(E255+K255)*$C$8)</f>
        <v>0</v>
      </c>
      <c r="D33" s="3176">
        <f t="shared" si="0"/>
        <v>0</v>
      </c>
      <c r="E33" s="3176"/>
      <c r="F33" s="193"/>
      <c r="G33" s="193"/>
      <c r="H33" s="193"/>
    </row>
    <row r="34" spans="1:8" ht="12.6" customHeight="1">
      <c r="A34" s="185">
        <v>18</v>
      </c>
      <c r="B34" s="186">
        <f>IF(A34&gt;C9,0,SUM(C268:C279)*($C$6/$C$7))</f>
        <v>0</v>
      </c>
      <c r="C34" s="187">
        <f>IF(A34&gt;C9,0,(E267+K267)*$C$8)</f>
        <v>0</v>
      </c>
      <c r="D34" s="3176">
        <f t="shared" si="0"/>
        <v>0</v>
      </c>
      <c r="E34" s="3176"/>
      <c r="F34" s="193"/>
      <c r="G34" s="193"/>
      <c r="H34" s="193"/>
    </row>
    <row r="35" spans="1:8" ht="12.6" customHeight="1">
      <c r="A35" s="185">
        <v>19</v>
      </c>
      <c r="B35" s="186">
        <f>IF(A35&gt;C9,0,SUM(C280:C291)*($C$6/$C$7))</f>
        <v>0</v>
      </c>
      <c r="C35" s="187">
        <f>IF(A35&gt;C9,0,(E279+K279)*$C$8)</f>
        <v>0</v>
      </c>
      <c r="D35" s="3176">
        <f t="shared" si="0"/>
        <v>0</v>
      </c>
      <c r="E35" s="3176"/>
      <c r="F35" s="193"/>
      <c r="G35" s="193"/>
      <c r="H35" s="193"/>
    </row>
    <row r="36" spans="1:8" ht="12.6" customHeight="1">
      <c r="A36" s="188">
        <v>20</v>
      </c>
      <c r="B36" s="189">
        <f>IF(A36&gt;C9,0,SUM(C292:C303)*($C$6/$C$7))</f>
        <v>0</v>
      </c>
      <c r="C36" s="208">
        <f>IF(A36&gt;C9,0,(E291+K291)*$C$8)</f>
        <v>0</v>
      </c>
      <c r="D36" s="3177">
        <f t="shared" si="0"/>
        <v>0</v>
      </c>
      <c r="E36" s="3177"/>
      <c r="F36" s="193"/>
      <c r="G36" s="193"/>
      <c r="H36" s="193"/>
    </row>
    <row r="37" spans="1:8" ht="12.6" customHeight="1">
      <c r="A37" s="80">
        <v>21</v>
      </c>
      <c r="B37" s="184">
        <f>IF(A37&gt;C9,0,SUM(C293:C304)*($C$6/$C$7))</f>
        <v>0</v>
      </c>
      <c r="C37" s="209">
        <f>IF(A37&gt;C9,0,(E303+K303)*$C$8)</f>
        <v>0</v>
      </c>
      <c r="D37" s="3179">
        <f t="shared" si="0"/>
        <v>0</v>
      </c>
      <c r="E37" s="3179"/>
      <c r="F37" s="193"/>
      <c r="G37" s="193"/>
      <c r="H37" s="193"/>
    </row>
    <row r="38" spans="1:8" ht="12.6" customHeight="1">
      <c r="A38" s="80">
        <v>22</v>
      </c>
      <c r="B38" s="186">
        <f>IF(A38&gt;C9,0,SUM(C294:C305)*($C$6/$C$7))</f>
        <v>0</v>
      </c>
      <c r="C38" s="187">
        <f>IF(A38&gt;C9,0,(E315+K315)*$C$8)</f>
        <v>0</v>
      </c>
      <c r="D38" s="3176">
        <f t="shared" si="0"/>
        <v>0</v>
      </c>
      <c r="E38" s="3176"/>
      <c r="F38" s="193"/>
      <c r="G38" s="193"/>
      <c r="H38" s="193"/>
    </row>
    <row r="39" spans="1:8" ht="12.6" customHeight="1">
      <c r="A39" s="80">
        <v>23</v>
      </c>
      <c r="B39" s="186">
        <f>IF(A39&gt;C9,0,SUM(C295:C306)*($C$6/$C$7))</f>
        <v>0</v>
      </c>
      <c r="C39" s="187">
        <f>IF(A39&gt;C9,0,(E327+K327)*$C$8)</f>
        <v>0</v>
      </c>
      <c r="D39" s="3176">
        <f t="shared" si="0"/>
        <v>0</v>
      </c>
      <c r="E39" s="3176"/>
      <c r="F39" s="193"/>
      <c r="G39" s="193"/>
      <c r="H39" s="193"/>
    </row>
    <row r="40" spans="1:8" ht="12.6" customHeight="1">
      <c r="A40" s="80">
        <v>24</v>
      </c>
      <c r="B40" s="186">
        <f>IF(A40&gt;C9,0,SUM(C296:C307)*($C$6/$C$7))</f>
        <v>0</v>
      </c>
      <c r="C40" s="187">
        <f>IF(A40&gt;C9,0,(E339+K339)*$C$8)</f>
        <v>0</v>
      </c>
      <c r="D40" s="3176">
        <f t="shared" si="0"/>
        <v>0</v>
      </c>
      <c r="E40" s="3176"/>
      <c r="F40" s="193"/>
      <c r="G40" s="193"/>
      <c r="H40" s="193"/>
    </row>
    <row r="41" spans="1:8" ht="12.6" customHeight="1">
      <c r="A41" s="80">
        <v>25</v>
      </c>
      <c r="B41" s="189">
        <f>IF(A41&gt;C9,0,SUM(C297:C308)*($C$6/$C$7))</f>
        <v>0</v>
      </c>
      <c r="C41" s="208">
        <f>IF(A41&gt;C9,0,(E351+K351)*$C$8)</f>
        <v>0</v>
      </c>
      <c r="D41" s="3177">
        <f t="shared" si="0"/>
        <v>0</v>
      </c>
      <c r="E41" s="3177"/>
      <c r="F41" s="193"/>
      <c r="G41" s="193"/>
      <c r="H41" s="193"/>
    </row>
    <row r="42" spans="1:8" ht="12.6" customHeight="1">
      <c r="A42" s="183">
        <v>26</v>
      </c>
      <c r="B42" s="184">
        <f>IF(A42&gt;C9,0,SUM(C298:C309)*($C$6/$C$7))</f>
        <v>0</v>
      </c>
      <c r="C42" s="209">
        <f>IF(A42&gt;C9,0,(E363+K363)*$C$8)</f>
        <v>0</v>
      </c>
      <c r="D42" s="3179">
        <f t="shared" si="0"/>
        <v>0</v>
      </c>
      <c r="E42" s="3179"/>
      <c r="F42" s="193"/>
      <c r="G42" s="193"/>
      <c r="H42" s="193"/>
    </row>
    <row r="43" spans="1:8" ht="12.6" customHeight="1">
      <c r="A43" s="185">
        <v>27</v>
      </c>
      <c r="B43" s="186">
        <f>IF(A43&gt;C9,0,SUM(C299:C310)*($C$6/$C$7))</f>
        <v>0</v>
      </c>
      <c r="C43" s="187">
        <f>IF(A43&gt;C9,0,(E375+K375)*$C$8)</f>
        <v>0</v>
      </c>
      <c r="D43" s="3176">
        <f t="shared" si="0"/>
        <v>0</v>
      </c>
      <c r="E43" s="3176"/>
      <c r="F43" s="193"/>
      <c r="G43" s="193"/>
      <c r="H43" s="193"/>
    </row>
    <row r="44" spans="1:8" ht="12.6" customHeight="1">
      <c r="A44" s="185">
        <v>28</v>
      </c>
      <c r="B44" s="186">
        <f>IF(A44&gt;C9,0,SUM(C300:C311)*($C$6/$C$7))</f>
        <v>0</v>
      </c>
      <c r="C44" s="187">
        <f>IF(A44&gt;C9,0,(E387+K387)*$C$8)</f>
        <v>0</v>
      </c>
      <c r="D44" s="3176">
        <f t="shared" si="0"/>
        <v>0</v>
      </c>
      <c r="E44" s="3176"/>
      <c r="F44" s="193"/>
      <c r="G44" s="193"/>
      <c r="H44" s="193"/>
    </row>
    <row r="45" spans="1:8" ht="12.6" customHeight="1">
      <c r="A45" s="185">
        <v>29</v>
      </c>
      <c r="B45" s="186">
        <f>IF(A45&gt;C9,0,SUM(C301:C312)*($C$6/$C$7))</f>
        <v>0</v>
      </c>
      <c r="C45" s="187">
        <f>IF(A45&gt;C9,0,(E411+K411)*$C$8)</f>
        <v>0</v>
      </c>
      <c r="D45" s="3176">
        <f t="shared" si="0"/>
        <v>0</v>
      </c>
      <c r="E45" s="3176"/>
      <c r="F45" s="193"/>
      <c r="G45" s="193"/>
      <c r="H45" s="193"/>
    </row>
    <row r="46" spans="1:8" ht="12.6" customHeight="1">
      <c r="A46" s="188">
        <v>30</v>
      </c>
      <c r="B46" s="189">
        <f>IF(A46&gt;C9,0,SUM(C302:C313)*($C$6/$C$7))</f>
        <v>0</v>
      </c>
      <c r="C46" s="208">
        <f>IF(A46&gt;C9,0,(E423+K423)*$C$8)</f>
        <v>0</v>
      </c>
      <c r="D46" s="3177">
        <f t="shared" si="0"/>
        <v>0</v>
      </c>
      <c r="E46" s="3177"/>
      <c r="F46" s="193"/>
      <c r="G46" s="193"/>
      <c r="H46" s="193"/>
    </row>
    <row r="47" spans="1:8" ht="12.6" customHeight="1">
      <c r="A47" s="192">
        <v>31</v>
      </c>
      <c r="B47" s="184">
        <f>IF(A47&gt;C9,0,SUM(C303:C314)*($C$6/$C$7))</f>
        <v>0</v>
      </c>
      <c r="C47" s="209">
        <f>IF(A47&gt;C9,0,(E435+K435)*$C$8)</f>
        <v>0</v>
      </c>
      <c r="D47" s="3179">
        <f t="shared" si="0"/>
        <v>0</v>
      </c>
      <c r="E47" s="3179"/>
      <c r="F47" s="193"/>
      <c r="G47" s="193"/>
      <c r="H47" s="193"/>
    </row>
    <row r="48" spans="1:8" ht="12.6" customHeight="1">
      <c r="A48" s="185">
        <v>32</v>
      </c>
      <c r="B48" s="186">
        <f>IF(A48&gt;C9,0,SUM(C304:C315)*($C$6/$C$7))</f>
        <v>0</v>
      </c>
      <c r="C48" s="187">
        <f>IF(A48&gt;C9,0,(E447+K447)*$C$8)</f>
        <v>0</v>
      </c>
      <c r="D48" s="3176">
        <f t="shared" si="0"/>
        <v>0</v>
      </c>
      <c r="E48" s="3176"/>
      <c r="F48" s="193"/>
      <c r="G48" s="193"/>
      <c r="H48" s="193"/>
    </row>
    <row r="49" spans="1:12" ht="12.6" customHeight="1">
      <c r="A49" s="185">
        <v>33</v>
      </c>
      <c r="B49" s="186">
        <f>IF(A49&gt;C9,0,SUM(C305:C316)*($C$6/$C$7))</f>
        <v>0</v>
      </c>
      <c r="C49" s="187">
        <f>IF(A49&gt;C9,0,(E459+K459)*$C$8)</f>
        <v>0</v>
      </c>
      <c r="D49" s="3176">
        <f t="shared" si="0"/>
        <v>0</v>
      </c>
      <c r="E49" s="3176"/>
      <c r="F49" s="193"/>
      <c r="G49" s="193"/>
      <c r="H49" s="193"/>
    </row>
    <row r="50" spans="1:12" ht="12.6" customHeight="1">
      <c r="A50" s="185">
        <v>34</v>
      </c>
      <c r="B50" s="186">
        <f>IF(A50&gt;C9,0,SUM(C306:C317)*($C$6/$C$7))</f>
        <v>0</v>
      </c>
      <c r="C50" s="187">
        <f>IF(A50&gt;C9,0,(E471+K471)*$C$8)</f>
        <v>0</v>
      </c>
      <c r="D50" s="3176">
        <f t="shared" si="0"/>
        <v>0</v>
      </c>
      <c r="E50" s="3176"/>
      <c r="F50" s="193"/>
      <c r="G50" s="193"/>
      <c r="H50" s="193"/>
    </row>
    <row r="51" spans="1:12" ht="12.6" customHeight="1">
      <c r="A51" s="188">
        <v>35</v>
      </c>
      <c r="B51" s="189">
        <f>IF(A51&gt;C9,0,SUM(C307:C318)*($C$6/$C$7))</f>
        <v>0</v>
      </c>
      <c r="C51" s="208">
        <f>IF(A51&gt;C9,0,(E483+K483)*$C$8)</f>
        <v>0</v>
      </c>
      <c r="D51" s="3177">
        <f t="shared" si="0"/>
        <v>0</v>
      </c>
      <c r="E51" s="3177"/>
      <c r="F51" s="193"/>
      <c r="G51" s="193"/>
      <c r="H51" s="193"/>
    </row>
    <row r="52" spans="1:12" ht="12.6" customHeight="1">
      <c r="A52" s="192">
        <v>36</v>
      </c>
      <c r="B52" s="184">
        <f>IF(A52&gt;C9,0,SUM(C308:C319)*($C$6/$C$7))</f>
        <v>0</v>
      </c>
      <c r="C52" s="209">
        <f>IF(A52&gt;C9,0,(E495+K495)*$C$8)</f>
        <v>0</v>
      </c>
      <c r="D52" s="3179">
        <f t="shared" si="0"/>
        <v>0</v>
      </c>
      <c r="E52" s="3179"/>
      <c r="F52" s="193"/>
      <c r="G52" s="193"/>
      <c r="H52" s="193"/>
    </row>
    <row r="53" spans="1:12" ht="12.6" customHeight="1">
      <c r="A53" s="185">
        <v>37</v>
      </c>
      <c r="B53" s="186">
        <f>IF(A53&gt;C9,0,SUM(C309:C320)*($C$6/$C$7))</f>
        <v>0</v>
      </c>
      <c r="C53" s="187">
        <f>IF(A53&gt;C9,0,(E507+K507)*$C$8)</f>
        <v>0</v>
      </c>
      <c r="D53" s="3176">
        <f t="shared" si="0"/>
        <v>0</v>
      </c>
      <c r="E53" s="3176"/>
      <c r="F53" s="193"/>
      <c r="G53" s="193"/>
      <c r="H53" s="193"/>
    </row>
    <row r="54" spans="1:12" ht="12.6" customHeight="1">
      <c r="A54" s="185">
        <v>38</v>
      </c>
      <c r="B54" s="186">
        <f>IF(A54&gt;C9,0,SUM(C310:C321)*($C$6/$C$7))</f>
        <v>0</v>
      </c>
      <c r="C54" s="187">
        <f>IF(A54&gt;C9,0,(E519+K519)*$C$8)</f>
        <v>0</v>
      </c>
      <c r="D54" s="3176">
        <f t="shared" si="0"/>
        <v>0</v>
      </c>
      <c r="E54" s="3176"/>
      <c r="F54" s="193"/>
      <c r="G54" s="193"/>
      <c r="H54" s="193"/>
    </row>
    <row r="55" spans="1:12" ht="12.6" customHeight="1">
      <c r="A55" s="185">
        <v>39</v>
      </c>
      <c r="B55" s="186">
        <f>IF(A55&gt;C9,0,SUM(C311:C322)*($C$6/$C$7))</f>
        <v>0</v>
      </c>
      <c r="C55" s="187">
        <f>IF(A55&gt;C9,0,(E531+K531)*$C$8)</f>
        <v>0</v>
      </c>
      <c r="D55" s="3176">
        <f t="shared" si="0"/>
        <v>0</v>
      </c>
      <c r="E55" s="3176"/>
      <c r="F55" s="193"/>
      <c r="G55" s="193"/>
      <c r="H55" s="193"/>
    </row>
    <row r="56" spans="1:12" ht="12.6" customHeight="1">
      <c r="A56" s="188">
        <v>40</v>
      </c>
      <c r="B56" s="189">
        <f>IF(A56&gt;C9,0,SUM(C312:C323)*($C$6/$C$7))</f>
        <v>0</v>
      </c>
      <c r="C56" s="208">
        <f>IF(A56&gt;C9,0,(E543+K543)*$C$8)</f>
        <v>0</v>
      </c>
      <c r="D56" s="3177">
        <f t="shared" si="0"/>
        <v>0</v>
      </c>
      <c r="E56" s="3177"/>
      <c r="F56" s="193"/>
      <c r="G56" s="193"/>
      <c r="H56" s="193"/>
    </row>
    <row r="57" spans="1:12" ht="3" customHeight="1">
      <c r="A57" s="193"/>
      <c r="B57" s="193"/>
      <c r="C57" s="193"/>
      <c r="D57" s="193"/>
      <c r="E57" s="193"/>
      <c r="F57" s="193"/>
      <c r="G57" s="193"/>
      <c r="H57" s="193"/>
    </row>
    <row r="58" spans="1:12" ht="13.2" customHeight="1">
      <c r="A58" s="3175" t="e">
        <f>CONCATENATE(#REF!," ",#REF!,", ",#REF!,", ",#REF!," County")</f>
        <v>#REF!</v>
      </c>
      <c r="B58" s="3175"/>
      <c r="C58" s="3175"/>
      <c r="D58" s="3175"/>
      <c r="E58" s="3175"/>
      <c r="F58" s="3175"/>
      <c r="G58" s="3175" t="e">
        <f>CONCATENATE(#REF!," ",#REF!,", ",#REF!,", ",#REF!," County")</f>
        <v>#REF!</v>
      </c>
      <c r="H58" s="3175"/>
      <c r="I58" s="3175"/>
      <c r="J58" s="3175"/>
      <c r="K58" s="3175"/>
      <c r="L58" s="3175"/>
    </row>
    <row r="59" spans="1:12" ht="13.8">
      <c r="A59" s="3172" t="s">
        <v>2471</v>
      </c>
      <c r="B59" s="3172"/>
      <c r="C59" s="3172"/>
      <c r="D59" s="3172"/>
      <c r="E59" s="3172"/>
      <c r="F59" s="3172"/>
      <c r="G59" s="3172" t="s">
        <v>2471</v>
      </c>
      <c r="H59" s="3172"/>
      <c r="I59" s="3172"/>
      <c r="J59" s="3172"/>
      <c r="K59" s="3172"/>
      <c r="L59" s="3172"/>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180" t="e">
        <f>CONCATENATE("PART III C  - HUD INSURED LOAN","  -  ",#REF!," ",#REF!,", ",#REF!,", ",#REF!," County")</f>
        <v>#REF!</v>
      </c>
      <c r="B1" s="3181"/>
      <c r="C1" s="3181"/>
      <c r="D1" s="3181"/>
      <c r="E1" s="3181"/>
      <c r="F1" s="3182"/>
      <c r="G1" s="162"/>
      <c r="H1" s="162"/>
      <c r="I1" s="162"/>
      <c r="J1" s="162"/>
      <c r="K1" s="162"/>
      <c r="L1" s="162"/>
      <c r="M1" s="162"/>
      <c r="N1" s="162"/>
      <c r="O1" s="162"/>
      <c r="P1" s="162"/>
      <c r="Q1" s="162"/>
    </row>
    <row r="2" spans="1:17">
      <c r="A2" s="12"/>
      <c r="B2" s="181"/>
      <c r="C2" s="181"/>
      <c r="D2" s="181"/>
    </row>
    <row r="3" spans="1:17" ht="15.6" customHeight="1">
      <c r="A3" s="3173" t="s">
        <v>218</v>
      </c>
      <c r="B3" s="3173"/>
      <c r="C3" s="3173"/>
      <c r="D3" s="3173"/>
      <c r="E3" s="3173"/>
      <c r="F3" s="3173"/>
      <c r="G3" s="225"/>
      <c r="H3" s="225"/>
    </row>
    <row r="4" spans="1:17">
      <c r="A4" s="12"/>
      <c r="B4" s="181"/>
      <c r="C4" s="181"/>
      <c r="D4" s="181"/>
    </row>
    <row r="5" spans="1:17" ht="13.2" customHeight="1">
      <c r="A5" s="26" t="s">
        <v>2255</v>
      </c>
      <c r="D5" s="220"/>
      <c r="E5" s="3184" t="s">
        <v>956</v>
      </c>
      <c r="F5" s="3185"/>
      <c r="G5" s="159"/>
    </row>
    <row r="6" spans="1:17">
      <c r="E6" s="3185"/>
      <c r="F6" s="3185"/>
      <c r="G6" s="159"/>
    </row>
    <row r="7" spans="1:17">
      <c r="A7" s="26" t="s">
        <v>2463</v>
      </c>
      <c r="C7" s="26" t="s">
        <v>2464</v>
      </c>
      <c r="D7" s="221"/>
      <c r="E7" s="3185"/>
      <c r="F7" s="3185"/>
      <c r="G7" s="159"/>
    </row>
    <row r="8" spans="1:17">
      <c r="C8" s="26" t="s">
        <v>2465</v>
      </c>
      <c r="D8" s="221"/>
      <c r="E8" s="3185"/>
      <c r="F8" s="3185"/>
      <c r="G8" s="159"/>
    </row>
    <row r="9" spans="1:17">
      <c r="C9" s="26" t="s">
        <v>2466</v>
      </c>
      <c r="D9" s="221"/>
      <c r="E9" s="3185"/>
      <c r="F9" s="3185"/>
      <c r="G9" s="159"/>
    </row>
    <row r="10" spans="1:17">
      <c r="C10" s="26" t="s">
        <v>2479</v>
      </c>
      <c r="D10" s="226">
        <f>D7+D8+D9</f>
        <v>0</v>
      </c>
      <c r="E10" s="3185"/>
      <c r="F10" s="3185"/>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4" t="s">
        <v>1717</v>
      </c>
      <c r="B24" s="3174"/>
      <c r="C24" s="3174"/>
      <c r="D24" s="3174"/>
      <c r="E24" s="3174"/>
      <c r="F24" s="3174"/>
      <c r="J24" s="229"/>
    </row>
    <row r="25" spans="1:10">
      <c r="C25" s="191"/>
      <c r="J25" s="229"/>
    </row>
    <row r="26" spans="1:10">
      <c r="A26" s="104"/>
      <c r="B26" s="80"/>
      <c r="C26" s="3186" t="s">
        <v>2254</v>
      </c>
      <c r="D26" s="224"/>
      <c r="E26" s="80"/>
      <c r="F26" s="3186" t="s">
        <v>2254</v>
      </c>
      <c r="J26" s="229"/>
    </row>
    <row r="27" spans="1:10">
      <c r="A27" s="230" t="s">
        <v>2480</v>
      </c>
      <c r="B27" s="71" t="s">
        <v>1026</v>
      </c>
      <c r="C27" s="3187"/>
      <c r="D27" s="231" t="s">
        <v>2480</v>
      </c>
      <c r="E27" s="71" t="s">
        <v>1026</v>
      </c>
      <c r="F27" s="3187"/>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75" t="e">
        <f>CONCATENATE(#REF!," ",#REF!,", ",#REF!,", ",#REF!," County")</f>
        <v>#REF!</v>
      </c>
      <c r="B50" s="3175"/>
      <c r="C50" s="3175"/>
      <c r="D50" s="3175"/>
      <c r="E50" s="3175"/>
      <c r="F50" s="3175"/>
      <c r="G50" s="215"/>
      <c r="H50" s="215"/>
    </row>
    <row r="51" spans="1:10" ht="13.8">
      <c r="A51" s="3172" t="s">
        <v>2471</v>
      </c>
      <c r="B51" s="3172"/>
      <c r="C51" s="3172"/>
      <c r="D51" s="3172"/>
      <c r="E51" s="3172"/>
      <c r="F51" s="3172"/>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24" zoomScaleNormal="100" workbookViewId="0">
      <selection activeCell="A124"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188" t="str">
        <f>CONCATENATE("PART FOUR -  USES OF FUNDS","  -  ",'Part I-Project Information'!$O$6," ",'Part I-Project Information'!$F$34,", ",'Part I-Project Information'!F38,", ",'Part I-Project Information'!J39," County")</f>
        <v>PART FOUR -  USES OF FUNDS  -  2019-060 Dulles Park II, Gray, Jones County</v>
      </c>
      <c r="B1" s="3189"/>
      <c r="C1" s="3189"/>
      <c r="D1" s="3189"/>
      <c r="E1" s="3189"/>
      <c r="F1" s="3189"/>
      <c r="G1" s="3189"/>
      <c r="H1" s="3189"/>
      <c r="I1" s="3189"/>
      <c r="J1" s="3189"/>
      <c r="K1" s="3189"/>
      <c r="L1" s="3189"/>
      <c r="M1" s="3189"/>
      <c r="N1" s="3189"/>
      <c r="O1" s="3189"/>
      <c r="P1" s="3189"/>
      <c r="Q1" s="3189"/>
      <c r="R1" s="3189"/>
      <c r="S1" s="3189"/>
      <c r="T1" s="3189"/>
      <c r="W1" s="3190" t="str">
        <f>A1</f>
        <v>PART FOUR -  USES OF FUNDS  -  2019-060 Dulles Park II, Gray, Jones County</v>
      </c>
      <c r="X1" s="3190"/>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20" t="str">
        <f>'Part I-Project Information'!$B$6</f>
        <v>May 2019</v>
      </c>
      <c r="E5" s="3320"/>
      <c r="F5" s="3320"/>
      <c r="G5" s="3320"/>
      <c r="H5" s="3320"/>
      <c r="I5" s="483"/>
      <c r="J5" s="3191" t="s">
        <v>271</v>
      </c>
      <c r="K5" s="3192"/>
      <c r="L5" s="345"/>
      <c r="M5" s="3195" t="s">
        <v>489</v>
      </c>
      <c r="N5" s="3196"/>
      <c r="P5" s="3191" t="s">
        <v>272</v>
      </c>
      <c r="Q5" s="3192"/>
      <c r="S5" s="3191" t="s">
        <v>273</v>
      </c>
      <c r="T5" s="3192"/>
      <c r="V5" s="423" t="str">
        <f>B5</f>
        <v>DEVELOPMENT BUDGET</v>
      </c>
    </row>
    <row r="6" spans="1:24" s="294" customFormat="1" ht="19.5" customHeight="1" thickBot="1">
      <c r="D6" s="2172"/>
      <c r="E6" s="2172"/>
      <c r="F6" s="2172"/>
      <c r="G6" s="3199" t="s">
        <v>101</v>
      </c>
      <c r="H6" s="3200"/>
      <c r="J6" s="3193"/>
      <c r="K6" s="3194"/>
      <c r="L6" s="345"/>
      <c r="M6" s="3197"/>
      <c r="N6" s="3198"/>
      <c r="P6" s="3193"/>
      <c r="Q6" s="3194"/>
      <c r="S6" s="3193"/>
      <c r="T6" s="3194"/>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090">
        <v>5000</v>
      </c>
      <c r="H8" s="3091"/>
      <c r="J8" s="3090">
        <v>5000</v>
      </c>
      <c r="K8" s="3091"/>
      <c r="L8" s="2286"/>
      <c r="M8" s="3090"/>
      <c r="N8" s="3091"/>
      <c r="P8" s="3090"/>
      <c r="Q8" s="3091"/>
      <c r="S8" s="3090"/>
      <c r="T8" s="3091"/>
      <c r="V8" s="2560"/>
      <c r="W8" s="3201"/>
      <c r="X8" s="3202"/>
    </row>
    <row r="9" spans="1:24" s="294" customFormat="1" ht="12.6" customHeight="1">
      <c r="B9" s="294" t="s">
        <v>457</v>
      </c>
      <c r="G9" s="3101">
        <v>8000</v>
      </c>
      <c r="H9" s="3102"/>
      <c r="J9" s="3101">
        <v>8000</v>
      </c>
      <c r="K9" s="3102"/>
      <c r="L9" s="2286"/>
      <c r="M9" s="3101"/>
      <c r="N9" s="3102"/>
      <c r="P9" s="3101"/>
      <c r="Q9" s="3102"/>
      <c r="S9" s="3101"/>
      <c r="T9" s="3102"/>
      <c r="V9" s="2560"/>
      <c r="W9" s="3201"/>
      <c r="X9" s="3202"/>
    </row>
    <row r="10" spans="1:24" s="294" customFormat="1" ht="12.6" customHeight="1">
      <c r="B10" s="294" t="s">
        <v>486</v>
      </c>
      <c r="G10" s="3101">
        <v>6000</v>
      </c>
      <c r="H10" s="3102"/>
      <c r="J10" s="3101">
        <v>6000</v>
      </c>
      <c r="K10" s="3102"/>
      <c r="L10" s="2286"/>
      <c r="M10" s="3101"/>
      <c r="N10" s="3102"/>
      <c r="P10" s="3101"/>
      <c r="Q10" s="3102"/>
      <c r="S10" s="3101"/>
      <c r="T10" s="3102"/>
      <c r="V10" s="2560"/>
      <c r="W10" s="3201"/>
      <c r="X10" s="3202"/>
    </row>
    <row r="11" spans="1:24" s="294" customFormat="1" ht="12.6" customHeight="1">
      <c r="B11" s="294" t="s">
        <v>487</v>
      </c>
      <c r="G11" s="3101">
        <v>10000</v>
      </c>
      <c r="H11" s="3102"/>
      <c r="J11" s="3101">
        <v>10000</v>
      </c>
      <c r="K11" s="3102"/>
      <c r="L11" s="2286"/>
      <c r="M11" s="3101"/>
      <c r="N11" s="3102"/>
      <c r="P11" s="3101"/>
      <c r="Q11" s="3102"/>
      <c r="S11" s="3101"/>
      <c r="T11" s="3102"/>
      <c r="V11" s="2560"/>
      <c r="W11" s="3201"/>
      <c r="X11" s="3202"/>
    </row>
    <row r="12" spans="1:24" s="294" customFormat="1" ht="12.6" customHeight="1">
      <c r="B12" s="294" t="s">
        <v>2500</v>
      </c>
      <c r="G12" s="3101">
        <v>10000</v>
      </c>
      <c r="H12" s="3102"/>
      <c r="J12" s="3101">
        <v>10000</v>
      </c>
      <c r="K12" s="3102"/>
      <c r="L12" s="2286"/>
      <c r="M12" s="3101"/>
      <c r="N12" s="3102"/>
      <c r="P12" s="3101"/>
      <c r="Q12" s="3102"/>
      <c r="S12" s="3101"/>
      <c r="T12" s="3102"/>
      <c r="V12" s="2560"/>
      <c r="W12" s="3201"/>
      <c r="X12" s="3202"/>
    </row>
    <row r="13" spans="1:24" s="294" customFormat="1" ht="12.6" customHeight="1">
      <c r="B13" s="294" t="s">
        <v>190</v>
      </c>
      <c r="G13" s="3101"/>
      <c r="H13" s="3102"/>
      <c r="J13" s="3101"/>
      <c r="K13" s="3102"/>
      <c r="L13" s="2286"/>
      <c r="M13" s="3101"/>
      <c r="N13" s="3102"/>
      <c r="P13" s="3101"/>
      <c r="Q13" s="3102"/>
      <c r="S13" s="3101"/>
      <c r="T13" s="3102"/>
      <c r="V13" s="2560"/>
      <c r="W13" s="3201"/>
      <c r="X13" s="3202"/>
    </row>
    <row r="14" spans="1:24" s="294" customFormat="1" ht="12.6" customHeight="1">
      <c r="A14" s="372" t="str">
        <f>IF(AND(G14&gt;0,OR(C14="",C14="&lt;Enter detailed description here; use Comments section if needed&gt;")),"X","")</f>
        <v/>
      </c>
      <c r="B14" s="294" t="s">
        <v>741</v>
      </c>
      <c r="C14" s="3203" t="s">
        <v>3709</v>
      </c>
      <c r="D14" s="3203"/>
      <c r="E14" s="3203"/>
      <c r="F14" s="3204"/>
      <c r="G14" s="3101"/>
      <c r="H14" s="3102"/>
      <c r="J14" s="3101"/>
      <c r="K14" s="3102"/>
      <c r="L14" s="2286"/>
      <c r="M14" s="3101"/>
      <c r="N14" s="3102"/>
      <c r="P14" s="3101"/>
      <c r="Q14" s="3102"/>
      <c r="S14" s="3101"/>
      <c r="T14" s="3102"/>
      <c r="U14" s="371" t="str">
        <f>IF(AND(G14&gt;0,OR(C14="",C14="&lt;Enter detailed description here; use Comments section if needed&gt;")),"NO DESCRIPTION PROVIDED - please enter detailed description in Other box at left; use Comments section below if needed.","")</f>
        <v/>
      </c>
      <c r="V14" s="2561"/>
      <c r="W14" s="3201"/>
      <c r="X14" s="3202"/>
    </row>
    <row r="15" spans="1:24" s="294" customFormat="1" ht="12.6" customHeight="1">
      <c r="A15" s="372" t="str">
        <f>IF(AND(G15&gt;0,OR(C15="",C15="&lt;Enter detailed description here; use Comments section if needed&gt;")),"X","")</f>
        <v/>
      </c>
      <c r="B15" s="294" t="s">
        <v>741</v>
      </c>
      <c r="C15" s="3203" t="s">
        <v>3709</v>
      </c>
      <c r="D15" s="3203"/>
      <c r="E15" s="3203"/>
      <c r="F15" s="3204"/>
      <c r="G15" s="3101"/>
      <c r="H15" s="3102"/>
      <c r="J15" s="3101"/>
      <c r="K15" s="3102"/>
      <c r="L15" s="2286"/>
      <c r="M15" s="3101"/>
      <c r="N15" s="3102"/>
      <c r="P15" s="3101"/>
      <c r="Q15" s="3102"/>
      <c r="S15" s="3101"/>
      <c r="T15" s="3102"/>
      <c r="U15" s="371" t="str">
        <f>IF(AND(G15&gt;0,OR(C15="",C15="&lt;Enter detailed description here; use Comments section if needed&gt;")),"NO DESCRIPTION PROVIDED - please enter detailed description in Other box at left; use Comments section below if needed.","")</f>
        <v/>
      </c>
      <c r="V15" s="2561"/>
      <c r="W15" s="3201"/>
      <c r="X15" s="3202"/>
    </row>
    <row r="16" spans="1:24" s="294" customFormat="1" ht="12.6" customHeight="1" thickBot="1">
      <c r="A16" s="372" t="str">
        <f>IF(AND(G16&gt;0,OR(C16="",C16="&lt;Enter detailed description here; use Comments section if needed&gt;")),"X","")</f>
        <v/>
      </c>
      <c r="B16" s="294" t="s">
        <v>741</v>
      </c>
      <c r="C16" s="3203" t="s">
        <v>3709</v>
      </c>
      <c r="D16" s="3203"/>
      <c r="E16" s="3203"/>
      <c r="F16" s="3204"/>
      <c r="G16" s="3208"/>
      <c r="H16" s="3209"/>
      <c r="J16" s="3208"/>
      <c r="K16" s="3209"/>
      <c r="L16" s="2286"/>
      <c r="M16" s="3208"/>
      <c r="N16" s="3209"/>
      <c r="P16" s="3208"/>
      <c r="Q16" s="3209"/>
      <c r="S16" s="3208"/>
      <c r="T16" s="3209"/>
      <c r="U16" s="371" t="str">
        <f>IF(AND(G16&gt;0,OR(C16="",C16="&lt;Enter detailed description here; use Comments section if needed&gt;")),"NO DESCRIPTION PROVIDED - please enter detailed description in Other box at left; use Comments section below if needed.","")</f>
        <v/>
      </c>
      <c r="V16" s="2561"/>
      <c r="W16" s="3242"/>
      <c r="X16" s="3243"/>
    </row>
    <row r="17" spans="2:24" s="294" customFormat="1" ht="12.6" customHeight="1" thickTop="1">
      <c r="F17" s="346" t="s">
        <v>191</v>
      </c>
      <c r="G17" s="3205">
        <f>SUM(G8:H16)</f>
        <v>39000</v>
      </c>
      <c r="H17" s="3206"/>
      <c r="J17" s="3205">
        <f>SUM(J8:K16)</f>
        <v>39000</v>
      </c>
      <c r="K17" s="3207"/>
      <c r="L17" s="2286"/>
      <c r="M17" s="3205">
        <f>SUM(M8:N16)</f>
        <v>0</v>
      </c>
      <c r="N17" s="3206"/>
      <c r="P17" s="3205">
        <f>SUM(P8:Q16)</f>
        <v>0</v>
      </c>
      <c r="Q17" s="3206"/>
      <c r="S17" s="3205">
        <f>SUM(S8:T16)</f>
        <v>0</v>
      </c>
      <c r="T17" s="3206"/>
      <c r="V17" s="2562">
        <f>SUM(V8:V16)</f>
        <v>0</v>
      </c>
      <c r="W17" s="3255"/>
      <c r="X17" s="3256"/>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3724</v>
      </c>
      <c r="F19" s="460">
        <f>IF('Part I-Project Information'!$O$37="","",G19/'Part I-Project Information'!$O$37)</f>
        <v>16069.975589910497</v>
      </c>
      <c r="G19" s="3090">
        <v>395000</v>
      </c>
      <c r="H19" s="3091"/>
      <c r="J19" s="348"/>
      <c r="K19" s="345"/>
      <c r="L19" s="348"/>
      <c r="M19" s="348"/>
      <c r="N19" s="345"/>
      <c r="P19" s="348"/>
      <c r="Q19" s="345"/>
      <c r="S19" s="3090">
        <v>395000</v>
      </c>
      <c r="T19" s="3091"/>
      <c r="V19" s="2560"/>
      <c r="W19" s="3201"/>
      <c r="X19" s="3202"/>
    </row>
    <row r="20" spans="2:24" s="294" customFormat="1" ht="12.6" customHeight="1">
      <c r="B20" s="294" t="s">
        <v>1119</v>
      </c>
      <c r="G20" s="3101"/>
      <c r="H20" s="3102"/>
      <c r="J20" s="348"/>
      <c r="K20" s="345"/>
      <c r="L20" s="348"/>
      <c r="M20" s="348"/>
      <c r="N20" s="345"/>
      <c r="P20" s="348"/>
      <c r="Q20" s="345"/>
      <c r="S20" s="3101"/>
      <c r="T20" s="3102"/>
      <c r="V20" s="2560"/>
      <c r="W20" s="3201"/>
      <c r="X20" s="3202"/>
    </row>
    <row r="21" spans="2:24" s="294" customFormat="1" ht="12.6" customHeight="1">
      <c r="B21" s="294" t="s">
        <v>458</v>
      </c>
      <c r="G21" s="3101"/>
      <c r="H21" s="3102"/>
      <c r="J21" s="348"/>
      <c r="K21" s="345"/>
      <c r="L21" s="348"/>
      <c r="M21" s="3090"/>
      <c r="N21" s="3091"/>
      <c r="P21" s="348"/>
      <c r="Q21" s="345"/>
      <c r="S21" s="3101"/>
      <c r="T21" s="3102"/>
      <c r="V21" s="2560"/>
      <c r="W21" s="3201"/>
      <c r="X21" s="3202"/>
    </row>
    <row r="22" spans="2:24" s="294" customFormat="1" ht="12.6" customHeight="1" thickBot="1">
      <c r="B22" s="294" t="s">
        <v>430</v>
      </c>
      <c r="G22" s="3208"/>
      <c r="H22" s="3209"/>
      <c r="J22" s="348"/>
      <c r="K22" s="345"/>
      <c r="L22" s="348"/>
      <c r="M22" s="3208"/>
      <c r="N22" s="3209"/>
      <c r="P22" s="348"/>
      <c r="Q22" s="345"/>
      <c r="S22" s="3208"/>
      <c r="T22" s="3209"/>
      <c r="V22" s="2560"/>
      <c r="W22" s="3242"/>
      <c r="X22" s="3243"/>
    </row>
    <row r="23" spans="2:24" s="294" customFormat="1" ht="12.6" customHeight="1" thickTop="1">
      <c r="F23" s="346" t="s">
        <v>191</v>
      </c>
      <c r="G23" s="3205">
        <f>SUM(G19:H22)</f>
        <v>395000</v>
      </c>
      <c r="H23" s="3206"/>
      <c r="J23" s="348"/>
      <c r="K23" s="345"/>
      <c r="L23" s="348"/>
      <c r="M23" s="3205">
        <f>SUM(M21:N22)</f>
        <v>0</v>
      </c>
      <c r="N23" s="3206"/>
      <c r="P23" s="348"/>
      <c r="Q23" s="345"/>
      <c r="S23" s="3205">
        <f>SUM(S19:T22)</f>
        <v>395000</v>
      </c>
      <c r="T23" s="3206"/>
      <c r="V23" s="2562">
        <f>SUM(V19:V22)</f>
        <v>0</v>
      </c>
      <c r="W23" s="3255"/>
      <c r="X23" s="3256"/>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3724</v>
      </c>
      <c r="F25" s="460">
        <f>IF('Part I-Project Information'!$O$37="","",G25/'Part I-Project Information'!$O$37)</f>
        <v>52888.527257933281</v>
      </c>
      <c r="G25" s="3090">
        <v>1300000</v>
      </c>
      <c r="H25" s="3091"/>
      <c r="J25" s="3090">
        <v>1235000</v>
      </c>
      <c r="K25" s="3091"/>
      <c r="L25" s="2286"/>
      <c r="M25" s="3210"/>
      <c r="N25" s="3211"/>
      <c r="P25" s="3210"/>
      <c r="Q25" s="3211"/>
      <c r="S25" s="3090">
        <v>65000</v>
      </c>
      <c r="T25" s="3091"/>
      <c r="V25" s="2560"/>
      <c r="W25" s="3201"/>
      <c r="X25" s="3202"/>
    </row>
    <row r="26" spans="2:24" s="294" customFormat="1" ht="12.6" customHeight="1" thickBot="1">
      <c r="B26" s="294" t="s">
        <v>1122</v>
      </c>
      <c r="G26" s="3208"/>
      <c r="H26" s="3209"/>
      <c r="J26" s="3208"/>
      <c r="K26" s="3209"/>
      <c r="L26" s="349"/>
      <c r="M26" s="3212"/>
      <c r="N26" s="3212"/>
      <c r="P26" s="3212"/>
      <c r="Q26" s="3212"/>
      <c r="S26" s="3208"/>
      <c r="T26" s="3209"/>
      <c r="V26" s="2560"/>
      <c r="W26" s="3242"/>
      <c r="X26" s="3243"/>
    </row>
    <row r="27" spans="2:24" s="294" customFormat="1" ht="12.6" customHeight="1" thickTop="1">
      <c r="F27" s="346" t="s">
        <v>191</v>
      </c>
      <c r="G27" s="3205">
        <f>SUM(G25:H26)</f>
        <v>1300000</v>
      </c>
      <c r="H27" s="3206"/>
      <c r="J27" s="3205">
        <f>SUM(J25:K26)</f>
        <v>1235000</v>
      </c>
      <c r="K27" s="3206"/>
      <c r="L27" s="348"/>
      <c r="M27" s="3205">
        <f>M25</f>
        <v>0</v>
      </c>
      <c r="N27" s="3206"/>
      <c r="P27" s="3205">
        <f>P25</f>
        <v>0</v>
      </c>
      <c r="Q27" s="3206"/>
      <c r="S27" s="3205">
        <f>SUM(S25:T26)</f>
        <v>65000</v>
      </c>
      <c r="T27" s="3206"/>
      <c r="V27" s="2562">
        <f>SUM(V25:V26)</f>
        <v>0</v>
      </c>
      <c r="W27" s="3255"/>
      <c r="X27" s="3256"/>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090">
        <v>3703200</v>
      </c>
      <c r="H29" s="3091"/>
      <c r="J29" s="3090">
        <v>3703200</v>
      </c>
      <c r="K29" s="3091"/>
      <c r="L29" s="2286"/>
      <c r="M29" s="3090"/>
      <c r="N29" s="3091"/>
      <c r="P29" s="3090"/>
      <c r="Q29" s="3091"/>
      <c r="S29" s="3090"/>
      <c r="T29" s="3091"/>
      <c r="V29" s="2560"/>
      <c r="W29" s="3201"/>
      <c r="X29" s="3202"/>
    </row>
    <row r="30" spans="2:24" s="294" customFormat="1" ht="12.6" customHeight="1">
      <c r="B30" s="294" t="s">
        <v>1125</v>
      </c>
      <c r="G30" s="3101"/>
      <c r="H30" s="3102"/>
      <c r="J30" s="3101"/>
      <c r="K30" s="3102"/>
      <c r="L30" s="2286"/>
      <c r="M30" s="3101"/>
      <c r="N30" s="3102"/>
      <c r="P30" s="3101"/>
      <c r="Q30" s="3102"/>
      <c r="S30" s="3101"/>
      <c r="T30" s="3102"/>
      <c r="V30" s="2560"/>
      <c r="W30" s="3201"/>
      <c r="X30" s="3202"/>
    </row>
    <row r="31" spans="2:24" s="294" customFormat="1" ht="12.6" customHeight="1">
      <c r="B31" s="294" t="s">
        <v>2780</v>
      </c>
      <c r="G31" s="3101">
        <v>200000</v>
      </c>
      <c r="H31" s="3102"/>
      <c r="J31" s="3101">
        <v>200000</v>
      </c>
      <c r="K31" s="3102"/>
      <c r="L31" s="2286"/>
      <c r="M31" s="3101"/>
      <c r="N31" s="3102"/>
      <c r="P31" s="3101"/>
      <c r="Q31" s="3102"/>
      <c r="S31" s="3101"/>
      <c r="T31" s="3102"/>
      <c r="V31" s="2560"/>
      <c r="W31" s="3201"/>
      <c r="X31" s="3202"/>
    </row>
    <row r="32" spans="2:24" ht="12.6" customHeight="1" thickBot="1">
      <c r="B32" s="294" t="s">
        <v>2779</v>
      </c>
      <c r="G32" s="3208"/>
      <c r="H32" s="3209"/>
      <c r="I32" s="294"/>
      <c r="J32" s="3208"/>
      <c r="K32" s="3209"/>
      <c r="L32" s="2286"/>
      <c r="M32" s="3208"/>
      <c r="N32" s="3209"/>
      <c r="O32" s="294"/>
      <c r="P32" s="3208"/>
      <c r="Q32" s="3209"/>
      <c r="R32" s="294"/>
      <c r="S32" s="3208"/>
      <c r="T32" s="3209"/>
      <c r="V32" s="2560"/>
      <c r="W32" s="3242"/>
      <c r="X32" s="3243"/>
    </row>
    <row r="33" spans="1:24" s="294" customFormat="1" ht="12.6" customHeight="1" thickTop="1">
      <c r="C33" s="3214"/>
      <c r="D33" s="3214"/>
      <c r="E33" s="2282"/>
      <c r="F33" s="346" t="s">
        <v>191</v>
      </c>
      <c r="G33" s="3205">
        <f>SUM(G29:H32)</f>
        <v>3903200</v>
      </c>
      <c r="H33" s="3206"/>
      <c r="J33" s="3205">
        <f>SUM(J29:K32)</f>
        <v>3903200</v>
      </c>
      <c r="K33" s="3206"/>
      <c r="L33" s="2286"/>
      <c r="M33" s="3205">
        <f>SUM(M29:N32)</f>
        <v>0</v>
      </c>
      <c r="N33" s="3206"/>
      <c r="P33" s="3205">
        <f>SUM(P29:Q32)</f>
        <v>0</v>
      </c>
      <c r="Q33" s="3206"/>
      <c r="S33" s="3205">
        <f>SUM(S29:T32)</f>
        <v>0</v>
      </c>
      <c r="T33" s="3206"/>
      <c r="V33" s="2562">
        <f>SUM(V29:V32)</f>
        <v>0</v>
      </c>
      <c r="W33" s="3255"/>
      <c r="X33" s="3256"/>
    </row>
    <row r="34" spans="1:24" s="294" customFormat="1" ht="12" customHeight="1">
      <c r="B34" s="296" t="s">
        <v>2343</v>
      </c>
      <c r="D34" s="3213" t="s">
        <v>3728</v>
      </c>
      <c r="E34" s="3213"/>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312192</v>
      </c>
      <c r="F35" s="976">
        <f>IF(($G$27+$G$33)=0,0,G35/($G$27+$G$33))</f>
        <v>0.06</v>
      </c>
      <c r="G35" s="3090">
        <v>312192</v>
      </c>
      <c r="H35" s="3091"/>
      <c r="I35" s="312"/>
      <c r="J35" s="3090">
        <v>312192</v>
      </c>
      <c r="K35" s="3091"/>
      <c r="L35" s="2286"/>
      <c r="M35" s="3090"/>
      <c r="N35" s="3091"/>
      <c r="P35" s="3090"/>
      <c r="Q35" s="3091"/>
      <c r="S35" s="3090"/>
      <c r="T35" s="3091"/>
      <c r="V35" s="2560"/>
      <c r="W35" s="3201"/>
      <c r="X35" s="3202"/>
    </row>
    <row r="36" spans="1:24" s="294" customFormat="1" ht="12.6" customHeight="1">
      <c r="B36" s="294" t="s">
        <v>2736</v>
      </c>
      <c r="D36" s="978">
        <f>'DCA Underwriting Assumptions'!$R$74</f>
        <v>0.02</v>
      </c>
      <c r="E36" s="979">
        <f>D36*(G27+G33)</f>
        <v>104064</v>
      </c>
      <c r="F36" s="976">
        <f>IF(($G$27+$G$33)=0,0,G36/($G$27+$G$33))</f>
        <v>0.02</v>
      </c>
      <c r="G36" s="3101">
        <v>104064</v>
      </c>
      <c r="H36" s="3102"/>
      <c r="I36" s="312"/>
      <c r="J36" s="3101">
        <v>104064</v>
      </c>
      <c r="K36" s="3102"/>
      <c r="L36" s="2286"/>
      <c r="M36" s="3101"/>
      <c r="N36" s="3102"/>
      <c r="P36" s="3101"/>
      <c r="Q36" s="3102"/>
      <c r="S36" s="3101"/>
      <c r="T36" s="3102"/>
      <c r="V36" s="2560"/>
      <c r="W36" s="3201"/>
      <c r="X36" s="3202"/>
    </row>
    <row r="37" spans="1:24" s="294" customFormat="1" ht="12.6" customHeight="1" thickBot="1">
      <c r="B37" s="294" t="s">
        <v>2737</v>
      </c>
      <c r="D37" s="982">
        <f>'DCA Underwriting Assumptions'!$R$75</f>
        <v>0.06</v>
      </c>
      <c r="E37" s="983">
        <f>D37*(G27+G33)</f>
        <v>312192</v>
      </c>
      <c r="F37" s="1225">
        <f>IF(($G$27+$G$33)=0,0,G37/($G$27+$G$33))</f>
        <v>0.06</v>
      </c>
      <c r="G37" s="3208">
        <v>312192</v>
      </c>
      <c r="H37" s="3209"/>
      <c r="I37" s="312"/>
      <c r="J37" s="3208">
        <v>312192</v>
      </c>
      <c r="K37" s="3209"/>
      <c r="L37" s="2286"/>
      <c r="M37" s="3208"/>
      <c r="N37" s="3209"/>
      <c r="P37" s="3208"/>
      <c r="Q37" s="3209"/>
      <c r="S37" s="3208"/>
      <c r="T37" s="3209"/>
      <c r="V37" s="2560"/>
      <c r="W37" s="3242"/>
      <c r="X37" s="3243"/>
    </row>
    <row r="38" spans="1:24" s="294" customFormat="1" ht="12.6" customHeight="1" thickTop="1">
      <c r="B38" s="172" t="s">
        <v>3729</v>
      </c>
      <c r="D38" s="980">
        <f>SUM(D35:D37)</f>
        <v>0.14000000000000001</v>
      </c>
      <c r="E38" s="981">
        <f>SUM(E35:E37)</f>
        <v>728448</v>
      </c>
      <c r="F38" s="963" t="s">
        <v>191</v>
      </c>
      <c r="G38" s="3205">
        <f>SUM(G35:H37)</f>
        <v>728448</v>
      </c>
      <c r="H38" s="3206"/>
      <c r="J38" s="3205">
        <f>SUM(J35:K37)</f>
        <v>728448</v>
      </c>
      <c r="K38" s="3206"/>
      <c r="L38" s="348"/>
      <c r="M38" s="3205">
        <f>SUM(M35:N37)</f>
        <v>0</v>
      </c>
      <c r="N38" s="3206"/>
      <c r="P38" s="3205">
        <f>SUM(P35:Q37)</f>
        <v>0</v>
      </c>
      <c r="Q38" s="3206"/>
      <c r="S38" s="3205">
        <f>SUM(S35:T37)</f>
        <v>0</v>
      </c>
      <c r="T38" s="3206"/>
      <c r="V38" s="2562">
        <f>SUM(V35:V37)</f>
        <v>0</v>
      </c>
      <c r="W38" s="3255"/>
      <c r="X38" s="3256"/>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03" t="s">
        <v>3709</v>
      </c>
      <c r="D41" s="3233"/>
      <c r="E41" s="3233"/>
      <c r="F41" s="3234"/>
      <c r="G41" s="3215"/>
      <c r="H41" s="3216"/>
      <c r="I41" s="294"/>
      <c r="J41" s="3215"/>
      <c r="K41" s="3216"/>
      <c r="L41" s="2286"/>
      <c r="M41" s="3215"/>
      <c r="N41" s="3216"/>
      <c r="O41" s="294"/>
      <c r="P41" s="3215"/>
      <c r="Q41" s="3216"/>
      <c r="R41" s="294"/>
      <c r="S41" s="3215"/>
      <c r="T41" s="3216"/>
      <c r="V41" s="2560"/>
      <c r="W41" s="3221"/>
      <c r="X41" s="3222"/>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23"/>
      <c r="X42" s="3224"/>
    </row>
    <row r="43" spans="1:24" s="294" customFormat="1" ht="12.6" customHeight="1">
      <c r="B43" s="505" t="s">
        <v>2745</v>
      </c>
      <c r="C43" s="506"/>
      <c r="E43" s="3227" t="s">
        <v>2744</v>
      </c>
      <c r="F43" s="2284">
        <f>B44/'Part VI-Revenues &amp; Expenses'!$O$65</f>
        <v>123576</v>
      </c>
      <c r="G43" s="2285" t="s">
        <v>2771</v>
      </c>
      <c r="H43" s="2280"/>
      <c r="I43" s="2280"/>
      <c r="J43" s="3229">
        <f>B44/'Part VI-Revenues &amp; Expenses'!$O$67</f>
        <v>123576</v>
      </c>
      <c r="K43" s="3229"/>
      <c r="L43" s="2280"/>
      <c r="M43" s="3230" t="s">
        <v>1402</v>
      </c>
      <c r="N43" s="3230"/>
      <c r="O43" s="2280"/>
      <c r="P43" s="3229">
        <f>B44/'Part I-Project Information'!$P$75</f>
        <v>129.17351916376307</v>
      </c>
      <c r="Q43" s="3229"/>
      <c r="R43" s="2280"/>
      <c r="S43" s="3231" t="s">
        <v>2778</v>
      </c>
      <c r="T43" s="3232"/>
      <c r="V43" s="1076"/>
      <c r="W43" s="3223"/>
      <c r="X43" s="3224"/>
    </row>
    <row r="44" spans="1:24" s="294" customFormat="1" ht="12.6" customHeight="1">
      <c r="B44" s="3217">
        <f>G27+G33+G38+G41</f>
        <v>5931648</v>
      </c>
      <c r="C44" s="3218"/>
      <c r="E44" s="3228"/>
      <c r="F44" s="2283">
        <f>B44/'Part VI-Revenues &amp; Expenses'!$O$154</f>
        <v>135.05573770491804</v>
      </c>
      <c r="G44" s="504" t="s">
        <v>2772</v>
      </c>
      <c r="H44" s="2273"/>
      <c r="I44" s="2273"/>
      <c r="J44" s="3219">
        <f>B44/'Part VI-Revenues &amp; Expenses'!$O$156</f>
        <v>135.05573770491804</v>
      </c>
      <c r="K44" s="3219"/>
      <c r="L44" s="2273"/>
      <c r="M44" s="3220" t="s">
        <v>2777</v>
      </c>
      <c r="N44" s="3220"/>
      <c r="O44" s="2273"/>
      <c r="P44" s="2273"/>
      <c r="Q44" s="2273"/>
      <c r="R44" s="2273"/>
      <c r="S44" s="2273"/>
      <c r="T44" s="338"/>
      <c r="V44" s="1076"/>
      <c r="W44" s="3225"/>
      <c r="X44" s="3226"/>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4184</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4183</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296582.40000000002</v>
      </c>
      <c r="F47" s="350">
        <f>G47/B44</f>
        <v>4.9999932565115125E-2</v>
      </c>
      <c r="G47" s="3215">
        <v>296582</v>
      </c>
      <c r="H47" s="3216"/>
      <c r="I47" s="294"/>
      <c r="J47" s="3215">
        <v>296582</v>
      </c>
      <c r="K47" s="3216"/>
      <c r="L47" s="2286"/>
      <c r="M47" s="3215"/>
      <c r="N47" s="3216"/>
      <c r="O47" s="294"/>
      <c r="P47" s="3215"/>
      <c r="Q47" s="3216"/>
      <c r="R47" s="294"/>
      <c r="S47" s="3215"/>
      <c r="T47" s="3216"/>
      <c r="V47" s="2560"/>
      <c r="W47" s="3201"/>
      <c r="X47" s="3202"/>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2845</v>
      </c>
      <c r="H49" s="2276"/>
      <c r="I49" s="2276"/>
      <c r="J49" s="3191" t="s">
        <v>271</v>
      </c>
      <c r="K49" s="3192"/>
      <c r="L49" s="345"/>
      <c r="M49" s="3195" t="s">
        <v>489</v>
      </c>
      <c r="N49" s="3196"/>
      <c r="P49" s="3191" t="s">
        <v>272</v>
      </c>
      <c r="Q49" s="3192"/>
      <c r="S49" s="3191" t="s">
        <v>273</v>
      </c>
      <c r="T49" s="3192"/>
      <c r="V49" s="1076"/>
      <c r="W49" s="423" t="str">
        <f>B49</f>
        <v>DEVELOPMENT BUDGET (cont'd)</v>
      </c>
    </row>
    <row r="50" spans="1:24" s="294" customFormat="1" ht="18.75" customHeight="1" thickBot="1">
      <c r="G50" s="3199" t="s">
        <v>101</v>
      </c>
      <c r="H50" s="3200"/>
      <c r="J50" s="3193"/>
      <c r="K50" s="3194"/>
      <c r="L50" s="345"/>
      <c r="M50" s="3197"/>
      <c r="N50" s="3198"/>
      <c r="P50" s="3193"/>
      <c r="Q50" s="3194"/>
      <c r="S50" s="3193"/>
      <c r="T50" s="3194"/>
      <c r="V50" s="1076"/>
      <c r="W50" s="3317" t="s">
        <v>2683</v>
      </c>
      <c r="X50" s="3317"/>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3730</v>
      </c>
      <c r="G52" s="3090"/>
      <c r="H52" s="3091"/>
      <c r="J52" s="3090"/>
      <c r="K52" s="3091"/>
      <c r="L52" s="2286"/>
      <c r="M52" s="3090"/>
      <c r="N52" s="3091"/>
      <c r="P52" s="3090"/>
      <c r="Q52" s="3091"/>
      <c r="S52" s="3090"/>
      <c r="T52" s="3091"/>
      <c r="V52" s="2563"/>
      <c r="W52" s="3201"/>
      <c r="X52" s="3202"/>
    </row>
    <row r="53" spans="1:24" s="294" customFormat="1" ht="12" customHeight="1">
      <c r="B53" s="294" t="s">
        <v>3731</v>
      </c>
      <c r="G53" s="3101"/>
      <c r="H53" s="3102"/>
      <c r="J53" s="3101"/>
      <c r="K53" s="3102"/>
      <c r="L53" s="2286"/>
      <c r="M53" s="3101"/>
      <c r="N53" s="3102"/>
      <c r="P53" s="3101"/>
      <c r="Q53" s="3102"/>
      <c r="S53" s="3101"/>
      <c r="T53" s="3102"/>
      <c r="V53" s="2563"/>
      <c r="W53" s="3201"/>
      <c r="X53" s="3202"/>
    </row>
    <row r="54" spans="1:24" s="294" customFormat="1" ht="12" customHeight="1">
      <c r="B54" s="294" t="s">
        <v>2346</v>
      </c>
      <c r="G54" s="3101">
        <v>61473</v>
      </c>
      <c r="H54" s="3102"/>
      <c r="J54" s="3101">
        <v>61473</v>
      </c>
      <c r="K54" s="3102"/>
      <c r="L54" s="2286"/>
      <c r="M54" s="3101"/>
      <c r="N54" s="3102"/>
      <c r="P54" s="3101"/>
      <c r="Q54" s="3102"/>
      <c r="S54" s="3101"/>
      <c r="T54" s="3102"/>
      <c r="V54" s="2563"/>
      <c r="W54" s="3201"/>
      <c r="X54" s="3202"/>
    </row>
    <row r="55" spans="1:24" s="294" customFormat="1" ht="12" customHeight="1">
      <c r="B55" s="294" t="s">
        <v>2347</v>
      </c>
      <c r="G55" s="3101">
        <v>230622</v>
      </c>
      <c r="H55" s="3102"/>
      <c r="J55" s="3101">
        <v>230622</v>
      </c>
      <c r="K55" s="3102"/>
      <c r="L55" s="2286"/>
      <c r="M55" s="3101"/>
      <c r="N55" s="3102"/>
      <c r="P55" s="3101"/>
      <c r="Q55" s="3102"/>
      <c r="S55" s="3101"/>
      <c r="T55" s="3102"/>
      <c r="V55" s="2563"/>
      <c r="W55" s="3201"/>
      <c r="X55" s="3202"/>
    </row>
    <row r="56" spans="1:24" s="294" customFormat="1" ht="12" customHeight="1">
      <c r="B56" s="294" t="s">
        <v>2348</v>
      </c>
      <c r="G56" s="3101">
        <v>20000</v>
      </c>
      <c r="H56" s="3102"/>
      <c r="J56" s="3101">
        <v>20000</v>
      </c>
      <c r="K56" s="3102"/>
      <c r="L56" s="2286"/>
      <c r="M56" s="3101"/>
      <c r="N56" s="3102"/>
      <c r="P56" s="3101"/>
      <c r="Q56" s="3102"/>
      <c r="S56" s="3101"/>
      <c r="T56" s="3102"/>
      <c r="V56" s="2563"/>
      <c r="W56" s="3201"/>
      <c r="X56" s="3202"/>
    </row>
    <row r="57" spans="1:24" s="294" customFormat="1" ht="12" customHeight="1">
      <c r="B57" s="294" t="s">
        <v>2687</v>
      </c>
      <c r="G57" s="3101">
        <v>5000</v>
      </c>
      <c r="H57" s="3102"/>
      <c r="J57" s="3101">
        <v>5000</v>
      </c>
      <c r="K57" s="3102"/>
      <c r="L57" s="2286"/>
      <c r="M57" s="3101"/>
      <c r="N57" s="3102"/>
      <c r="P57" s="3101"/>
      <c r="Q57" s="3102"/>
      <c r="S57" s="3101"/>
      <c r="T57" s="3102"/>
      <c r="V57" s="2563"/>
      <c r="W57" s="3201"/>
      <c r="X57" s="3202"/>
    </row>
    <row r="58" spans="1:24" s="294" customFormat="1" ht="12" customHeight="1">
      <c r="B58" s="294" t="s">
        <v>723</v>
      </c>
      <c r="G58" s="3101">
        <v>7500</v>
      </c>
      <c r="H58" s="3102"/>
      <c r="J58" s="3101">
        <v>7500</v>
      </c>
      <c r="K58" s="3102"/>
      <c r="L58" s="2286"/>
      <c r="M58" s="3101"/>
      <c r="N58" s="3102"/>
      <c r="P58" s="3101"/>
      <c r="Q58" s="3102"/>
      <c r="S58" s="3101"/>
      <c r="T58" s="3102"/>
      <c r="V58" s="2563"/>
      <c r="W58" s="3201"/>
      <c r="X58" s="3202"/>
    </row>
    <row r="59" spans="1:24" s="294" customFormat="1" ht="12" customHeight="1">
      <c r="B59" s="294" t="s">
        <v>2349</v>
      </c>
      <c r="G59" s="3101">
        <v>25000</v>
      </c>
      <c r="H59" s="3102"/>
      <c r="J59" s="3101">
        <v>25000</v>
      </c>
      <c r="K59" s="3102"/>
      <c r="L59" s="2286"/>
      <c r="M59" s="3101"/>
      <c r="N59" s="3102"/>
      <c r="P59" s="3101"/>
      <c r="Q59" s="3102"/>
      <c r="S59" s="3101"/>
      <c r="T59" s="3102"/>
      <c r="V59" s="2563"/>
      <c r="W59" s="3201"/>
      <c r="X59" s="3202"/>
    </row>
    <row r="60" spans="1:24" s="294" customFormat="1" ht="12" customHeight="1">
      <c r="B60" s="294" t="s">
        <v>1276</v>
      </c>
      <c r="G60" s="3101">
        <v>25000</v>
      </c>
      <c r="H60" s="3102"/>
      <c r="J60" s="3101">
        <v>25000</v>
      </c>
      <c r="K60" s="3102"/>
      <c r="L60" s="2286"/>
      <c r="M60" s="3101"/>
      <c r="N60" s="3102"/>
      <c r="P60" s="3101"/>
      <c r="Q60" s="3102"/>
      <c r="S60" s="3101"/>
      <c r="T60" s="3102"/>
      <c r="V60" s="2563"/>
      <c r="W60" s="3201"/>
      <c r="X60" s="3202"/>
    </row>
    <row r="61" spans="1:24" s="294" customFormat="1" ht="12" customHeight="1">
      <c r="B61" s="352" t="s">
        <v>1153</v>
      </c>
      <c r="D61" s="350"/>
      <c r="E61" s="350"/>
      <c r="F61" s="351"/>
      <c r="G61" s="3101"/>
      <c r="H61" s="3102"/>
      <c r="I61" s="312"/>
      <c r="J61" s="3101"/>
      <c r="K61" s="3102"/>
      <c r="L61" s="2286"/>
      <c r="M61" s="3101"/>
      <c r="N61" s="3102"/>
      <c r="P61" s="3101"/>
      <c r="Q61" s="3102"/>
      <c r="S61" s="3101"/>
      <c r="T61" s="3102"/>
      <c r="V61" s="2563"/>
      <c r="W61" s="3201"/>
      <c r="X61" s="3202"/>
    </row>
    <row r="62" spans="1:24" s="294" customFormat="1" ht="12" customHeight="1">
      <c r="A62" s="372" t="str">
        <f>IF(AND(G62&gt;0,OR(C62="",C62="&lt;Enter detailed description here; use Comments section if needed&gt;")),"X","")</f>
        <v/>
      </c>
      <c r="B62" s="294" t="s">
        <v>741</v>
      </c>
      <c r="C62" s="3237" t="s">
        <v>3709</v>
      </c>
      <c r="D62" s="3237"/>
      <c r="E62" s="3237"/>
      <c r="F62" s="3238"/>
      <c r="G62" s="3101"/>
      <c r="H62" s="3102"/>
      <c r="J62" s="3101"/>
      <c r="K62" s="3102"/>
      <c r="L62" s="2286"/>
      <c r="M62" s="3101"/>
      <c r="N62" s="3102"/>
      <c r="P62" s="3101"/>
      <c r="Q62" s="3102"/>
      <c r="S62" s="3101"/>
      <c r="T62" s="3102"/>
      <c r="U62" s="371" t="str">
        <f>IF(AND(G62&gt;0,OR(C62="",C62="&lt;Enter detailed description here; use Comments section if needed&gt;")),"NO DESCRIPTION PROVIDED - please enter detailed description in Other box at left; use Comments section below if needed.","")</f>
        <v/>
      </c>
      <c r="V62" s="2563"/>
      <c r="W62" s="3201"/>
      <c r="X62" s="3202"/>
    </row>
    <row r="63" spans="1:24" s="294" customFormat="1" ht="12" customHeight="1" thickBot="1">
      <c r="A63" s="372" t="str">
        <f>IF(AND(G63&gt;0,OR(C63="",C63="&lt;Enter detailed description here; use Comments section if needed&gt;")),"X","")</f>
        <v/>
      </c>
      <c r="B63" s="294" t="s">
        <v>741</v>
      </c>
      <c r="C63" s="3235" t="s">
        <v>3709</v>
      </c>
      <c r="D63" s="3235"/>
      <c r="E63" s="3235"/>
      <c r="F63" s="3236"/>
      <c r="G63" s="3079"/>
      <c r="H63" s="3080"/>
      <c r="J63" s="3079"/>
      <c r="K63" s="3080"/>
      <c r="L63" s="2286"/>
      <c r="M63" s="3079"/>
      <c r="N63" s="3080"/>
      <c r="P63" s="3079"/>
      <c r="Q63" s="3080"/>
      <c r="S63" s="3079"/>
      <c r="T63" s="3080"/>
      <c r="U63" s="371" t="str">
        <f>IF(AND(G63&gt;0,OR(C63="",C63="&lt;Enter detailed description here; use Comments section if needed&gt;")),"NO DESCRIPTION PROVIDED - please enter detailed description in Other box at left; use Comments section below if needed.","")</f>
        <v/>
      </c>
      <c r="V63" s="2563"/>
      <c r="W63" s="3242"/>
      <c r="X63" s="3243"/>
    </row>
    <row r="64" spans="1:24" s="294" customFormat="1" ht="12" customHeight="1" thickTop="1">
      <c r="F64" s="346" t="s">
        <v>191</v>
      </c>
      <c r="G64" s="3205">
        <f>SUM(G52:H63)</f>
        <v>374595</v>
      </c>
      <c r="H64" s="3206"/>
      <c r="J64" s="3205">
        <f>SUM(J52:K63)</f>
        <v>374595</v>
      </c>
      <c r="K64" s="3206"/>
      <c r="L64" s="348"/>
      <c r="M64" s="3205">
        <f>SUM(M52:N63)</f>
        <v>0</v>
      </c>
      <c r="N64" s="3206"/>
      <c r="P64" s="3205">
        <f>SUM(P52:Q63)</f>
        <v>0</v>
      </c>
      <c r="Q64" s="3206"/>
      <c r="S64" s="3205">
        <f>SUM(S52:T63)</f>
        <v>0</v>
      </c>
      <c r="T64" s="3206"/>
      <c r="V64" s="2564">
        <f>SUM(V52:V63)</f>
        <v>0</v>
      </c>
      <c r="W64" s="3255"/>
      <c r="X64" s="3256"/>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090">
        <v>120000</v>
      </c>
      <c r="H66" s="3091"/>
      <c r="J66" s="3090">
        <v>120000</v>
      </c>
      <c r="K66" s="3091"/>
      <c r="L66" s="2286"/>
      <c r="M66" s="3090"/>
      <c r="N66" s="3091"/>
      <c r="P66" s="3090"/>
      <c r="Q66" s="3091"/>
      <c r="S66" s="3090"/>
      <c r="T66" s="3091"/>
      <c r="V66" s="2560"/>
      <c r="W66" s="3201"/>
      <c r="X66" s="3202"/>
    </row>
    <row r="67" spans="1:24" s="294" customFormat="1" ht="12" customHeight="1">
      <c r="B67" s="294" t="s">
        <v>478</v>
      </c>
      <c r="G67" s="3101">
        <v>24000</v>
      </c>
      <c r="H67" s="3102"/>
      <c r="J67" s="3101">
        <v>24000</v>
      </c>
      <c r="K67" s="3102"/>
      <c r="L67" s="2286"/>
      <c r="M67" s="3101"/>
      <c r="N67" s="3102"/>
      <c r="P67" s="3101"/>
      <c r="Q67" s="3102"/>
      <c r="S67" s="3101"/>
      <c r="T67" s="3102"/>
      <c r="V67" s="2560"/>
      <c r="W67" s="3201"/>
      <c r="X67" s="3202"/>
    </row>
    <row r="68" spans="1:24" s="294" customFormat="1" ht="12" customHeight="1">
      <c r="B68" s="294" t="s">
        <v>1127</v>
      </c>
      <c r="D68" s="306" t="s">
        <v>3843</v>
      </c>
      <c r="E68" s="1068">
        <f>'DCA Underwriting Assumptions'!R76</f>
        <v>20000</v>
      </c>
      <c r="F68" s="1069" t="str">
        <f>IF(G68&gt;E68,"CHECK!!!","")</f>
        <v/>
      </c>
      <c r="G68" s="3101">
        <v>20000</v>
      </c>
      <c r="H68" s="3102"/>
      <c r="J68" s="3101">
        <v>20000</v>
      </c>
      <c r="K68" s="3102"/>
      <c r="L68" s="2286"/>
      <c r="M68" s="3101"/>
      <c r="N68" s="3102"/>
      <c r="P68" s="3101"/>
      <c r="Q68" s="3102"/>
      <c r="S68" s="3101"/>
      <c r="T68" s="3102"/>
      <c r="V68" s="2560"/>
      <c r="W68" s="3201"/>
      <c r="X68" s="3202"/>
    </row>
    <row r="69" spans="1:24" s="294" customFormat="1" ht="12" customHeight="1">
      <c r="B69" s="294" t="s">
        <v>1128</v>
      </c>
      <c r="G69" s="3101">
        <v>10000</v>
      </c>
      <c r="H69" s="3102"/>
      <c r="J69" s="3101">
        <v>10000</v>
      </c>
      <c r="K69" s="3102"/>
      <c r="L69" s="2286"/>
      <c r="M69" s="3101"/>
      <c r="N69" s="3102"/>
      <c r="P69" s="3101"/>
      <c r="Q69" s="3102"/>
      <c r="S69" s="3101"/>
      <c r="T69" s="3102"/>
      <c r="V69" s="2560"/>
      <c r="W69" s="3201"/>
      <c r="X69" s="3202"/>
    </row>
    <row r="70" spans="1:24" s="294" customFormat="1" ht="12" customHeight="1">
      <c r="B70" s="294" t="s">
        <v>1129</v>
      </c>
      <c r="G70" s="3101">
        <v>17500</v>
      </c>
      <c r="H70" s="3102"/>
      <c r="J70" s="3101">
        <v>17500</v>
      </c>
      <c r="K70" s="3102"/>
      <c r="L70" s="2286"/>
      <c r="M70" s="3101"/>
      <c r="N70" s="3102"/>
      <c r="P70" s="3101"/>
      <c r="Q70" s="3102"/>
      <c r="S70" s="3101"/>
      <c r="T70" s="3102"/>
      <c r="V70" s="2560"/>
      <c r="W70" s="3201"/>
      <c r="X70" s="3202"/>
    </row>
    <row r="71" spans="1:24" s="294" customFormat="1" ht="12" customHeight="1">
      <c r="B71" s="294" t="s">
        <v>1130</v>
      </c>
      <c r="G71" s="3101">
        <v>25000</v>
      </c>
      <c r="H71" s="3102"/>
      <c r="J71" s="3101">
        <v>25000</v>
      </c>
      <c r="K71" s="3102"/>
      <c r="L71" s="2286"/>
      <c r="M71" s="3101"/>
      <c r="N71" s="3102"/>
      <c r="P71" s="3101"/>
      <c r="Q71" s="3102"/>
      <c r="S71" s="3101"/>
      <c r="T71" s="3102"/>
      <c r="V71" s="2560"/>
      <c r="W71" s="3201"/>
      <c r="X71" s="3202"/>
    </row>
    <row r="72" spans="1:24" s="294" customFormat="1" ht="12" customHeight="1">
      <c r="B72" s="294" t="s">
        <v>479</v>
      </c>
      <c r="G72" s="3101">
        <v>70000</v>
      </c>
      <c r="H72" s="3102"/>
      <c r="J72" s="3101">
        <v>70000</v>
      </c>
      <c r="K72" s="3102"/>
      <c r="L72" s="2286"/>
      <c r="M72" s="3101"/>
      <c r="N72" s="3102"/>
      <c r="P72" s="3101"/>
      <c r="Q72" s="3102"/>
      <c r="S72" s="3101"/>
      <c r="T72" s="3102"/>
      <c r="V72" s="2560"/>
      <c r="W72" s="3201"/>
      <c r="X72" s="3202"/>
    </row>
    <row r="73" spans="1:24" s="294" customFormat="1" ht="12" customHeight="1">
      <c r="B73" s="294" t="s">
        <v>480</v>
      </c>
      <c r="G73" s="3101">
        <v>25000</v>
      </c>
      <c r="H73" s="3102"/>
      <c r="J73" s="3101">
        <v>15000</v>
      </c>
      <c r="K73" s="3102"/>
      <c r="L73" s="2286"/>
      <c r="M73" s="3101"/>
      <c r="N73" s="3102"/>
      <c r="P73" s="3101"/>
      <c r="Q73" s="3102"/>
      <c r="S73" s="3101">
        <v>10000</v>
      </c>
      <c r="T73" s="3102"/>
      <c r="V73" s="2560"/>
      <c r="W73" s="3201"/>
      <c r="X73" s="3202"/>
    </row>
    <row r="74" spans="1:24" s="294" customFormat="1" ht="12" customHeight="1">
      <c r="B74" s="294" t="s">
        <v>2049</v>
      </c>
      <c r="G74" s="3101">
        <v>15000</v>
      </c>
      <c r="H74" s="3102"/>
      <c r="J74" s="3101">
        <v>15000</v>
      </c>
      <c r="K74" s="3102"/>
      <c r="L74" s="2286"/>
      <c r="M74" s="3101"/>
      <c r="N74" s="3102"/>
      <c r="P74" s="3101"/>
      <c r="Q74" s="3102"/>
      <c r="S74" s="3101"/>
      <c r="T74" s="3102"/>
      <c r="V74" s="2560"/>
      <c r="W74" s="3201"/>
      <c r="X74" s="3202"/>
    </row>
    <row r="75" spans="1:24" s="294" customFormat="1" ht="12" customHeight="1">
      <c r="B75" s="294" t="s">
        <v>1277</v>
      </c>
      <c r="G75" s="3101">
        <v>10000</v>
      </c>
      <c r="H75" s="3102"/>
      <c r="J75" s="3101">
        <v>10000</v>
      </c>
      <c r="K75" s="3102"/>
      <c r="L75" s="2286"/>
      <c r="M75" s="3101"/>
      <c r="N75" s="3102"/>
      <c r="P75" s="3101"/>
      <c r="Q75" s="3102"/>
      <c r="S75" s="3101"/>
      <c r="T75" s="3102"/>
      <c r="V75" s="2560"/>
      <c r="W75" s="3201"/>
      <c r="X75" s="3202"/>
    </row>
    <row r="76" spans="1:24" s="294" customFormat="1" ht="12" customHeight="1" thickBot="1">
      <c r="A76" s="372" t="str">
        <f>IF(AND(G76&gt;0,OR(C76="",C76="&lt;Enter detailed description here; use Comments section if needed&gt;")),"X","")</f>
        <v/>
      </c>
      <c r="B76" s="294" t="s">
        <v>741</v>
      </c>
      <c r="C76" s="3203" t="s">
        <v>3709</v>
      </c>
      <c r="D76" s="3203"/>
      <c r="E76" s="3203"/>
      <c r="F76" s="3204"/>
      <c r="G76" s="3079"/>
      <c r="H76" s="3080"/>
      <c r="J76" s="3079"/>
      <c r="K76" s="3080"/>
      <c r="L76" s="2286"/>
      <c r="M76" s="3079"/>
      <c r="N76" s="3080"/>
      <c r="P76" s="3079"/>
      <c r="Q76" s="3080"/>
      <c r="S76" s="3079"/>
      <c r="T76" s="3080"/>
      <c r="U76" s="371" t="str">
        <f>IF(AND(G76&gt;0,OR(C76="",C76="&lt;Enter detailed description here; use Comments section if needed&gt;")),"NO DESCRIPTION PROVIDED - please enter detailed description in Other box at left; use Comments section below if needed.","")</f>
        <v/>
      </c>
      <c r="V76" s="2560"/>
      <c r="W76" s="3242"/>
      <c r="X76" s="3243"/>
    </row>
    <row r="77" spans="1:24" s="294" customFormat="1" ht="12" customHeight="1" thickTop="1">
      <c r="F77" s="346" t="s">
        <v>191</v>
      </c>
      <c r="G77" s="3205">
        <f>SUM(G66:H76)</f>
        <v>336500</v>
      </c>
      <c r="H77" s="3206"/>
      <c r="J77" s="3205">
        <f>SUM(J66:K76)</f>
        <v>326500</v>
      </c>
      <c r="K77" s="3206"/>
      <c r="L77" s="348"/>
      <c r="M77" s="3205">
        <f>SUM(M66:N76)</f>
        <v>0</v>
      </c>
      <c r="N77" s="3206"/>
      <c r="P77" s="3205">
        <f>SUM(P66:Q76)</f>
        <v>0</v>
      </c>
      <c r="Q77" s="3206"/>
      <c r="S77" s="3205">
        <f>SUM(S66:T76)</f>
        <v>10000</v>
      </c>
      <c r="T77" s="3206"/>
      <c r="V77" s="2562">
        <f>SUM(V66:V76)</f>
        <v>0</v>
      </c>
      <c r="W77" s="3255"/>
      <c r="X77" s="3256"/>
    </row>
    <row r="78" spans="1:24" ht="12" customHeight="1">
      <c r="A78" s="294"/>
      <c r="B78" s="296" t="s">
        <v>1269</v>
      </c>
      <c r="C78" s="294"/>
      <c r="D78" s="907" t="s">
        <v>3732</v>
      </c>
      <c r="E78" s="985">
        <f>G83/'Part VI-Revenues &amp; Expenses'!$O$67</f>
        <v>4288.875</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090">
        <v>9066</v>
      </c>
      <c r="H79" s="3091"/>
      <c r="J79" s="3239">
        <v>9066</v>
      </c>
      <c r="K79" s="3240"/>
      <c r="L79" s="2286"/>
      <c r="M79" s="3090"/>
      <c r="N79" s="3091"/>
      <c r="P79" s="3090"/>
      <c r="Q79" s="3091"/>
      <c r="S79" s="3090"/>
      <c r="T79" s="3091"/>
      <c r="V79" s="2560"/>
      <c r="W79" s="3201"/>
      <c r="X79" s="3202"/>
    </row>
    <row r="80" spans="1:24" s="294" customFormat="1" ht="12" customHeight="1">
      <c r="B80" s="294" t="s">
        <v>1271</v>
      </c>
      <c r="G80" s="3101"/>
      <c r="H80" s="3102"/>
      <c r="J80" s="3101"/>
      <c r="K80" s="3102"/>
      <c r="L80" s="2286"/>
      <c r="M80" s="3101"/>
      <c r="N80" s="3102"/>
      <c r="P80" s="3101"/>
      <c r="Q80" s="3102"/>
      <c r="S80" s="3101"/>
      <c r="T80" s="3102"/>
      <c r="V80" s="2560"/>
      <c r="W80" s="3201"/>
      <c r="X80" s="3202"/>
    </row>
    <row r="81" spans="1:24" s="294" customFormat="1" ht="12" customHeight="1">
      <c r="B81" s="294" t="s">
        <v>1272</v>
      </c>
      <c r="D81" s="354" t="s">
        <v>1403</v>
      </c>
      <c r="E81" s="2565" t="s">
        <v>2993</v>
      </c>
      <c r="G81" s="3101">
        <v>72000</v>
      </c>
      <c r="H81" s="3102"/>
      <c r="I81" s="312"/>
      <c r="J81" s="3101">
        <v>72000</v>
      </c>
      <c r="K81" s="3102"/>
      <c r="L81" s="2286"/>
      <c r="M81" s="3101"/>
      <c r="N81" s="3102"/>
      <c r="P81" s="3101"/>
      <c r="Q81" s="3102"/>
      <c r="S81" s="3101"/>
      <c r="T81" s="3102"/>
      <c r="V81" s="2560"/>
      <c r="W81" s="3201"/>
      <c r="X81" s="3202"/>
    </row>
    <row r="82" spans="1:24" s="294" customFormat="1" ht="12" customHeight="1" thickBot="1">
      <c r="B82" s="294" t="s">
        <v>1273</v>
      </c>
      <c r="D82" s="354" t="s">
        <v>1403</v>
      </c>
      <c r="E82" s="2566" t="s">
        <v>2993</v>
      </c>
      <c r="G82" s="3079">
        <v>124800</v>
      </c>
      <c r="H82" s="3080"/>
      <c r="I82" s="312"/>
      <c r="J82" s="3079">
        <v>124800</v>
      </c>
      <c r="K82" s="3080"/>
      <c r="L82" s="2286"/>
      <c r="M82" s="3079"/>
      <c r="N82" s="3080"/>
      <c r="P82" s="3079"/>
      <c r="Q82" s="3080"/>
      <c r="S82" s="3079"/>
      <c r="T82" s="3080"/>
      <c r="V82" s="2560"/>
      <c r="W82" s="3242"/>
      <c r="X82" s="3243"/>
    </row>
    <row r="83" spans="1:24" s="294" customFormat="1" ht="12" customHeight="1" thickTop="1">
      <c r="F83" s="346" t="s">
        <v>191</v>
      </c>
      <c r="G83" s="3205">
        <f>SUM(G79:H82)</f>
        <v>205866</v>
      </c>
      <c r="H83" s="3206"/>
      <c r="J83" s="3205">
        <f>SUM(J79:K82)</f>
        <v>205866</v>
      </c>
      <c r="K83" s="3206"/>
      <c r="L83" s="348"/>
      <c r="M83" s="3205">
        <f>SUM(M79:N82)</f>
        <v>0</v>
      </c>
      <c r="N83" s="3206"/>
      <c r="P83" s="3205">
        <f>SUM(P79:Q82)</f>
        <v>0</v>
      </c>
      <c r="Q83" s="3206"/>
      <c r="S83" s="3205">
        <f>SUM(S79:T82)</f>
        <v>0</v>
      </c>
      <c r="T83" s="3206"/>
      <c r="V83" s="2562">
        <f>SUM(V79:V82)</f>
        <v>0</v>
      </c>
      <c r="W83" s="3255"/>
      <c r="X83" s="3256"/>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090"/>
      <c r="H85" s="3091"/>
      <c r="J85" s="3241"/>
      <c r="K85" s="3241"/>
      <c r="L85" s="2286"/>
      <c r="M85" s="3241"/>
      <c r="N85" s="3241"/>
      <c r="P85" s="3241"/>
      <c r="Q85" s="3241"/>
      <c r="S85" s="3090"/>
      <c r="T85" s="3091"/>
      <c r="V85" s="2560"/>
      <c r="W85" s="3201"/>
      <c r="X85" s="3202"/>
    </row>
    <row r="86" spans="1:24" s="294" customFormat="1" ht="12" customHeight="1">
      <c r="B86" s="294" t="s">
        <v>1275</v>
      </c>
      <c r="G86" s="3101"/>
      <c r="H86" s="3102"/>
      <c r="J86" s="3241"/>
      <c r="K86" s="3241"/>
      <c r="L86" s="2286"/>
      <c r="M86" s="3241"/>
      <c r="N86" s="3241"/>
      <c r="P86" s="3241"/>
      <c r="Q86" s="3241"/>
      <c r="S86" s="3101"/>
      <c r="T86" s="3102"/>
      <c r="V86" s="2560"/>
      <c r="W86" s="3201"/>
      <c r="X86" s="3202"/>
    </row>
    <row r="87" spans="1:24" s="294" customFormat="1" ht="12" customHeight="1">
      <c r="B87" s="294" t="s">
        <v>1276</v>
      </c>
      <c r="G87" s="3101"/>
      <c r="H87" s="3102"/>
      <c r="J87" s="3241"/>
      <c r="K87" s="3241"/>
      <c r="L87" s="2286"/>
      <c r="M87" s="3241"/>
      <c r="N87" s="3241"/>
      <c r="P87" s="3241"/>
      <c r="Q87" s="3241"/>
      <c r="S87" s="3101"/>
      <c r="T87" s="3102"/>
      <c r="V87" s="2560"/>
      <c r="W87" s="3201"/>
      <c r="X87" s="3202"/>
    </row>
    <row r="88" spans="1:24" s="294" customFormat="1" ht="12" customHeight="1">
      <c r="B88" s="294" t="s">
        <v>1278</v>
      </c>
      <c r="G88" s="3101"/>
      <c r="H88" s="3102"/>
      <c r="J88" s="3241"/>
      <c r="K88" s="3241"/>
      <c r="L88" s="2286"/>
      <c r="M88" s="3241"/>
      <c r="N88" s="3241"/>
      <c r="P88" s="3241"/>
      <c r="Q88" s="3241"/>
      <c r="S88" s="3101"/>
      <c r="T88" s="3102"/>
      <c r="V88" s="2560"/>
      <c r="W88" s="3201"/>
      <c r="X88" s="3202"/>
    </row>
    <row r="89" spans="1:24" s="294" customFormat="1" ht="12" customHeight="1">
      <c r="B89" s="294" t="s">
        <v>2298</v>
      </c>
      <c r="G89" s="3101"/>
      <c r="H89" s="3102"/>
      <c r="J89" s="3241"/>
      <c r="K89" s="3241"/>
      <c r="L89" s="2286"/>
      <c r="M89" s="3241"/>
      <c r="N89" s="3241"/>
      <c r="P89" s="3241"/>
      <c r="Q89" s="3241"/>
      <c r="S89" s="3101"/>
      <c r="T89" s="3102"/>
      <c r="V89" s="2560"/>
      <c r="W89" s="3201"/>
      <c r="X89" s="3202"/>
    </row>
    <row r="90" spans="1:24" s="294" customFormat="1" ht="12" customHeight="1" thickBot="1">
      <c r="A90" s="372" t="str">
        <f>IF(AND(G90&gt;0,OR(C90="",C90="&lt;Enter detailed description here; use Comments section if needed&gt;")),"X","")</f>
        <v/>
      </c>
      <c r="B90" s="294" t="s">
        <v>741</v>
      </c>
      <c r="C90" s="3203" t="s">
        <v>3709</v>
      </c>
      <c r="D90" s="3203"/>
      <c r="E90" s="3203"/>
      <c r="F90" s="3204"/>
      <c r="G90" s="3079"/>
      <c r="H90" s="3080"/>
      <c r="J90" s="3241"/>
      <c r="K90" s="3241"/>
      <c r="L90" s="2286"/>
      <c r="M90" s="3241"/>
      <c r="N90" s="3241"/>
      <c r="P90" s="3241"/>
      <c r="Q90" s="3241"/>
      <c r="S90" s="3079"/>
      <c r="T90" s="3080"/>
      <c r="U90" s="371" t="str">
        <f>IF(AND(G90&gt;0,OR(C90="",C90="&lt;Enter detailed description here; use Comments section if needed&gt;")),"NO DESCRIPTION PROVIDED - please enter detailed description in Other box at left; use Comments section below if needed.","")</f>
        <v/>
      </c>
      <c r="V90" s="2560"/>
      <c r="W90" s="3242"/>
      <c r="X90" s="3243"/>
    </row>
    <row r="91" spans="1:24" s="294" customFormat="1" ht="12" customHeight="1" thickTop="1">
      <c r="F91" s="346" t="s">
        <v>191</v>
      </c>
      <c r="G91" s="3205">
        <f>SUM(G85:H90)</f>
        <v>0</v>
      </c>
      <c r="H91" s="3206"/>
      <c r="J91" s="3241"/>
      <c r="K91" s="3241"/>
      <c r="L91" s="348"/>
      <c r="M91" s="3241"/>
      <c r="N91" s="3241"/>
      <c r="P91" s="3241"/>
      <c r="Q91" s="3241"/>
      <c r="S91" s="3205">
        <f>SUM(S85:T90)</f>
        <v>0</v>
      </c>
      <c r="T91" s="3206"/>
      <c r="V91" s="2562">
        <f>SUM(V85:V90)</f>
        <v>0</v>
      </c>
      <c r="W91" s="3255"/>
      <c r="X91" s="3256"/>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2844</v>
      </c>
      <c r="H93" s="2276"/>
      <c r="I93" s="2276"/>
      <c r="J93" s="3191" t="s">
        <v>271</v>
      </c>
      <c r="K93" s="3192"/>
      <c r="L93" s="345"/>
      <c r="M93" s="3195" t="s">
        <v>489</v>
      </c>
      <c r="N93" s="3196"/>
      <c r="P93" s="3191" t="s">
        <v>272</v>
      </c>
      <c r="Q93" s="3192"/>
      <c r="S93" s="3191" t="s">
        <v>273</v>
      </c>
      <c r="T93" s="3192"/>
      <c r="V93" s="423" t="str">
        <f>B93</f>
        <v>DEVELOPMENT BUDGET  (cont'd)</v>
      </c>
    </row>
    <row r="94" spans="1:24" s="294" customFormat="1" ht="18" customHeight="1" thickBot="1">
      <c r="G94" s="3199" t="s">
        <v>101</v>
      </c>
      <c r="H94" s="3200"/>
      <c r="J94" s="3193"/>
      <c r="K94" s="3194"/>
      <c r="L94" s="345"/>
      <c r="M94" s="3197"/>
      <c r="N94" s="3198"/>
      <c r="P94" s="3193"/>
      <c r="Q94" s="3194"/>
      <c r="S94" s="3193"/>
      <c r="T94" s="3194"/>
      <c r="V94" s="332" t="s">
        <v>2683</v>
      </c>
      <c r="X94" s="332"/>
    </row>
    <row r="95" spans="1:24" s="294" customFormat="1" ht="13.2"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90"/>
      <c r="H96" s="3091"/>
      <c r="J96" s="348"/>
      <c r="K96" s="348"/>
      <c r="L96" s="2286"/>
      <c r="M96" s="348"/>
      <c r="N96" s="348"/>
      <c r="P96" s="348"/>
      <c r="Q96" s="348"/>
      <c r="S96" s="3090"/>
      <c r="T96" s="3091"/>
      <c r="V96" s="2560"/>
      <c r="W96" s="3201"/>
      <c r="X96" s="3202"/>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01">
        <v>6500</v>
      </c>
      <c r="H97" s="3102"/>
      <c r="J97" s="348"/>
      <c r="K97" s="348"/>
      <c r="L97" s="355"/>
      <c r="M97" s="348"/>
      <c r="N97" s="348"/>
      <c r="P97" s="348"/>
      <c r="Q97" s="348"/>
      <c r="S97" s="3101">
        <v>6500</v>
      </c>
      <c r="T97" s="3102"/>
      <c r="V97" s="2560"/>
      <c r="W97" s="3201"/>
      <c r="X97" s="3202"/>
    </row>
    <row r="98" spans="1:24" s="294" customFormat="1" ht="12.6" customHeight="1">
      <c r="B98" s="294" t="s">
        <v>3945</v>
      </c>
      <c r="G98" s="3101">
        <v>1000</v>
      </c>
      <c r="H98" s="3102"/>
      <c r="J98" s="348"/>
      <c r="K98" s="348"/>
      <c r="L98" s="355"/>
      <c r="M98" s="348"/>
      <c r="N98" s="348"/>
      <c r="O98" s="2276"/>
      <c r="P98" s="348"/>
      <c r="Q98" s="348"/>
      <c r="S98" s="3101">
        <v>1000</v>
      </c>
      <c r="T98" s="3102"/>
      <c r="V98" s="2560"/>
      <c r="W98" s="3201"/>
      <c r="X98" s="3202"/>
    </row>
    <row r="99" spans="1:24" s="294" customFormat="1" ht="12.6" customHeight="1">
      <c r="B99" s="294" t="s">
        <v>519</v>
      </c>
      <c r="E99" s="3244">
        <f>'DCA Underwriting Assumptions'!$Q$88*J175</f>
        <v>59280</v>
      </c>
      <c r="F99" s="3245"/>
      <c r="G99" s="3101">
        <v>59280</v>
      </c>
      <c r="H99" s="3102"/>
      <c r="J99" s="986" t="str">
        <f>IF(E99&gt;G99,"WARNING!  LIHTC Allocation Fee proposed is below minimum required.","")</f>
        <v/>
      </c>
      <c r="K99" s="348"/>
      <c r="L99" s="2286"/>
      <c r="M99" s="348"/>
      <c r="N99" s="348"/>
      <c r="O99" s="2276"/>
      <c r="P99" s="348"/>
      <c r="Q99" s="348"/>
      <c r="S99" s="3101">
        <v>59280</v>
      </c>
      <c r="T99" s="3102"/>
      <c r="V99" s="2560"/>
      <c r="W99" s="3201"/>
      <c r="X99" s="3202"/>
    </row>
    <row r="100" spans="1:24" s="294" customFormat="1" ht="12.6" customHeight="1">
      <c r="B100" s="294" t="s">
        <v>753</v>
      </c>
      <c r="E100" s="3244">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38400</v>
      </c>
      <c r="F100" s="3245"/>
      <c r="G100" s="3101">
        <v>38400</v>
      </c>
      <c r="H100" s="3102"/>
      <c r="J100" s="986" t="str">
        <f>IF(E100&gt;G100,"WARNING!  LIHTC Compliance Fee proposed is below minimum required.","")</f>
        <v/>
      </c>
      <c r="K100" s="271"/>
      <c r="L100" s="271"/>
      <c r="M100" s="271"/>
      <c r="N100" s="271"/>
      <c r="O100" s="271"/>
      <c r="P100" s="271"/>
      <c r="Q100" s="271"/>
      <c r="S100" s="3101">
        <v>38400</v>
      </c>
      <c r="T100" s="3102"/>
      <c r="V100" s="2560"/>
      <c r="W100" s="3201"/>
      <c r="X100" s="3202"/>
    </row>
    <row r="101" spans="1:24" s="294" customFormat="1" ht="12.6" customHeight="1">
      <c r="B101" s="294" t="s">
        <v>4235</v>
      </c>
      <c r="F101" s="1245">
        <f>'DCA Underwriting Assumptions'!$Q$90</f>
        <v>3000</v>
      </c>
      <c r="G101" s="3101">
        <v>3000</v>
      </c>
      <c r="H101" s="3102"/>
      <c r="J101" s="271"/>
      <c r="K101" s="271"/>
      <c r="L101" s="271"/>
      <c r="M101" s="271"/>
      <c r="N101" s="271"/>
      <c r="O101" s="271"/>
      <c r="P101" s="271"/>
      <c r="Q101" s="271"/>
      <c r="S101" s="3101">
        <v>3000</v>
      </c>
      <c r="T101" s="3102"/>
      <c r="V101" s="2560"/>
      <c r="W101" s="3201"/>
      <c r="X101" s="3202"/>
    </row>
    <row r="102" spans="1:24" s="294" customFormat="1" ht="12.6" customHeight="1">
      <c r="B102" s="294" t="s">
        <v>4236</v>
      </c>
      <c r="F102" s="1245">
        <f>'DCA Underwriting Assumptions'!$Q$113</f>
        <v>3000</v>
      </c>
      <c r="G102" s="3101">
        <v>3000</v>
      </c>
      <c r="H102" s="3102"/>
      <c r="J102" s="271"/>
      <c r="K102" s="271"/>
      <c r="L102" s="271"/>
      <c r="M102" s="271"/>
      <c r="N102" s="271"/>
      <c r="O102" s="271"/>
      <c r="P102" s="271"/>
      <c r="Q102" s="271"/>
      <c r="S102" s="3101">
        <v>3000</v>
      </c>
      <c r="T102" s="3102"/>
      <c r="V102" s="2560"/>
      <c r="W102" s="3201"/>
      <c r="X102" s="3202"/>
    </row>
    <row r="103" spans="1:24" s="294" customFormat="1" ht="12.6" customHeight="1">
      <c r="A103" s="372" t="str">
        <f>IF(AND(G103&gt;0,OR(C103="",C103="&lt;Enter detailed description here; use Comments section if needed&gt;")),"X","")</f>
        <v/>
      </c>
      <c r="B103" s="294" t="s">
        <v>741</v>
      </c>
      <c r="C103" s="3237" t="s">
        <v>3709</v>
      </c>
      <c r="D103" s="3237"/>
      <c r="E103" s="3237"/>
      <c r="F103" s="3238"/>
      <c r="G103" s="3101"/>
      <c r="H103" s="3102"/>
      <c r="J103" s="271"/>
      <c r="K103" s="271"/>
      <c r="L103" s="271"/>
      <c r="M103" s="271"/>
      <c r="N103" s="271"/>
      <c r="O103" s="271"/>
      <c r="P103" s="271"/>
      <c r="Q103" s="271"/>
      <c r="S103" s="3101"/>
      <c r="T103" s="3102"/>
      <c r="U103" s="371" t="str">
        <f>IF(AND(G103&gt;0,OR(C103="",C103="&lt;Enter detailed description here; use Comments section if needed&gt;")),"NO DESCRIPTION PROVIDED - please enter detailed description in Other box at left; use Comments section below if needed.","")</f>
        <v/>
      </c>
      <c r="V103" s="2560"/>
      <c r="W103" s="3201"/>
      <c r="X103" s="3202"/>
    </row>
    <row r="104" spans="1:24" s="294" customFormat="1" ht="12.6" customHeight="1" thickBot="1">
      <c r="A104" s="372" t="str">
        <f>IF(AND(G104&gt;0,OR(C104="",C104="&lt;Enter detailed description here; use Comments section if needed&gt;")),"X","")</f>
        <v/>
      </c>
      <c r="B104" s="294" t="s">
        <v>741</v>
      </c>
      <c r="C104" s="3235" t="s">
        <v>3709</v>
      </c>
      <c r="D104" s="3235"/>
      <c r="E104" s="3235"/>
      <c r="F104" s="3236"/>
      <c r="G104" s="3079"/>
      <c r="H104" s="3080"/>
      <c r="J104" s="271"/>
      <c r="K104" s="271"/>
      <c r="L104" s="271"/>
      <c r="M104" s="271"/>
      <c r="N104" s="271"/>
      <c r="O104" s="271"/>
      <c r="P104" s="271"/>
      <c r="Q104" s="271"/>
      <c r="S104" s="3079"/>
      <c r="T104" s="3080"/>
      <c r="U104" s="371" t="str">
        <f>IF(AND(G104&gt;0,OR(C104="",C104="&lt;Enter detailed description here; use Comments section if needed&gt;")),"NO DESCRIPTION PROVIDED - please enter detailed description in Other box at left; use Comments section below if needed.","")</f>
        <v/>
      </c>
      <c r="V104" s="2560"/>
      <c r="W104" s="3242"/>
      <c r="X104" s="3243"/>
    </row>
    <row r="105" spans="1:24" s="294" customFormat="1" ht="12.6" customHeight="1" thickTop="1">
      <c r="F105" s="346" t="s">
        <v>191</v>
      </c>
      <c r="G105" s="3205">
        <f>SUM(G96:H104)</f>
        <v>111180</v>
      </c>
      <c r="H105" s="3206"/>
      <c r="J105" s="348"/>
      <c r="K105" s="348"/>
      <c r="L105" s="2286"/>
      <c r="M105" s="348"/>
      <c r="N105" s="348"/>
      <c r="P105" s="348"/>
      <c r="Q105" s="348"/>
      <c r="S105" s="3205">
        <f>SUM(S96:T104)</f>
        <v>111180</v>
      </c>
      <c r="T105" s="3206"/>
      <c r="V105" s="2562">
        <f>SUM(V96:V104)</f>
        <v>0</v>
      </c>
      <c r="W105" s="3318"/>
      <c r="X105" s="3319"/>
    </row>
    <row r="106" spans="1:24" s="294" customFormat="1" ht="13.2"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090">
        <v>2500</v>
      </c>
      <c r="H107" s="3091"/>
      <c r="J107" s="3241"/>
      <c r="K107" s="3241"/>
      <c r="L107" s="2286"/>
      <c r="M107" s="3241"/>
      <c r="N107" s="3241"/>
      <c r="O107" s="2276"/>
      <c r="P107" s="3241"/>
      <c r="Q107" s="3241"/>
      <c r="S107" s="3090">
        <v>2500</v>
      </c>
      <c r="T107" s="3091"/>
      <c r="V107" s="2560"/>
      <c r="W107" s="3201"/>
      <c r="X107" s="3202"/>
    </row>
    <row r="108" spans="1:24" s="294" customFormat="1" ht="12.6" customHeight="1">
      <c r="B108" s="294" t="s">
        <v>280</v>
      </c>
      <c r="G108" s="3101"/>
      <c r="H108" s="3102"/>
      <c r="J108" s="3241"/>
      <c r="K108" s="3241"/>
      <c r="L108" s="2286"/>
      <c r="M108" s="3241"/>
      <c r="N108" s="3241"/>
      <c r="O108" s="2276"/>
      <c r="P108" s="3241"/>
      <c r="Q108" s="3241"/>
      <c r="S108" s="3101"/>
      <c r="T108" s="3102"/>
      <c r="V108" s="2560"/>
      <c r="W108" s="3201"/>
      <c r="X108" s="3202"/>
    </row>
    <row r="109" spans="1:24" s="294" customFormat="1" ht="12.6" customHeight="1">
      <c r="B109" s="294" t="s">
        <v>2386</v>
      </c>
      <c r="G109" s="3101"/>
      <c r="H109" s="3102"/>
      <c r="J109" s="3241"/>
      <c r="K109" s="3241"/>
      <c r="L109" s="2286"/>
      <c r="M109" s="3241"/>
      <c r="N109" s="3241"/>
      <c r="O109" s="2276"/>
      <c r="P109" s="3241"/>
      <c r="Q109" s="3241"/>
      <c r="S109" s="3101"/>
      <c r="T109" s="3102"/>
      <c r="V109" s="2560"/>
      <c r="W109" s="3201"/>
      <c r="X109" s="3202"/>
    </row>
    <row r="110" spans="1:24" s="294" customFormat="1" ht="12.6" customHeight="1" thickBot="1">
      <c r="A110" s="372" t="str">
        <f>IF(AND(G110&gt;0,OR(C110="",C110="&lt;Enter detailed description here; use Comments section if needed&gt;")),"X","")</f>
        <v/>
      </c>
      <c r="B110" s="294" t="s">
        <v>741</v>
      </c>
      <c r="C110" s="3203" t="s">
        <v>3709</v>
      </c>
      <c r="D110" s="3203"/>
      <c r="E110" s="3203"/>
      <c r="F110" s="3204"/>
      <c r="G110" s="3079"/>
      <c r="H110" s="3080"/>
      <c r="J110" s="3241"/>
      <c r="K110" s="3241"/>
      <c r="L110" s="2286"/>
      <c r="M110" s="3241"/>
      <c r="N110" s="3241"/>
      <c r="O110" s="2276"/>
      <c r="P110" s="3241"/>
      <c r="Q110" s="3241"/>
      <c r="S110" s="3079"/>
      <c r="T110" s="3080"/>
      <c r="U110" s="371" t="str">
        <f>IF(AND(G110&gt;0,OR(C110="",C110="&lt;Enter detailed description here; use Comments section if needed&gt;")),"NO DESCRIPTION PROVIDED - please enter detailed description in Other box at left; use Comments section below if needed.","")</f>
        <v/>
      </c>
      <c r="V110" s="2560"/>
      <c r="W110" s="3242"/>
      <c r="X110" s="3243"/>
    </row>
    <row r="111" spans="1:24" s="294" customFormat="1" ht="12.6" customHeight="1" thickTop="1">
      <c r="F111" s="346" t="s">
        <v>191</v>
      </c>
      <c r="G111" s="3205">
        <f>SUM(G107:H110)</f>
        <v>2500</v>
      </c>
      <c r="H111" s="3206"/>
      <c r="J111" s="3241"/>
      <c r="K111" s="3241"/>
      <c r="L111" s="2286"/>
      <c r="M111" s="3241"/>
      <c r="N111" s="3241"/>
      <c r="O111" s="2276"/>
      <c r="P111" s="3241"/>
      <c r="Q111" s="3241"/>
      <c r="S111" s="3205">
        <f>SUM(S107:T110)</f>
        <v>2500</v>
      </c>
      <c r="T111" s="3206"/>
      <c r="V111" s="2562">
        <f>SUM(V107:V110)</f>
        <v>0</v>
      </c>
      <c r="W111" s="3255"/>
      <c r="X111" s="3256"/>
    </row>
    <row r="112" spans="1:24" s="294" customFormat="1" ht="13.2"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v>
      </c>
      <c r="G113" s="3246"/>
      <c r="H113" s="3246"/>
      <c r="J113" s="3247"/>
      <c r="K113" s="3248"/>
      <c r="L113" s="347"/>
      <c r="M113" s="3247"/>
      <c r="N113" s="3248"/>
      <c r="P113" s="3247"/>
      <c r="Q113" s="3248"/>
      <c r="S113" s="3247"/>
      <c r="T113" s="3248"/>
      <c r="V113" s="2560"/>
      <c r="W113" s="3201"/>
      <c r="X113" s="3202"/>
    </row>
    <row r="114" spans="1:24" s="294" customFormat="1" ht="12.6" customHeight="1">
      <c r="B114" s="294" t="s">
        <v>4192</v>
      </c>
      <c r="F114" s="2567">
        <v>275732</v>
      </c>
      <c r="V114" s="2560"/>
      <c r="W114" s="3201"/>
      <c r="X114" s="3202"/>
    </row>
    <row r="115" spans="1:24" s="294" customFormat="1" ht="12.6" customHeight="1">
      <c r="B115" s="294" t="s">
        <v>1861</v>
      </c>
      <c r="F115" s="398">
        <f>IF($G$118=0,0,G115/$G$118)</f>
        <v>0</v>
      </c>
      <c r="G115" s="3090"/>
      <c r="H115" s="3091"/>
      <c r="J115" s="3090"/>
      <c r="K115" s="3091"/>
      <c r="L115" s="2286"/>
      <c r="M115" s="3090"/>
      <c r="N115" s="3091"/>
      <c r="P115" s="3090"/>
      <c r="Q115" s="3091"/>
      <c r="S115" s="3090"/>
      <c r="T115" s="3091"/>
      <c r="V115" s="2560"/>
      <c r="W115" s="3201"/>
      <c r="X115" s="3202"/>
    </row>
    <row r="116" spans="1:24" s="294" customFormat="1" ht="12.6" customHeight="1">
      <c r="B116" s="294" t="s">
        <v>3631</v>
      </c>
      <c r="F116" s="398">
        <f>IF($G$118=0,0,G116/$G$118)</f>
        <v>0</v>
      </c>
      <c r="G116" s="3101"/>
      <c r="H116" s="3102"/>
      <c r="J116" s="3101"/>
      <c r="K116" s="3102"/>
      <c r="L116" s="2286"/>
      <c r="M116" s="3101"/>
      <c r="N116" s="3102"/>
      <c r="P116" s="3101"/>
      <c r="Q116" s="3102"/>
      <c r="S116" s="3101"/>
      <c r="T116" s="3102"/>
      <c r="V116" s="2560"/>
      <c r="W116" s="3201"/>
      <c r="X116" s="3202"/>
    </row>
    <row r="117" spans="1:24" s="294" customFormat="1" ht="12.6" customHeight="1" thickBot="1">
      <c r="B117" s="294" t="s">
        <v>1853</v>
      </c>
      <c r="F117" s="398">
        <f>IF($G$118=0,0,G117/$G$118)</f>
        <v>1</v>
      </c>
      <c r="G117" s="3079">
        <v>1102930</v>
      </c>
      <c r="H117" s="3080"/>
      <c r="J117" s="3079">
        <v>1102930</v>
      </c>
      <c r="K117" s="3080"/>
      <c r="L117" s="2286"/>
      <c r="M117" s="3079"/>
      <c r="N117" s="3080"/>
      <c r="P117" s="3079"/>
      <c r="Q117" s="3080"/>
      <c r="S117" s="3079"/>
      <c r="T117" s="3080"/>
      <c r="V117" s="2560"/>
      <c r="W117" s="3242"/>
      <c r="X117" s="3243"/>
    </row>
    <row r="118" spans="1:24" s="294" customFormat="1" ht="12.6" customHeight="1" thickTop="1">
      <c r="C118" s="371"/>
      <c r="F118" s="346" t="s">
        <v>191</v>
      </c>
      <c r="G118" s="3249">
        <f>SUM(G113:H117)</f>
        <v>1102930</v>
      </c>
      <c r="H118" s="3250"/>
      <c r="J118" s="3205">
        <f>SUM(J113:K117)</f>
        <v>1102930</v>
      </c>
      <c r="K118" s="3206"/>
      <c r="L118" s="2286"/>
      <c r="M118" s="3205">
        <f>SUM(M113:N117)</f>
        <v>0</v>
      </c>
      <c r="N118" s="3206"/>
      <c r="P118" s="3205">
        <f>SUM(P113:Q117)</f>
        <v>0</v>
      </c>
      <c r="Q118" s="3206"/>
      <c r="S118" s="3205">
        <f>SUM(S113:T117)</f>
        <v>0</v>
      </c>
      <c r="T118" s="3206"/>
      <c r="V118" s="2562">
        <f>SUM(V113:V117)</f>
        <v>0</v>
      </c>
      <c r="W118" s="3255"/>
      <c r="X118" s="3256"/>
    </row>
    <row r="119" spans="1:24" s="294" customFormat="1" ht="13.2"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090">
        <v>20000</v>
      </c>
      <c r="H120" s="3091"/>
      <c r="J120" s="356"/>
      <c r="K120" s="356"/>
      <c r="L120" s="356"/>
      <c r="M120" s="356"/>
      <c r="N120" s="356"/>
      <c r="P120" s="356"/>
      <c r="Q120" s="356"/>
      <c r="S120" s="3090">
        <v>20000</v>
      </c>
      <c r="T120" s="3091"/>
      <c r="V120" s="2560"/>
      <c r="W120" s="3201"/>
      <c r="X120" s="3202"/>
    </row>
    <row r="121" spans="1:24" s="294" customFormat="1" ht="12.6" customHeight="1">
      <c r="B121" s="294" t="s">
        <v>1536</v>
      </c>
      <c r="F121" s="460">
        <f>+'Part VI-Revenues &amp; Expenses'!$P$226*('DCA Underwriting Assumptions'!$Q$112/12)</f>
        <v>54164.5</v>
      </c>
      <c r="G121" s="3101">
        <v>54165</v>
      </c>
      <c r="H121" s="3102"/>
      <c r="J121" s="988" t="str">
        <f>IF(E121&gt;G121,"WARNING! Rent-Up Reserves proposed is below minimum - add comment.","")</f>
        <v/>
      </c>
      <c r="K121" s="988"/>
      <c r="L121" s="2286"/>
      <c r="M121" s="962"/>
      <c r="N121" s="962"/>
      <c r="O121" s="2276"/>
      <c r="P121" s="962"/>
      <c r="Q121" s="962"/>
      <c r="R121" s="2276"/>
      <c r="S121" s="3101">
        <v>54165</v>
      </c>
      <c r="T121" s="3102"/>
      <c r="V121" s="2560"/>
      <c r="W121" s="3201"/>
      <c r="X121" s="3202"/>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108329</v>
      </c>
      <c r="G122" s="3101">
        <v>108329</v>
      </c>
      <c r="H122" s="3102"/>
      <c r="J122" s="988" t="str">
        <f>IF(E122&gt;G122,"WARNING! ODR proposed is below minimum - add comment.","")</f>
        <v/>
      </c>
      <c r="K122" s="355"/>
      <c r="L122" s="355"/>
      <c r="M122" s="355"/>
      <c r="N122" s="355"/>
      <c r="O122" s="2276"/>
      <c r="P122" s="355"/>
      <c r="Q122" s="355"/>
      <c r="R122" s="2276"/>
      <c r="S122" s="3101">
        <v>108329</v>
      </c>
      <c r="T122" s="3102"/>
      <c r="V122" s="2560"/>
      <c r="W122" s="3201"/>
      <c r="X122" s="3202"/>
    </row>
    <row r="123" spans="1:24" s="294" customFormat="1" ht="12.6" customHeight="1">
      <c r="B123" s="294" t="s">
        <v>1244</v>
      </c>
      <c r="G123" s="3101"/>
      <c r="H123" s="3102"/>
      <c r="J123" s="356"/>
      <c r="K123" s="356"/>
      <c r="L123" s="356"/>
      <c r="M123" s="356"/>
      <c r="N123" s="356"/>
      <c r="P123" s="356"/>
      <c r="Q123" s="356"/>
      <c r="S123" s="3101"/>
      <c r="T123" s="3102"/>
      <c r="V123" s="2560"/>
      <c r="W123" s="3201"/>
      <c r="X123" s="3202"/>
    </row>
    <row r="124" spans="1:24" s="294" customFormat="1" ht="12.6" customHeight="1">
      <c r="B124" s="294" t="s">
        <v>1245</v>
      </c>
      <c r="E124" s="851" t="s">
        <v>3566</v>
      </c>
      <c r="F124" s="460">
        <f>IF('Part VI-Revenues &amp; Expenses'!$O$67=0,0,G124/'Part VI-Revenues &amp; Expenses'!$O$67)</f>
        <v>729.16666666666663</v>
      </c>
      <c r="G124" s="3101">
        <v>35000</v>
      </c>
      <c r="H124" s="3102"/>
      <c r="J124" s="3090">
        <v>35000</v>
      </c>
      <c r="K124" s="3091"/>
      <c r="L124" s="2286"/>
      <c r="M124" s="3090"/>
      <c r="N124" s="3091"/>
      <c r="P124" s="3090"/>
      <c r="Q124" s="3091"/>
      <c r="S124" s="3101"/>
      <c r="T124" s="3102"/>
      <c r="V124" s="2560"/>
      <c r="W124" s="3201"/>
      <c r="X124" s="3202"/>
    </row>
    <row r="125" spans="1:24" s="294" customFormat="1" ht="12.6" customHeight="1" thickBot="1">
      <c r="A125" s="372" t="str">
        <f>IF(AND(G125&gt;0,OR(C125="",C125="&lt;Enter detailed description here; use Comments section if needed&gt;")),"X","")</f>
        <v/>
      </c>
      <c r="B125" s="294" t="s">
        <v>741</v>
      </c>
      <c r="C125" s="3203" t="s">
        <v>3709</v>
      </c>
      <c r="D125" s="3203"/>
      <c r="E125" s="3203"/>
      <c r="F125" s="3204"/>
      <c r="G125" s="3079"/>
      <c r="H125" s="3080"/>
      <c r="J125" s="3208"/>
      <c r="K125" s="3209"/>
      <c r="L125" s="2286"/>
      <c r="M125" s="3079"/>
      <c r="N125" s="3080"/>
      <c r="P125" s="3079"/>
      <c r="Q125" s="3080"/>
      <c r="S125" s="3079"/>
      <c r="T125" s="3080"/>
      <c r="U125" s="371" t="str">
        <f>IF(AND(G125&gt;0,OR(C125="",C125="&lt;Enter detailed description here; use Comments section if needed&gt;")),"NO DESCRIPTION PROVIDED - please enter detailed description in Other box at left; use Comments section below if needed.","")</f>
        <v/>
      </c>
      <c r="V125" s="2560"/>
      <c r="W125" s="3242"/>
      <c r="X125" s="3243"/>
    </row>
    <row r="126" spans="1:24" s="294" customFormat="1" ht="12.6" customHeight="1" thickTop="1">
      <c r="B126" s="357"/>
      <c r="F126" s="346" t="s">
        <v>191</v>
      </c>
      <c r="G126" s="3205">
        <f>SUM(G120:H125)</f>
        <v>217494</v>
      </c>
      <c r="H126" s="3206"/>
      <c r="J126" s="3205">
        <f>SUM(J124:K125)</f>
        <v>35000</v>
      </c>
      <c r="K126" s="3206"/>
      <c r="L126" s="2286"/>
      <c r="M126" s="3205">
        <f>SUM(M124:N125)</f>
        <v>0</v>
      </c>
      <c r="N126" s="3206"/>
      <c r="P126" s="3205">
        <f>SUM(P124:Q125)</f>
        <v>0</v>
      </c>
      <c r="Q126" s="3206"/>
      <c r="S126" s="3205">
        <f>SUM(S120:T125)</f>
        <v>182494</v>
      </c>
      <c r="T126" s="3206"/>
      <c r="V126" s="2562">
        <f>SUM(V120:V125)</f>
        <v>0</v>
      </c>
      <c r="W126" s="3255"/>
      <c r="X126" s="3256"/>
    </row>
    <row r="127" spans="1:24" s="294" customFormat="1" ht="13.2" customHeight="1">
      <c r="B127" s="296" t="s">
        <v>610</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4"/>
      <c r="G128" s="3090"/>
      <c r="H128" s="3091"/>
      <c r="J128" s="3090"/>
      <c r="K128" s="3091"/>
      <c r="L128" s="347"/>
      <c r="M128" s="3090"/>
      <c r="N128" s="3091"/>
      <c r="P128" s="3090"/>
      <c r="Q128" s="3091"/>
      <c r="S128" s="3090"/>
      <c r="T128" s="3091"/>
      <c r="V128" s="2560"/>
      <c r="W128" s="3201"/>
      <c r="X128" s="3202"/>
    </row>
    <row r="129" spans="1:24" s="294" customFormat="1" ht="12.6" customHeight="1" thickBot="1">
      <c r="A129" s="372" t="str">
        <f>IF(AND(G129&gt;0,OR(C129="",C129="&lt;Enter detailed description here; use Comments section if needed&gt;")),"X","")</f>
        <v/>
      </c>
      <c r="B129" s="294" t="s">
        <v>741</v>
      </c>
      <c r="C129" s="3203" t="s">
        <v>3709</v>
      </c>
      <c r="D129" s="3203"/>
      <c r="E129" s="3203"/>
      <c r="F129" s="3204"/>
      <c r="G129" s="3079"/>
      <c r="H129" s="3080"/>
      <c r="J129" s="3079"/>
      <c r="K129" s="3080"/>
      <c r="L129" s="2286"/>
      <c r="M129" s="3079"/>
      <c r="N129" s="3080"/>
      <c r="P129" s="3079"/>
      <c r="Q129" s="3080"/>
      <c r="S129" s="3079"/>
      <c r="T129" s="3080"/>
      <c r="U129" s="371" t="str">
        <f>IF(AND(G129&gt;0,OR(C129="",C129="&lt;Enter detailed description here; use Comments section if needed&gt;")),"NO DESCRIPTION PROVIDED - please enter detailed description in Other box at left; use Comments section below if needed.","")</f>
        <v/>
      </c>
      <c r="V129" s="2560"/>
      <c r="W129" s="3242"/>
      <c r="X129" s="3243"/>
    </row>
    <row r="130" spans="1:24" s="294" customFormat="1" ht="12.6" customHeight="1" thickTop="1">
      <c r="C130" s="2264"/>
      <c r="F130" s="346" t="s">
        <v>191</v>
      </c>
      <c r="G130" s="3205">
        <f>SUM(G128:H129)</f>
        <v>0</v>
      </c>
      <c r="H130" s="3206"/>
      <c r="J130" s="3205">
        <f>SUM(J128:K129)</f>
        <v>0</v>
      </c>
      <c r="K130" s="3206"/>
      <c r="L130" s="2286"/>
      <c r="M130" s="3205">
        <f>SUM(M128:N129)</f>
        <v>0</v>
      </c>
      <c r="N130" s="3206"/>
      <c r="P130" s="3205">
        <f>SUM(P128:Q129)</f>
        <v>0</v>
      </c>
      <c r="Q130" s="3206"/>
      <c r="S130" s="3205">
        <f>SUM(S128:T129)</f>
        <v>0</v>
      </c>
      <c r="T130" s="3206"/>
      <c r="V130" s="2562">
        <f>SUM(V128:V129)</f>
        <v>0</v>
      </c>
      <c r="W130" s="3255"/>
      <c r="X130" s="3256"/>
    </row>
    <row r="131" spans="1:24" s="294" customFormat="1" ht="3" customHeight="1" thickBot="1">
      <c r="C131" s="2264"/>
      <c r="H131" s="353"/>
      <c r="I131" s="353"/>
      <c r="L131" s="2276"/>
      <c r="V131" s="1076"/>
      <c r="W131" s="2568"/>
      <c r="X131" s="2569"/>
    </row>
    <row r="132" spans="1:24" s="294" customFormat="1" ht="13.95" customHeight="1" thickBot="1">
      <c r="B132" s="299" t="s">
        <v>2768</v>
      </c>
      <c r="G132" s="3253">
        <f>G17+G23+G27+G33+G38+G41+G47+G64+G77+G83+G91+G105+G111+G118+G126+G130</f>
        <v>9013295</v>
      </c>
      <c r="H132" s="3254"/>
      <c r="J132" s="3253">
        <f>J17+J23+J27+J33+J38+J41+J47+J64+J77+J83+J91+J105+J111+J118+J126+J130</f>
        <v>8247121</v>
      </c>
      <c r="K132" s="3254"/>
      <c r="M132" s="3253">
        <f>M17+M23+M27+M33+M38+M41+M47+M64+M77+M83+M91+M105+M111+M118+M126+M130</f>
        <v>0</v>
      </c>
      <c r="N132" s="3254"/>
      <c r="P132" s="3253">
        <f>P17+P23+P27+P33+P38+P41+P47+P64+P77+P83+P91+P105+P111+P118+P126+P130</f>
        <v>0</v>
      </c>
      <c r="Q132" s="3254"/>
      <c r="S132" s="3253">
        <f>S17+S23+S27+S33+S38+S41+S47+S64+S77+S83+S91+S105+S111+S118+S126+S130</f>
        <v>766174</v>
      </c>
      <c r="T132" s="3254"/>
      <c r="V132" s="2570">
        <f>V17+V23+V27+V33+V38+V41+V47+V64+V77+V83+V91+V105+V111+V118+V126+V130</f>
        <v>0</v>
      </c>
      <c r="W132" s="3257"/>
      <c r="X132" s="3256"/>
    </row>
    <row r="133" spans="1:24" s="294" customFormat="1" ht="3" customHeight="1">
      <c r="C133" s="2264"/>
      <c r="H133" s="353"/>
      <c r="I133" s="353"/>
      <c r="L133" s="2276"/>
      <c r="V133" s="1076"/>
    </row>
    <row r="134" spans="1:24" s="294" customFormat="1" ht="13.95" customHeight="1">
      <c r="B134" s="500" t="s">
        <v>2764</v>
      </c>
      <c r="C134" s="498"/>
      <c r="D134" s="3263">
        <f>IF('Part VI-Revenues &amp; Expenses'!$O$67=0,0,G132/'Part VI-Revenues &amp; Expenses'!$O$67)</f>
        <v>187776.97916666666</v>
      </c>
      <c r="E134" s="3263"/>
      <c r="F134" s="499" t="s">
        <v>2763</v>
      </c>
      <c r="G134" s="3264">
        <f>IF('Part I-Project Information'!$P$75=0,0,G132/'Part I-Project Information'!$P$75)</f>
        <v>196.28255662020905</v>
      </c>
      <c r="H134" s="3265"/>
      <c r="I134" s="358"/>
      <c r="V134" s="1076"/>
    </row>
    <row r="135" spans="1:24" s="294" customFormat="1" ht="3" customHeight="1">
      <c r="I135" s="358"/>
      <c r="L135" s="358"/>
      <c r="V135" s="1076"/>
    </row>
    <row r="136" spans="1:24" s="294" customFormat="1" ht="3.6" customHeight="1" thickBot="1">
      <c r="D136" s="2264"/>
      <c r="E136" s="2264"/>
      <c r="I136" s="353"/>
      <c r="J136" s="353"/>
      <c r="K136" s="359"/>
      <c r="L136" s="2266"/>
      <c r="P136" s="2276"/>
      <c r="V136" s="1076"/>
    </row>
    <row r="137" spans="1:24" s="294" customFormat="1" ht="25.95" customHeight="1">
      <c r="A137" s="422" t="s">
        <v>740</v>
      </c>
      <c r="B137" s="424" t="s">
        <v>1426</v>
      </c>
      <c r="C137" s="878"/>
      <c r="D137" s="2286"/>
      <c r="E137" s="2286"/>
      <c r="F137" s="2286"/>
      <c r="G137" s="2276"/>
      <c r="H137" s="2276"/>
      <c r="I137" s="360"/>
      <c r="J137" s="3191" t="s">
        <v>271</v>
      </c>
      <c r="K137" s="3192"/>
      <c r="M137" s="3191" t="s">
        <v>100</v>
      </c>
      <c r="N137" s="3192"/>
      <c r="P137" s="3191" t="s">
        <v>272</v>
      </c>
      <c r="Q137" s="3192"/>
      <c r="V137" s="1076"/>
      <c r="W137" s="423" t="str">
        <f>B137</f>
        <v>TAX CREDIT CALCULATION - BASIS METHOD</v>
      </c>
    </row>
    <row r="138" spans="1:24" s="294" customFormat="1" ht="15" customHeight="1" thickBot="1">
      <c r="B138" s="299" t="s">
        <v>2044</v>
      </c>
      <c r="D138" s="2286"/>
      <c r="E138" s="2286"/>
      <c r="I138" s="360"/>
      <c r="J138" s="3193"/>
      <c r="K138" s="3194"/>
      <c r="L138" s="878"/>
      <c r="M138" s="3193"/>
      <c r="N138" s="3194"/>
      <c r="P138" s="3193"/>
      <c r="Q138" s="3194"/>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3.95" customHeight="1">
      <c r="B140" s="2264" t="s">
        <v>144</v>
      </c>
      <c r="D140" s="2276"/>
      <c r="E140" s="2276"/>
      <c r="F140" s="2276"/>
      <c r="G140" s="2276"/>
      <c r="H140" s="2276"/>
      <c r="I140" s="360"/>
      <c r="J140" s="3266"/>
      <c r="K140" s="3267"/>
      <c r="P140" s="3266"/>
      <c r="Q140" s="3267"/>
      <c r="V140" s="2560"/>
      <c r="W140" s="3201"/>
      <c r="X140" s="3202"/>
    </row>
    <row r="141" spans="1:24" s="294" customFormat="1" ht="13.95" customHeight="1">
      <c r="B141" s="2276" t="s">
        <v>2152</v>
      </c>
      <c r="D141" s="2276"/>
      <c r="E141" s="2276"/>
      <c r="F141" s="2276"/>
      <c r="G141" s="2276"/>
      <c r="H141" s="2276"/>
      <c r="I141" s="360"/>
      <c r="J141" s="3268"/>
      <c r="K141" s="3269"/>
      <c r="P141" s="3268"/>
      <c r="Q141" s="3269"/>
      <c r="V141" s="2560"/>
      <c r="W141" s="3201"/>
      <c r="X141" s="3202"/>
    </row>
    <row r="142" spans="1:24" s="294" customFormat="1" ht="13.95" customHeight="1">
      <c r="B142" s="2276" t="s">
        <v>1863</v>
      </c>
      <c r="D142" s="2276"/>
      <c r="E142" s="2276"/>
      <c r="I142" s="360"/>
      <c r="J142" s="3268"/>
      <c r="K142" s="3269"/>
      <c r="P142" s="3268"/>
      <c r="Q142" s="3269"/>
      <c r="V142" s="2560"/>
      <c r="W142" s="3201"/>
      <c r="X142" s="3202"/>
    </row>
    <row r="143" spans="1:24" s="294" customFormat="1" ht="13.95" customHeight="1">
      <c r="B143" s="2276" t="s">
        <v>1864</v>
      </c>
      <c r="D143" s="2276"/>
      <c r="E143" s="2276"/>
      <c r="I143" s="360"/>
      <c r="J143" s="3268"/>
      <c r="K143" s="3269"/>
      <c r="P143" s="3268"/>
      <c r="Q143" s="3269"/>
      <c r="V143" s="2560"/>
      <c r="W143" s="3201"/>
      <c r="X143" s="3202"/>
    </row>
    <row r="144" spans="1:24" s="294" customFormat="1" ht="13.95" customHeight="1">
      <c r="B144" s="2276" t="s">
        <v>254</v>
      </c>
      <c r="D144" s="2276"/>
      <c r="E144" s="2276"/>
      <c r="I144" s="360"/>
      <c r="J144" s="3268"/>
      <c r="K144" s="3269"/>
      <c r="P144" s="3268"/>
      <c r="Q144" s="3269"/>
      <c r="V144" s="2560"/>
      <c r="W144" s="3201"/>
      <c r="X144" s="3202"/>
    </row>
    <row r="145" spans="1:24" s="294" customFormat="1" ht="13.95" customHeight="1" thickBot="1">
      <c r="B145" s="2276" t="s">
        <v>1601</v>
      </c>
      <c r="C145" s="3270" t="s">
        <v>2415</v>
      </c>
      <c r="D145" s="3270"/>
      <c r="E145" s="3270"/>
      <c r="F145" s="3270"/>
      <c r="G145" s="3270"/>
      <c r="H145" s="3270"/>
      <c r="I145" s="3271"/>
      <c r="J145" s="3251"/>
      <c r="K145" s="3252"/>
      <c r="P145" s="3251"/>
      <c r="Q145" s="3252"/>
      <c r="V145" s="2560"/>
      <c r="W145" s="3242"/>
      <c r="X145" s="3243"/>
    </row>
    <row r="146" spans="1:24" s="294" customFormat="1" ht="13.95" customHeight="1" thickBot="1">
      <c r="B146" s="304" t="s">
        <v>1865</v>
      </c>
      <c r="C146" s="307"/>
      <c r="J146" s="3168">
        <f>SUM(J140:K145)</f>
        <v>0</v>
      </c>
      <c r="K146" s="3169"/>
      <c r="P146" s="3168">
        <f>SUM(P140:Q145)</f>
        <v>0</v>
      </c>
      <c r="Q146" s="3169"/>
      <c r="V146" s="2562">
        <f>SUM(V140:V145)</f>
        <v>0</v>
      </c>
      <c r="W146" s="3255"/>
      <c r="X146" s="3256"/>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3.95" customHeight="1">
      <c r="B149" s="294" t="s">
        <v>1790</v>
      </c>
      <c r="J149" s="3258">
        <f>J132</f>
        <v>8247121</v>
      </c>
      <c r="K149" s="3259"/>
      <c r="M149" s="3260">
        <f>M132</f>
        <v>0</v>
      </c>
      <c r="N149" s="3261"/>
      <c r="P149" s="3258">
        <f>P132</f>
        <v>0</v>
      </c>
      <c r="Q149" s="3259"/>
      <c r="R149" s="3321" t="s">
        <v>4725</v>
      </c>
      <c r="S149" s="3322"/>
      <c r="T149" s="3322"/>
      <c r="V149" s="2560"/>
      <c r="W149" s="3201"/>
      <c r="X149" s="3202"/>
    </row>
    <row r="150" spans="1:24" s="294" customFormat="1" ht="13.95" customHeight="1">
      <c r="B150" s="294" t="s">
        <v>2220</v>
      </c>
      <c r="J150" s="3272">
        <f>J146</f>
        <v>0</v>
      </c>
      <c r="K150" s="3273"/>
      <c r="M150" s="3274"/>
      <c r="N150" s="3274"/>
      <c r="P150" s="3272">
        <f>P146</f>
        <v>0</v>
      </c>
      <c r="Q150" s="3273"/>
      <c r="R150" s="3321"/>
      <c r="S150" s="3322"/>
      <c r="T150" s="3322"/>
      <c r="U150" s="2050"/>
      <c r="V150" s="2560"/>
      <c r="W150" s="3201"/>
      <c r="X150" s="3202"/>
    </row>
    <row r="151" spans="1:24" s="294" customFormat="1" ht="13.95" customHeight="1">
      <c r="B151" s="294" t="s">
        <v>2221</v>
      </c>
      <c r="J151" s="3272">
        <f>J149-J150</f>
        <v>8247121</v>
      </c>
      <c r="K151" s="3273"/>
      <c r="M151" s="3272">
        <f>M149</f>
        <v>0</v>
      </c>
      <c r="N151" s="3273"/>
      <c r="P151" s="3272">
        <f>P149-P150</f>
        <v>0</v>
      </c>
      <c r="Q151" s="3273"/>
      <c r="R151" s="3321"/>
      <c r="S151" s="3322"/>
      <c r="T151" s="3322"/>
      <c r="U151" s="2050"/>
      <c r="V151" s="2560"/>
      <c r="W151" s="3201"/>
      <c r="X151" s="3202"/>
    </row>
    <row r="152" spans="1:24" s="294" customFormat="1" ht="13.95" customHeight="1">
      <c r="B152" s="294" t="s">
        <v>1485</v>
      </c>
      <c r="G152" s="2269" t="s">
        <v>1714</v>
      </c>
      <c r="H152" s="2821" t="s">
        <v>1771</v>
      </c>
      <c r="I152" s="2822"/>
      <c r="J152" s="3275">
        <v>1</v>
      </c>
      <c r="K152" s="3276"/>
      <c r="M152" s="3277"/>
      <c r="N152" s="3277"/>
      <c r="P152" s="3275"/>
      <c r="Q152" s="3276"/>
      <c r="R152" s="3323" t="s">
        <v>3698</v>
      </c>
      <c r="S152" s="3324"/>
      <c r="T152" s="3325"/>
      <c r="U152" s="2051"/>
      <c r="V152" s="2560"/>
      <c r="W152" s="3201"/>
      <c r="X152" s="3202"/>
    </row>
    <row r="153" spans="1:24" s="294" customFormat="1" ht="13.95" customHeight="1">
      <c r="B153" s="294" t="s">
        <v>2054</v>
      </c>
      <c r="J153" s="3272">
        <f>J151*J152</f>
        <v>8247121</v>
      </c>
      <c r="K153" s="3273"/>
      <c r="M153" s="3272">
        <f>+M151</f>
        <v>0</v>
      </c>
      <c r="N153" s="3273"/>
      <c r="P153" s="3272">
        <f>P151*P152</f>
        <v>0</v>
      </c>
      <c r="Q153" s="3273"/>
      <c r="R153" s="3326"/>
      <c r="S153" s="3327"/>
      <c r="T153" s="3328"/>
      <c r="U153" s="2051"/>
      <c r="V153" s="2560"/>
      <c r="W153" s="3201"/>
      <c r="X153" s="3202"/>
    </row>
    <row r="154" spans="1:24" s="294" customFormat="1" ht="13.95" customHeight="1">
      <c r="B154" s="294" t="s">
        <v>2541</v>
      </c>
      <c r="J154" s="3278">
        <f>MIN('Part VI-Revenues &amp; Expenses'!$O$63/'Part VI-Revenues &amp; Expenses'!$O$65,'Part VI-Revenues &amp; Expenses'!$O$152/'Part VI-Revenues &amp; Expenses'!$O$154)</f>
        <v>1</v>
      </c>
      <c r="K154" s="3279"/>
      <c r="M154" s="3278">
        <f>MIN('Part VI-Revenues &amp; Expenses'!$O$63/'Part VI-Revenues &amp; Expenses'!$O$65,'Part VI-Revenues &amp; Expenses'!$O$152/'Part VI-Revenues &amp; Expenses'!$O$154)</f>
        <v>1</v>
      </c>
      <c r="N154" s="3279"/>
      <c r="P154" s="3278">
        <f>MIN('Part VI-Revenues &amp; Expenses'!$O$63/'Part VI-Revenues &amp; Expenses'!$O$65,'Part VI-Revenues &amp; Expenses'!$O$152/'Part VI-Revenues &amp; Expenses'!$O$154)</f>
        <v>1</v>
      </c>
      <c r="Q154" s="3279"/>
      <c r="R154" s="3329"/>
      <c r="S154" s="3330"/>
      <c r="T154" s="3331"/>
      <c r="V154" s="2560"/>
      <c r="W154" s="3201"/>
      <c r="X154" s="3202"/>
    </row>
    <row r="155" spans="1:24" s="294" customFormat="1" ht="13.95" customHeight="1">
      <c r="B155" s="294" t="s">
        <v>2045</v>
      </c>
      <c r="J155" s="3272">
        <f>J153*J154</f>
        <v>8247121</v>
      </c>
      <c r="K155" s="3273"/>
      <c r="M155" s="3272">
        <f>M153*M154</f>
        <v>0</v>
      </c>
      <c r="N155" s="3273"/>
      <c r="P155" s="3272">
        <f>P153*P154</f>
        <v>0</v>
      </c>
      <c r="Q155" s="3273"/>
      <c r="V155" s="2560"/>
      <c r="W155" s="3201"/>
      <c r="X155" s="3202"/>
    </row>
    <row r="156" spans="1:24" s="294" customFormat="1" ht="13.95" customHeight="1">
      <c r="B156" s="294" t="s">
        <v>2046</v>
      </c>
      <c r="J156" s="3275">
        <v>0.09</v>
      </c>
      <c r="K156" s="3276"/>
      <c r="M156" s="3275"/>
      <c r="N156" s="3276"/>
      <c r="P156" s="3275"/>
      <c r="Q156" s="3276"/>
      <c r="V156" s="2560"/>
      <c r="W156" s="3201"/>
      <c r="X156" s="3202"/>
    </row>
    <row r="157" spans="1:24" s="294" customFormat="1" ht="13.95" customHeight="1" thickBot="1">
      <c r="B157" s="294" t="s">
        <v>2542</v>
      </c>
      <c r="J157" s="3280">
        <f>J155*J156</f>
        <v>742240.89</v>
      </c>
      <c r="K157" s="3281"/>
      <c r="M157" s="3280">
        <f>M155*M156</f>
        <v>0</v>
      </c>
      <c r="N157" s="3281"/>
      <c r="P157" s="3280">
        <f>P155*P156</f>
        <v>0</v>
      </c>
      <c r="Q157" s="3281"/>
      <c r="V157" s="2571"/>
      <c r="W157" s="3242"/>
      <c r="X157" s="3243"/>
    </row>
    <row r="158" spans="1:24" s="294" customFormat="1" ht="13.95" customHeight="1" thickBot="1">
      <c r="B158" s="296" t="s">
        <v>1424</v>
      </c>
      <c r="J158" s="3168">
        <f>ROUNDDOWN(J157+M157+P157,0)</f>
        <v>742240</v>
      </c>
      <c r="K158" s="3262"/>
      <c r="L158" s="3262"/>
      <c r="M158" s="3262"/>
      <c r="N158" s="3262"/>
      <c r="O158" s="3262"/>
      <c r="P158" s="3262"/>
      <c r="Q158" s="3169"/>
      <c r="V158" s="2562"/>
      <c r="W158" s="3318"/>
      <c r="X158" s="3319"/>
    </row>
    <row r="159" spans="1:24" s="294" customFormat="1" ht="6" customHeight="1">
      <c r="B159" s="361"/>
      <c r="L159" s="362"/>
      <c r="M159" s="362"/>
      <c r="N159" s="362"/>
      <c r="O159" s="362"/>
      <c r="V159" s="1076"/>
    </row>
    <row r="160" spans="1:24" s="294" customFormat="1" ht="13.95" customHeight="1">
      <c r="A160" s="423" t="s">
        <v>742</v>
      </c>
      <c r="B160" s="423" t="s">
        <v>1427</v>
      </c>
      <c r="H160" s="353"/>
      <c r="I160" s="353"/>
      <c r="L160" s="2276"/>
      <c r="M160" s="476"/>
      <c r="N160" s="2276"/>
      <c r="O160" s="2276"/>
      <c r="P160" s="2276"/>
      <c r="Q160" s="2276"/>
      <c r="R160" s="2276"/>
      <c r="S160" s="2276"/>
      <c r="T160" s="2276"/>
      <c r="V160" s="1076"/>
    </row>
    <row r="161" spans="1:24" s="294" customFormat="1" ht="15" customHeight="1" thickBot="1">
      <c r="B161" s="296" t="s">
        <v>174</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2769</v>
      </c>
      <c r="G162" s="3313" t="str">
        <f>IF(J163&gt;J162,"TDC exceeds QAP PUCL!","")</f>
        <v/>
      </c>
      <c r="H162" s="3313"/>
      <c r="I162" s="3314"/>
      <c r="J162" s="3309">
        <f>'Part VIII-Threshold Criteria'!$P$63</f>
        <v>9016824</v>
      </c>
      <c r="K162" s="3310"/>
      <c r="L162" s="3311"/>
      <c r="M162" s="3290" t="s">
        <v>2746</v>
      </c>
      <c r="N162" s="3315"/>
      <c r="O162" s="3315"/>
      <c r="P162" s="3315"/>
      <c r="Q162" s="3315"/>
      <c r="R162" s="3291"/>
      <c r="S162" s="3290" t="s">
        <v>3672</v>
      </c>
      <c r="T162" s="3291"/>
      <c r="V162" s="2560"/>
      <c r="W162" s="3201"/>
      <c r="X162" s="3202"/>
    </row>
    <row r="163" spans="1:24" s="294" customFormat="1" ht="13.95" customHeight="1">
      <c r="B163" s="294" t="s">
        <v>2748</v>
      </c>
      <c r="J163" s="3294">
        <f>MIN(G132,J162,(G132-O165))</f>
        <v>9013295</v>
      </c>
      <c r="K163" s="3295"/>
      <c r="L163" s="3296"/>
      <c r="M163" s="3292"/>
      <c r="N163" s="3316"/>
      <c r="O163" s="3316"/>
      <c r="P163" s="3316"/>
      <c r="Q163" s="3316"/>
      <c r="R163" s="3293"/>
      <c r="S163" s="3292"/>
      <c r="T163" s="3293"/>
      <c r="V163" s="2560"/>
      <c r="W163" s="3201"/>
      <c r="X163" s="3202"/>
    </row>
    <row r="164" spans="1:24" s="294" customFormat="1" ht="13.95" customHeight="1">
      <c r="B164" s="294" t="s">
        <v>263</v>
      </c>
      <c r="J164" s="3272">
        <f>'Part III-Sources of Funds'!$I$58-'Part III-Sources of Funds'!$I$42-'Part III-Sources of Funds'!$I$43-'Part III-Sources of Funds'!$I$49-'Part III-Sources of Funds'!$I$50</f>
        <v>110</v>
      </c>
      <c r="K164" s="3274"/>
      <c r="L164" s="3297"/>
      <c r="M164" s="3292"/>
      <c r="N164" s="3316"/>
      <c r="O164" s="3316"/>
      <c r="P164" s="3316"/>
      <c r="Q164" s="3316"/>
      <c r="R164" s="3293"/>
      <c r="S164" s="3292"/>
      <c r="T164" s="3293"/>
      <c r="V164" s="2560"/>
      <c r="W164" s="3201"/>
      <c r="X164" s="3202"/>
    </row>
    <row r="165" spans="1:24" s="294" customFormat="1" ht="13.95" customHeight="1" thickBot="1">
      <c r="B165" s="294" t="s">
        <v>2232</v>
      </c>
      <c r="J165" s="3272">
        <f>+J163-J164</f>
        <v>9013185</v>
      </c>
      <c r="K165" s="3274"/>
      <c r="L165" s="3297"/>
      <c r="M165" s="3298" t="s">
        <v>2747</v>
      </c>
      <c r="N165" s="3299"/>
      <c r="O165" s="3300">
        <f>'Part III-Sources of Funds'!$I$42</f>
        <v>0</v>
      </c>
      <c r="P165" s="3300"/>
      <c r="Q165" s="3300"/>
      <c r="R165" s="3301"/>
      <c r="S165" s="409" t="s">
        <v>1662</v>
      </c>
      <c r="T165" s="2572"/>
      <c r="V165" s="2560"/>
      <c r="W165" s="3201"/>
      <c r="X165" s="3202"/>
    </row>
    <row r="166" spans="1:24" s="294" customFormat="1" ht="13.95" customHeight="1">
      <c r="B166" s="294" t="s">
        <v>1286</v>
      </c>
      <c r="J166" s="3302" t="str">
        <f>"/ 10"</f>
        <v>/ 10</v>
      </c>
      <c r="K166" s="3302"/>
      <c r="L166" s="3302"/>
      <c r="M166" s="2276"/>
      <c r="N166" s="473"/>
      <c r="O166" s="473"/>
      <c r="P166" s="473"/>
      <c r="Q166" s="473"/>
      <c r="R166" s="473"/>
      <c r="V166" s="1076"/>
      <c r="W166" s="3201"/>
      <c r="X166" s="3202"/>
    </row>
    <row r="167" spans="1:24" s="294" customFormat="1" ht="13.95" customHeight="1">
      <c r="B167" s="294" t="s">
        <v>1287</v>
      </c>
      <c r="J167" s="3272">
        <f>J165/10</f>
        <v>901318.5</v>
      </c>
      <c r="K167" s="3274"/>
      <c r="L167" s="3273"/>
      <c r="M167" s="312"/>
      <c r="N167" s="2804" t="s">
        <v>1288</v>
      </c>
      <c r="O167" s="2804"/>
      <c r="Q167" s="2804" t="s">
        <v>1799</v>
      </c>
      <c r="R167" s="2804"/>
      <c r="V167" s="2560"/>
      <c r="W167" s="3201"/>
      <c r="X167" s="3202"/>
    </row>
    <row r="168" spans="1:24" s="294" customFormat="1" ht="13.95" customHeight="1" thickBot="1">
      <c r="B168" s="294" t="s">
        <v>1484</v>
      </c>
      <c r="J168" s="3282">
        <f>N168+Q168</f>
        <v>1.2149999999999999</v>
      </c>
      <c r="K168" s="3283"/>
      <c r="L168" s="3284"/>
      <c r="M168" s="2269" t="s">
        <v>1289</v>
      </c>
      <c r="N168" s="3285">
        <v>0.85</v>
      </c>
      <c r="O168" s="3286"/>
      <c r="P168" s="2269" t="s">
        <v>612</v>
      </c>
      <c r="Q168" s="3285">
        <v>0.36499999999999999</v>
      </c>
      <c r="R168" s="3286"/>
      <c r="V168" s="2560"/>
      <c r="W168" s="3201"/>
      <c r="X168" s="3202"/>
    </row>
    <row r="169" spans="1:24" s="294" customFormat="1" ht="13.95" customHeight="1" thickBot="1">
      <c r="B169" s="296" t="s">
        <v>1425</v>
      </c>
      <c r="J169" s="3168">
        <f>ROUNDDOWN(IF(J168=0,"",J167/J168),0)</f>
        <v>741825</v>
      </c>
      <c r="K169" s="3262"/>
      <c r="L169" s="3169"/>
      <c r="M169" s="312"/>
      <c r="N169" s="2276"/>
      <c r="O169" s="2276"/>
      <c r="V169" s="2560"/>
      <c r="W169" s="3201"/>
      <c r="X169" s="3202"/>
    </row>
    <row r="170" spans="1:24" s="294" customFormat="1" ht="6" customHeight="1">
      <c r="J170" s="363"/>
      <c r="K170" s="363"/>
      <c r="L170" s="363"/>
      <c r="M170" s="312"/>
      <c r="N170" s="2277"/>
      <c r="O170" s="2277"/>
      <c r="V170" s="1076"/>
      <c r="W170" s="3201"/>
      <c r="X170" s="3202"/>
    </row>
    <row r="171" spans="1:24" s="294" customFormat="1" ht="16.2" customHeight="1">
      <c r="B171" s="296" t="s">
        <v>2901</v>
      </c>
      <c r="J171" s="328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741825</v>
      </c>
      <c r="K171" s="3288"/>
      <c r="L171" s="3289"/>
      <c r="M171" s="312"/>
      <c r="N171" s="2277"/>
      <c r="O171" s="2277"/>
      <c r="V171" s="2560"/>
      <c r="W171" s="3201"/>
      <c r="X171" s="3202"/>
    </row>
    <row r="172" spans="1:24" s="294" customFormat="1" ht="3" customHeight="1">
      <c r="J172" s="363"/>
      <c r="K172" s="363"/>
      <c r="L172" s="363"/>
      <c r="M172" s="312"/>
      <c r="N172" s="2277"/>
      <c r="O172" s="2277"/>
      <c r="V172" s="1076"/>
      <c r="W172" s="2568"/>
      <c r="X172" s="2569"/>
    </row>
    <row r="173" spans="1:24" s="294" customFormat="1" ht="16.2" customHeight="1">
      <c r="B173" s="296" t="s">
        <v>349</v>
      </c>
      <c r="J173" s="3303">
        <v>741000</v>
      </c>
      <c r="K173" s="3304"/>
      <c r="L173" s="3305"/>
      <c r="M173" s="364" t="str">
        <f>IF(J171=0,"",IF(J173&gt;J171,"ALLOCATION CANNOT EXCEED MAXIMUM - REVISE REQUEST (Try Round Down)!",""))</f>
        <v/>
      </c>
      <c r="N173" s="2277"/>
      <c r="O173" s="2277"/>
      <c r="V173" s="2560"/>
      <c r="W173" s="3201"/>
      <c r="X173" s="3202"/>
    </row>
    <row r="174" spans="1:24" s="294" customFormat="1" ht="3" customHeight="1">
      <c r="J174" s="363"/>
      <c r="K174" s="363"/>
      <c r="L174" s="363"/>
      <c r="M174" s="312"/>
      <c r="N174" s="2277"/>
      <c r="O174" s="2277"/>
      <c r="V174" s="1076"/>
      <c r="W174" s="2568"/>
      <c r="X174" s="2569"/>
    </row>
    <row r="175" spans="1:24" s="294" customFormat="1" ht="16.2" customHeight="1">
      <c r="A175" s="423" t="s">
        <v>1792</v>
      </c>
      <c r="B175" s="423" t="s">
        <v>2620</v>
      </c>
      <c r="D175" s="312"/>
      <c r="E175" s="312"/>
      <c r="F175" s="2266"/>
      <c r="J175" s="3306">
        <f>IF(J173="",0,+MIN(J171,J173))</f>
        <v>741000</v>
      </c>
      <c r="K175" s="3307"/>
      <c r="L175" s="3308"/>
      <c r="N175" s="2573"/>
      <c r="O175" s="2573"/>
      <c r="P175" s="2573"/>
      <c r="Q175" s="2573"/>
      <c r="R175" s="2573"/>
      <c r="S175" s="2573"/>
      <c r="T175" s="2573"/>
      <c r="V175" s="2560"/>
      <c r="W175" s="3201"/>
      <c r="X175" s="3202"/>
    </row>
    <row r="176" spans="1:24" ht="3" customHeight="1"/>
    <row r="177" spans="1:24" ht="6" customHeight="1"/>
    <row r="178" spans="1:24" ht="12" customHeight="1">
      <c r="A178" s="296" t="s">
        <v>1794</v>
      </c>
      <c r="B178" s="321" t="s">
        <v>572</v>
      </c>
      <c r="N178" s="296" t="s">
        <v>530</v>
      </c>
      <c r="O178" s="296" t="s">
        <v>79</v>
      </c>
    </row>
    <row r="179" spans="1:24" ht="352.5" customHeight="1">
      <c r="A179" s="3171" t="s">
        <v>5236</v>
      </c>
      <c r="B179" s="3171"/>
      <c r="C179" s="3171"/>
      <c r="D179" s="3171"/>
      <c r="E179" s="3171"/>
      <c r="F179" s="3171"/>
      <c r="G179" s="3171"/>
      <c r="H179" s="3171"/>
      <c r="I179" s="3171"/>
      <c r="J179" s="3171"/>
      <c r="K179" s="3171"/>
      <c r="L179" s="3171"/>
      <c r="M179" s="3171"/>
      <c r="N179" s="3312"/>
      <c r="O179" s="3312"/>
      <c r="P179" s="3312"/>
      <c r="Q179" s="3312"/>
      <c r="R179" s="3312"/>
      <c r="S179" s="3312"/>
      <c r="T179" s="3312"/>
      <c r="V179" s="966"/>
      <c r="W179" s="3162" t="s">
        <v>2693</v>
      </c>
      <c r="X179" s="3162"/>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jzs0vaIe8zvdnhIP3FB9BkJf5tmfXA8Y1e1HfqQnXF6J2/mP2zDFhED7ygo6dni21jOyshQq5bd9mrtpBJhLpQ==" saltValue="65Ykff0ShP0SOz/pmGcmAg=="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26" priority="3" stopIfTrue="1" operator="greaterThan">
      <formula>$J$171</formula>
    </cfRule>
  </conditionalFormatting>
  <conditionalFormatting sqref="J35:K35 M35:N35 P35:Q35">
    <cfRule type="cellIs" dxfId="125" priority="2" operator="greaterThan">
      <formula>$G$35</formula>
    </cfRule>
  </conditionalFormatting>
  <conditionalFormatting sqref="J36:K37 M36:N37 P36:Q37">
    <cfRule type="cellIs" dxfId="124" priority="1" operator="greaterThan">
      <formula>$G$37</formula>
    </cfRule>
  </conditionalFormatting>
  <conditionalFormatting sqref="G37">
    <cfRule type="cellIs" dxfId="123"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90" customWidth="1"/>
    <col min="2" max="2" width="12.6640625" style="1890" customWidth="1"/>
    <col min="3" max="3" width="7.6640625" style="1890" customWidth="1"/>
    <col min="4" max="4" width="12.6640625" style="1890" customWidth="1"/>
    <col min="5" max="5" width="0.6640625" style="1890" customWidth="1"/>
    <col min="6" max="6" width="46.6640625" style="1890" customWidth="1"/>
    <col min="7" max="7" width="0.6640625" style="1890" customWidth="1"/>
    <col min="8" max="8" width="46.6640625" style="1890" customWidth="1"/>
    <col min="9" max="16384" width="9.33203125" style="1890"/>
  </cols>
  <sheetData>
    <row r="1" spans="1:14" ht="15.6">
      <c r="A1" s="3332" t="str">
        <f>CONCATENATE("PART FOUR (b) -  OTHER COSTS","  -  ",'Part I-Project Information'!$O$6," - ",'Part I-Project Information'!$F$34,"  -  ",'Part I-Project Information'!$F$38,"  -  ",'Part I-Project Information'!$J$39,",  ","County")</f>
        <v>PART FOUR (b) -  OTHER COSTS  -  2019-060 - Dulles Park II  -  Gray  -  Jones,  County</v>
      </c>
      <c r="B1" s="3333"/>
      <c r="C1" s="3333"/>
      <c r="D1" s="3333"/>
      <c r="E1" s="3333"/>
      <c r="F1" s="3333"/>
      <c r="G1" s="3333"/>
      <c r="H1" s="3333"/>
      <c r="I1" s="942"/>
      <c r="J1" s="942"/>
      <c r="K1" s="942"/>
      <c r="L1" s="942"/>
      <c r="M1" s="942"/>
      <c r="N1" s="942"/>
    </row>
    <row r="2" spans="1:14" ht="9" customHeight="1"/>
    <row r="3" spans="1:14" ht="57" customHeight="1">
      <c r="A3" s="3334" t="s">
        <v>3711</v>
      </c>
      <c r="B3" s="3335"/>
      <c r="C3" s="3335"/>
      <c r="D3" s="3335"/>
      <c r="E3" s="3335"/>
      <c r="F3" s="3335"/>
      <c r="G3" s="3335"/>
      <c r="H3" s="3336"/>
    </row>
    <row r="4" spans="1:14" ht="6" customHeight="1"/>
    <row r="5" spans="1:14" ht="38.25" customHeight="1">
      <c r="A5" s="3337" t="s">
        <v>3826</v>
      </c>
      <c r="B5" s="3337"/>
      <c r="C5" s="3337"/>
      <c r="D5" s="3337"/>
      <c r="F5" s="943" t="s">
        <v>3702</v>
      </c>
      <c r="G5" s="561"/>
      <c r="H5" s="943" t="s">
        <v>3703</v>
      </c>
    </row>
    <row r="6" spans="1:14" ht="6.75" customHeight="1">
      <c r="A6" s="561"/>
      <c r="B6" s="561"/>
      <c r="C6" s="561"/>
      <c r="D6" s="561"/>
    </row>
    <row r="7" spans="1:14" s="2574" customFormat="1" ht="4.5" customHeight="1">
      <c r="A7" s="944"/>
      <c r="B7" s="944"/>
      <c r="C7" s="944"/>
      <c r="D7" s="944"/>
      <c r="E7" s="944"/>
      <c r="F7" s="944"/>
      <c r="G7" s="944"/>
    </row>
    <row r="8" spans="1:14" s="2574" customFormat="1">
      <c r="A8" s="953" t="s">
        <v>102</v>
      </c>
      <c r="B8" s="945"/>
      <c r="C8" s="945"/>
      <c r="D8" s="945"/>
      <c r="E8" s="945"/>
      <c r="F8" s="945"/>
      <c r="G8" s="945"/>
      <c r="H8" s="945"/>
    </row>
    <row r="9" spans="1:14" s="2574" customFormat="1" ht="41.25" customHeight="1">
      <c r="A9" s="3338" t="str">
        <f>'Part IV-A-Uses of Funds'!$C$14</f>
        <v>&lt;&lt; Enter description here; provide detail &amp; justification in tab Part IV-b &gt;&gt;</v>
      </c>
      <c r="B9" s="3339"/>
      <c r="C9" s="3339"/>
      <c r="D9" s="3340"/>
      <c r="F9" s="3344"/>
      <c r="G9" s="945"/>
      <c r="H9" s="3344"/>
    </row>
    <row r="10" spans="1:14" s="2574" customFormat="1" ht="41.25" customHeight="1">
      <c r="A10" s="3341"/>
      <c r="B10" s="3342"/>
      <c r="C10" s="3342"/>
      <c r="D10" s="3343"/>
      <c r="F10" s="3345"/>
      <c r="G10" s="945"/>
      <c r="H10" s="3345"/>
    </row>
    <row r="11" spans="1:14" s="2574" customFormat="1" ht="4.5" customHeight="1">
      <c r="F11" s="3345"/>
      <c r="G11" s="945"/>
      <c r="H11" s="3345"/>
    </row>
    <row r="12" spans="1:14" s="2574" customFormat="1" ht="15" customHeight="1">
      <c r="A12" s="952" t="s">
        <v>3705</v>
      </c>
      <c r="B12" s="951">
        <f>'Part IV-A-Uses of Funds'!$G$14</f>
        <v>0</v>
      </c>
      <c r="C12" s="952" t="s">
        <v>1790</v>
      </c>
      <c r="D12" s="951">
        <f>'Part IV-A-Uses of Funds'!$J$14+'Part IV-A-Uses of Funds'!$M$14+'Part IV-A-Uses of Funds'!$P$14</f>
        <v>0</v>
      </c>
      <c r="F12" s="3345"/>
      <c r="G12" s="945"/>
      <c r="H12" s="3345"/>
    </row>
    <row r="13" spans="1:14" s="2574" customFormat="1" ht="6" customHeight="1">
      <c r="A13" s="945"/>
      <c r="B13" s="946"/>
      <c r="C13" s="945"/>
      <c r="D13" s="945"/>
      <c r="F13" s="3345"/>
      <c r="G13" s="947"/>
      <c r="H13" s="3345"/>
    </row>
    <row r="14" spans="1:14" s="2574" customFormat="1" ht="41.25" customHeight="1">
      <c r="A14" s="3338" t="str">
        <f>'Part IV-A-Uses of Funds'!$C$15</f>
        <v>&lt;&lt; Enter description here; provide detail &amp; justification in tab Part IV-b &gt;&gt;</v>
      </c>
      <c r="B14" s="3339"/>
      <c r="C14" s="3339"/>
      <c r="D14" s="3340"/>
      <c r="F14" s="3345"/>
      <c r="G14" s="945"/>
      <c r="H14" s="3345"/>
    </row>
    <row r="15" spans="1:14" s="2574" customFormat="1" ht="41.25" customHeight="1">
      <c r="A15" s="3341"/>
      <c r="B15" s="3342"/>
      <c r="C15" s="3342"/>
      <c r="D15" s="3343"/>
      <c r="F15" s="3345"/>
      <c r="G15" s="945"/>
      <c r="H15" s="3345"/>
    </row>
    <row r="16" spans="1:14" s="2574" customFormat="1" ht="4.5" customHeight="1">
      <c r="F16" s="3345"/>
      <c r="G16" s="945"/>
      <c r="H16" s="3345"/>
    </row>
    <row r="17" spans="1:8" s="2574" customFormat="1" ht="15" customHeight="1">
      <c r="A17" s="952" t="s">
        <v>3705</v>
      </c>
      <c r="B17" s="951">
        <f>'Part IV-A-Uses of Funds'!$G$15</f>
        <v>0</v>
      </c>
      <c r="C17" s="952" t="s">
        <v>1790</v>
      </c>
      <c r="D17" s="951">
        <f>'Part IV-A-Uses of Funds'!$J$15+'Part IV-A-Uses of Funds'!$M$15+'Part IV-A-Uses of Funds'!$P$15</f>
        <v>0</v>
      </c>
      <c r="F17" s="3345"/>
      <c r="G17" s="945"/>
      <c r="H17" s="3345"/>
    </row>
    <row r="18" spans="1:8" s="2574" customFormat="1" ht="6" customHeight="1">
      <c r="A18" s="945"/>
      <c r="B18" s="946"/>
      <c r="C18" s="945"/>
      <c r="D18" s="945"/>
      <c r="F18" s="3345"/>
      <c r="G18" s="947"/>
      <c r="H18" s="3345"/>
    </row>
    <row r="19" spans="1:8" s="2574" customFormat="1" ht="41.25" customHeight="1">
      <c r="A19" s="3338" t="str">
        <f>'Part IV-A-Uses of Funds'!$C$16</f>
        <v>&lt;&lt; Enter description here; provide detail &amp; justification in tab Part IV-b &gt;&gt;</v>
      </c>
      <c r="B19" s="3339"/>
      <c r="C19" s="3339"/>
      <c r="D19" s="3340"/>
      <c r="F19" s="3345"/>
      <c r="G19" s="945"/>
      <c r="H19" s="3345"/>
    </row>
    <row r="20" spans="1:8" s="2574" customFormat="1" ht="41.25" customHeight="1">
      <c r="A20" s="3341"/>
      <c r="B20" s="3342"/>
      <c r="C20" s="3342"/>
      <c r="D20" s="3343"/>
      <c r="F20" s="3345"/>
      <c r="G20" s="945"/>
      <c r="H20" s="3345"/>
    </row>
    <row r="21" spans="1:8" s="2574" customFormat="1" ht="4.5" customHeight="1">
      <c r="F21" s="3345"/>
      <c r="G21" s="945"/>
      <c r="H21" s="3345"/>
    </row>
    <row r="22" spans="1:8" s="2574" customFormat="1" ht="15" customHeight="1">
      <c r="A22" s="952" t="s">
        <v>3705</v>
      </c>
      <c r="B22" s="951">
        <f>'Part IV-A-Uses of Funds'!$G$16</f>
        <v>0</v>
      </c>
      <c r="C22" s="952" t="s">
        <v>1790</v>
      </c>
      <c r="D22" s="951">
        <f>'Part IV-A-Uses of Funds'!$J$16+'Part IV-A-Uses of Funds'!$M$16+'Part IV-A-Uses of Funds'!$P$16</f>
        <v>0</v>
      </c>
      <c r="F22" s="3345"/>
      <c r="G22" s="945"/>
      <c r="H22" s="3345"/>
    </row>
    <row r="23" spans="1:8" s="2574" customFormat="1" ht="6" customHeight="1">
      <c r="A23" s="945"/>
      <c r="B23" s="946"/>
      <c r="C23" s="945"/>
      <c r="D23" s="945"/>
      <c r="F23" s="3346"/>
      <c r="G23" s="947"/>
      <c r="H23" s="3346"/>
    </row>
    <row r="24" spans="1:8" s="2574" customFormat="1">
      <c r="A24" s="953" t="s">
        <v>3704</v>
      </c>
      <c r="B24" s="945"/>
      <c r="C24" s="945"/>
      <c r="D24" s="945"/>
      <c r="E24" s="945"/>
      <c r="F24" s="945"/>
      <c r="G24" s="945"/>
    </row>
    <row r="25" spans="1:8" s="2574" customFormat="1" ht="41.25" customHeight="1">
      <c r="A25" s="3338" t="str">
        <f>'Part IV-A-Uses of Funds'!$C$41</f>
        <v>&lt;&lt; Enter description here; provide detail &amp; justification in tab Part IV-b &gt;&gt;</v>
      </c>
      <c r="B25" s="3339"/>
      <c r="C25" s="3339"/>
      <c r="D25" s="3340"/>
      <c r="E25" s="945"/>
      <c r="F25" s="3347"/>
      <c r="G25" s="945"/>
      <c r="H25" s="3347"/>
    </row>
    <row r="26" spans="1:8" s="2574" customFormat="1" ht="41.25" customHeight="1">
      <c r="A26" s="3341"/>
      <c r="B26" s="3342"/>
      <c r="C26" s="3342"/>
      <c r="D26" s="3343"/>
      <c r="E26" s="945"/>
      <c r="F26" s="3348"/>
      <c r="G26" s="945"/>
      <c r="H26" s="3348"/>
    </row>
    <row r="27" spans="1:8" s="2574" customFormat="1" ht="4.5" customHeight="1">
      <c r="A27" s="945"/>
      <c r="B27" s="945"/>
      <c r="C27" s="945"/>
      <c r="D27" s="945"/>
      <c r="E27" s="945"/>
      <c r="F27" s="3348"/>
      <c r="G27" s="945"/>
      <c r="H27" s="3348"/>
    </row>
    <row r="28" spans="1:8" s="2574" customFormat="1" ht="10.199999999999999">
      <c r="A28" s="952" t="s">
        <v>3705</v>
      </c>
      <c r="B28" s="951">
        <f>'Part IV-A-Uses of Funds'!$G$41</f>
        <v>0</v>
      </c>
      <c r="C28" s="952" t="s">
        <v>1790</v>
      </c>
      <c r="D28" s="951">
        <f>'Part IV-A-Uses of Funds'!$J$41+'Part IV-A-Uses of Funds'!$M$41+'Part IV-A-Uses of Funds'!$P$41</f>
        <v>0</v>
      </c>
      <c r="E28" s="945"/>
      <c r="F28" s="3348"/>
      <c r="G28" s="945"/>
      <c r="H28" s="3348"/>
    </row>
    <row r="29" spans="1:8" s="2574" customFormat="1" ht="6" customHeight="1">
      <c r="A29" s="945"/>
      <c r="B29" s="946"/>
      <c r="C29" s="945"/>
      <c r="D29" s="945"/>
      <c r="E29" s="945"/>
      <c r="F29" s="3349"/>
      <c r="G29" s="947"/>
      <c r="H29" s="3349"/>
    </row>
    <row r="30" spans="1:8" s="2574" customFormat="1">
      <c r="A30" s="953" t="s">
        <v>722</v>
      </c>
      <c r="B30" s="945"/>
      <c r="C30" s="945"/>
      <c r="D30" s="945"/>
      <c r="E30" s="945"/>
      <c r="F30" s="945"/>
      <c r="G30" s="945"/>
    </row>
    <row r="31" spans="1:8" s="2574" customFormat="1" ht="41.25" customHeight="1">
      <c r="A31" s="3350" t="str">
        <f>'Part IV-A-Uses of Funds'!$C$62</f>
        <v>&lt;&lt; Enter description here; provide detail &amp; justification in tab Part IV-b &gt;&gt;</v>
      </c>
      <c r="B31" s="3351"/>
      <c r="C31" s="3351"/>
      <c r="D31" s="3352"/>
      <c r="E31" s="945"/>
      <c r="F31" s="3344"/>
      <c r="G31" s="945"/>
      <c r="H31" s="3344"/>
    </row>
    <row r="32" spans="1:8" s="2574" customFormat="1" ht="41.25" customHeight="1">
      <c r="A32" s="3341"/>
      <c r="B32" s="3342"/>
      <c r="C32" s="3342"/>
      <c r="D32" s="3343"/>
      <c r="E32" s="945"/>
      <c r="F32" s="3345"/>
      <c r="G32" s="945"/>
      <c r="H32" s="3345"/>
    </row>
    <row r="33" spans="1:8" s="2574" customFormat="1" ht="4.5" customHeight="1">
      <c r="A33" s="945"/>
      <c r="B33" s="945"/>
      <c r="C33" s="945"/>
      <c r="D33" s="945"/>
      <c r="E33" s="945"/>
      <c r="F33" s="3345"/>
      <c r="G33" s="945"/>
      <c r="H33" s="3345"/>
    </row>
    <row r="34" spans="1:8" s="2574" customFormat="1" ht="14.25" customHeight="1">
      <c r="A34" s="952" t="s">
        <v>3705</v>
      </c>
      <c r="B34" s="951">
        <f>'Part IV-A-Uses of Funds'!$G$62</f>
        <v>0</v>
      </c>
      <c r="C34" s="952" t="s">
        <v>1790</v>
      </c>
      <c r="D34" s="951">
        <f>'Part IV-A-Uses of Funds'!$J$62+'Part IV-A-Uses of Funds'!$M$62+'Part IV-A-Uses of Funds'!$P$62</f>
        <v>0</v>
      </c>
      <c r="E34" s="945"/>
      <c r="F34" s="3345"/>
      <c r="G34" s="945"/>
      <c r="H34" s="3345"/>
    </row>
    <row r="35" spans="1:8" s="2574" customFormat="1" ht="6" customHeight="1">
      <c r="D35" s="945"/>
      <c r="E35" s="945"/>
      <c r="F35" s="3345"/>
      <c r="G35" s="947"/>
      <c r="H35" s="3345"/>
    </row>
    <row r="36" spans="1:8" s="2574" customFormat="1" ht="41.25" customHeight="1">
      <c r="A36" s="3350" t="str">
        <f>'Part IV-A-Uses of Funds'!$C$63</f>
        <v>&lt;&lt; Enter description here; provide detail &amp; justification in tab Part IV-b &gt;&gt;</v>
      </c>
      <c r="B36" s="3351"/>
      <c r="C36" s="3351"/>
      <c r="D36" s="3352"/>
      <c r="E36" s="945"/>
      <c r="F36" s="3345"/>
      <c r="G36" s="945"/>
      <c r="H36" s="3345"/>
    </row>
    <row r="37" spans="1:8" s="2574" customFormat="1" ht="41.25" customHeight="1">
      <c r="A37" s="3341"/>
      <c r="B37" s="3342"/>
      <c r="C37" s="3342"/>
      <c r="D37" s="3343"/>
      <c r="E37" s="945"/>
      <c r="F37" s="3345"/>
      <c r="G37" s="945"/>
      <c r="H37" s="3345"/>
    </row>
    <row r="38" spans="1:8" s="2574" customFormat="1" ht="4.5" customHeight="1">
      <c r="A38" s="945"/>
      <c r="B38" s="945"/>
      <c r="C38" s="945"/>
      <c r="D38" s="945"/>
      <c r="E38" s="945"/>
      <c r="F38" s="3345"/>
      <c r="G38" s="945"/>
      <c r="H38" s="3345"/>
    </row>
    <row r="39" spans="1:8" s="2574" customFormat="1" ht="14.25" customHeight="1">
      <c r="A39" s="952" t="s">
        <v>3705</v>
      </c>
      <c r="B39" s="951">
        <f>'Part IV-A-Uses of Funds'!$G$63</f>
        <v>0</v>
      </c>
      <c r="C39" s="952" t="s">
        <v>1790</v>
      </c>
      <c r="D39" s="951">
        <f>'Part IV-A-Uses of Funds'!$J$63+'Part IV-A-Uses of Funds'!$M$63+'Part IV-A-Uses of Funds'!$P$63</f>
        <v>0</v>
      </c>
      <c r="E39" s="945"/>
      <c r="F39" s="3345"/>
      <c r="G39" s="945"/>
      <c r="H39" s="3345"/>
    </row>
    <row r="40" spans="1:8" s="2574" customFormat="1" ht="6" customHeight="1">
      <c r="D40" s="945"/>
      <c r="E40" s="945"/>
      <c r="F40" s="3346"/>
      <c r="G40" s="947"/>
      <c r="H40" s="3346"/>
    </row>
    <row r="41" spans="1:8" s="2574" customFormat="1">
      <c r="A41" s="953" t="s">
        <v>476</v>
      </c>
      <c r="B41" s="945"/>
      <c r="C41" s="945"/>
      <c r="D41" s="945"/>
      <c r="E41" s="949"/>
      <c r="F41" s="949"/>
      <c r="G41" s="945"/>
    </row>
    <row r="42" spans="1:8" s="2574" customFormat="1" ht="41.25" customHeight="1">
      <c r="A42" s="3350" t="str">
        <f>'Part IV-A-Uses of Funds'!$C$76</f>
        <v>&lt;&lt; Enter description here; provide detail &amp; justification in tab Part IV-b &gt;&gt;</v>
      </c>
      <c r="B42" s="3351"/>
      <c r="C42" s="3351"/>
      <c r="D42" s="3352"/>
      <c r="F42" s="3347"/>
      <c r="G42" s="945"/>
      <c r="H42" s="3347"/>
    </row>
    <row r="43" spans="1:8" s="2574" customFormat="1" ht="41.25" customHeight="1">
      <c r="A43" s="3341"/>
      <c r="B43" s="3342"/>
      <c r="C43" s="3342"/>
      <c r="D43" s="3343"/>
      <c r="E43" s="945"/>
      <c r="F43" s="3348"/>
      <c r="G43" s="945"/>
      <c r="H43" s="3348"/>
    </row>
    <row r="44" spans="1:8" s="2574" customFormat="1" ht="4.5" customHeight="1">
      <c r="A44" s="945"/>
      <c r="B44" s="945"/>
      <c r="C44" s="945"/>
      <c r="D44" s="945"/>
      <c r="E44" s="945"/>
      <c r="F44" s="3348"/>
      <c r="G44" s="945"/>
      <c r="H44" s="3348"/>
    </row>
    <row r="45" spans="1:8" s="2574" customFormat="1" ht="13.5" customHeight="1">
      <c r="A45" s="952" t="s">
        <v>3705</v>
      </c>
      <c r="B45" s="951">
        <f>'Part IV-A-Uses of Funds'!$G$76</f>
        <v>0</v>
      </c>
      <c r="C45" s="952" t="s">
        <v>1790</v>
      </c>
      <c r="D45" s="951">
        <f>'Part IV-A-Uses of Funds'!$J$76+'Part IV-A-Uses of Funds'!$M$76+'Part IV-A-Uses of Funds'!$P$76</f>
        <v>0</v>
      </c>
      <c r="E45" s="945"/>
      <c r="F45" s="3348"/>
      <c r="G45" s="945"/>
      <c r="H45" s="3348"/>
    </row>
    <row r="46" spans="1:8" s="2574" customFormat="1" ht="6" customHeight="1">
      <c r="A46" s="945"/>
      <c r="B46" s="946"/>
      <c r="C46" s="945"/>
      <c r="D46" s="945"/>
      <c r="E46" s="945"/>
      <c r="F46" s="3349"/>
      <c r="G46" s="947"/>
      <c r="H46" s="3349"/>
    </row>
    <row r="47" spans="1:8" s="2574" customFormat="1">
      <c r="A47" s="953" t="s">
        <v>724</v>
      </c>
      <c r="B47" s="945"/>
      <c r="C47" s="945"/>
      <c r="D47" s="945"/>
      <c r="E47" s="945"/>
      <c r="F47" s="945"/>
      <c r="G47" s="945"/>
    </row>
    <row r="48" spans="1:8" s="2574" customFormat="1" ht="41.25" customHeight="1">
      <c r="A48" s="3350" t="str">
        <f>'Part IV-A-Uses of Funds'!$C$90</f>
        <v>&lt;&lt; Enter description here; provide detail &amp; justification in tab Part IV-b &gt;&gt;</v>
      </c>
      <c r="B48" s="3351"/>
      <c r="C48" s="3351"/>
      <c r="D48" s="3352"/>
      <c r="F48" s="3347"/>
      <c r="G48" s="945"/>
    </row>
    <row r="49" spans="1:7" s="2574" customFormat="1" ht="41.25" customHeight="1">
      <c r="A49" s="3341"/>
      <c r="B49" s="3342"/>
      <c r="C49" s="3342"/>
      <c r="D49" s="3343"/>
      <c r="E49" s="945"/>
      <c r="F49" s="3348"/>
      <c r="G49" s="945"/>
    </row>
    <row r="50" spans="1:7" s="2574" customFormat="1" ht="3" customHeight="1">
      <c r="A50" s="945"/>
      <c r="B50" s="945"/>
      <c r="C50" s="945"/>
      <c r="D50" s="945"/>
      <c r="E50" s="945"/>
      <c r="F50" s="3348"/>
      <c r="G50" s="945"/>
    </row>
    <row r="51" spans="1:7" s="2574" customFormat="1" ht="13.5" customHeight="1">
      <c r="A51" s="952" t="s">
        <v>3705</v>
      </c>
      <c r="B51" s="951">
        <f>'Part IV-A-Uses of Funds'!$G$90</f>
        <v>0</v>
      </c>
      <c r="C51" s="948"/>
      <c r="D51" s="948"/>
      <c r="E51" s="945"/>
      <c r="F51" s="3348"/>
      <c r="G51" s="945"/>
    </row>
    <row r="52" spans="1:7" s="2574" customFormat="1" ht="3.75" customHeight="1">
      <c r="A52" s="945"/>
      <c r="B52" s="945"/>
      <c r="C52" s="945"/>
      <c r="D52" s="945"/>
      <c r="E52" s="945"/>
      <c r="F52" s="3349"/>
      <c r="G52" s="947"/>
    </row>
    <row r="53" spans="1:7" s="2574" customFormat="1">
      <c r="A53" s="953" t="s">
        <v>3706</v>
      </c>
      <c r="B53" s="945"/>
      <c r="C53" s="945"/>
      <c r="D53" s="945"/>
      <c r="E53" s="945"/>
      <c r="F53" s="945"/>
      <c r="G53" s="945"/>
    </row>
    <row r="54" spans="1:7" s="2574" customFormat="1" ht="41.25" customHeight="1">
      <c r="A54" s="3350" t="str">
        <f>'Part IV-A-Uses of Funds'!$C$103</f>
        <v>&lt;&lt; Enter description here; provide detail &amp; justification in tab Part IV-b &gt;&gt;</v>
      </c>
      <c r="B54" s="3351"/>
      <c r="C54" s="3351"/>
      <c r="D54" s="3352"/>
      <c r="F54" s="3344"/>
      <c r="G54" s="945"/>
    </row>
    <row r="55" spans="1:7" s="2574" customFormat="1" ht="41.25" customHeight="1">
      <c r="A55" s="3341"/>
      <c r="B55" s="3342"/>
      <c r="C55" s="3342"/>
      <c r="D55" s="3343"/>
      <c r="E55" s="945"/>
      <c r="F55" s="3345"/>
      <c r="G55" s="945"/>
    </row>
    <row r="56" spans="1:7" s="2574" customFormat="1" ht="3" customHeight="1">
      <c r="A56" s="945"/>
      <c r="B56" s="945"/>
      <c r="C56" s="945"/>
      <c r="D56" s="945"/>
      <c r="E56" s="945"/>
      <c r="F56" s="3345"/>
      <c r="G56" s="945"/>
    </row>
    <row r="57" spans="1:7" s="2574" customFormat="1" ht="10.199999999999999">
      <c r="A57" s="952" t="s">
        <v>3705</v>
      </c>
      <c r="B57" s="951">
        <f>'Part IV-A-Uses of Funds'!$G$103</f>
        <v>0</v>
      </c>
      <c r="C57" s="948"/>
      <c r="D57" s="948"/>
      <c r="E57" s="945"/>
      <c r="F57" s="3345"/>
      <c r="G57" s="945"/>
    </row>
    <row r="58" spans="1:7" s="2574" customFormat="1" ht="3.75" customHeight="1">
      <c r="A58" s="944"/>
      <c r="B58" s="944"/>
      <c r="C58" s="944"/>
      <c r="D58" s="944"/>
      <c r="E58" s="944"/>
      <c r="F58" s="3345"/>
      <c r="G58" s="947"/>
    </row>
    <row r="59" spans="1:7" s="2574" customFormat="1" ht="41.25" customHeight="1">
      <c r="A59" s="3350" t="str">
        <f>'Part IV-A-Uses of Funds'!$C$104</f>
        <v>&lt;&lt; Enter description here; provide detail &amp; justification in tab Part IV-b &gt;&gt;</v>
      </c>
      <c r="B59" s="3351"/>
      <c r="C59" s="3351"/>
      <c r="D59" s="3352"/>
      <c r="F59" s="3345"/>
      <c r="G59" s="945"/>
    </row>
    <row r="60" spans="1:7" s="2574" customFormat="1" ht="41.25" customHeight="1">
      <c r="A60" s="3341"/>
      <c r="B60" s="3342"/>
      <c r="C60" s="3342"/>
      <c r="D60" s="3343"/>
      <c r="E60" s="945"/>
      <c r="F60" s="3345"/>
      <c r="G60" s="945"/>
    </row>
    <row r="61" spans="1:7" s="2574" customFormat="1" ht="3" customHeight="1">
      <c r="A61" s="945"/>
      <c r="B61" s="945"/>
      <c r="C61" s="945"/>
      <c r="D61" s="945"/>
      <c r="E61" s="945"/>
      <c r="F61" s="3345"/>
      <c r="G61" s="945"/>
    </row>
    <row r="62" spans="1:7" s="2574" customFormat="1" ht="10.199999999999999">
      <c r="A62" s="952" t="s">
        <v>3705</v>
      </c>
      <c r="B62" s="951">
        <f>'Part IV-A-Uses of Funds'!$G$104</f>
        <v>0</v>
      </c>
      <c r="C62" s="948"/>
      <c r="D62" s="948"/>
      <c r="E62" s="945"/>
      <c r="F62" s="3345"/>
      <c r="G62" s="945"/>
    </row>
    <row r="63" spans="1:7" s="2574" customFormat="1" ht="3.75" customHeight="1">
      <c r="A63" s="944"/>
      <c r="B63" s="944"/>
      <c r="C63" s="944"/>
      <c r="D63" s="944"/>
      <c r="E63" s="944"/>
      <c r="F63" s="3346"/>
      <c r="G63" s="947"/>
    </row>
    <row r="64" spans="1:7" s="2574" customFormat="1">
      <c r="A64" s="953" t="s">
        <v>3707</v>
      </c>
      <c r="B64" s="945"/>
      <c r="C64" s="945"/>
      <c r="D64" s="945"/>
      <c r="E64" s="945"/>
      <c r="F64" s="945"/>
      <c r="G64" s="945"/>
    </row>
    <row r="65" spans="1:8" s="2574" customFormat="1" ht="41.25" customHeight="1">
      <c r="A65" s="3350" t="str">
        <f>'Part IV-A-Uses of Funds'!$C$110</f>
        <v>&lt;&lt; Enter description here; provide detail &amp; justification in tab Part IV-b &gt;&gt;</v>
      </c>
      <c r="B65" s="3351"/>
      <c r="C65" s="3351"/>
      <c r="D65" s="3352"/>
      <c r="F65" s="3347"/>
      <c r="G65" s="945"/>
    </row>
    <row r="66" spans="1:8" s="2574" customFormat="1" ht="41.25" customHeight="1">
      <c r="A66" s="3341"/>
      <c r="B66" s="3342"/>
      <c r="C66" s="3342"/>
      <c r="D66" s="3343"/>
      <c r="E66" s="945"/>
      <c r="F66" s="3348"/>
      <c r="G66" s="945"/>
    </row>
    <row r="67" spans="1:8" s="2574" customFormat="1" ht="3" customHeight="1">
      <c r="A67" s="945"/>
      <c r="B67" s="945"/>
      <c r="C67" s="945"/>
      <c r="D67" s="945"/>
      <c r="E67" s="945"/>
      <c r="F67" s="3348"/>
      <c r="G67" s="945"/>
    </row>
    <row r="68" spans="1:8" s="2574" customFormat="1" ht="10.199999999999999">
      <c r="A68" s="952" t="s">
        <v>3705</v>
      </c>
      <c r="B68" s="951">
        <f>'Part IV-A-Uses of Funds'!$G$110</f>
        <v>0</v>
      </c>
      <c r="C68" s="948"/>
      <c r="D68" s="948"/>
      <c r="E68" s="945"/>
      <c r="F68" s="3348"/>
      <c r="G68" s="945"/>
    </row>
    <row r="69" spans="1:8" s="2574" customFormat="1" ht="3.75" customHeight="1">
      <c r="A69" s="945"/>
      <c r="B69" s="946"/>
      <c r="C69" s="945"/>
      <c r="D69" s="945"/>
      <c r="E69" s="945"/>
      <c r="F69" s="3349"/>
      <c r="G69" s="947"/>
    </row>
    <row r="70" spans="1:8" s="2574" customFormat="1">
      <c r="A70" s="953" t="s">
        <v>1309</v>
      </c>
      <c r="B70" s="945"/>
      <c r="C70" s="945"/>
      <c r="D70" s="945"/>
      <c r="E70" s="945"/>
      <c r="F70" s="945"/>
      <c r="G70" s="945"/>
    </row>
    <row r="71" spans="1:8" s="2574" customFormat="1" ht="41.25" customHeight="1">
      <c r="A71" s="3350" t="str">
        <f>'Part IV-A-Uses of Funds'!$C$125</f>
        <v>&lt;&lt; Enter description here; provide detail &amp; justification in tab Part IV-b &gt;&gt;</v>
      </c>
      <c r="B71" s="3351"/>
      <c r="C71" s="3351"/>
      <c r="D71" s="3352"/>
      <c r="F71" s="3347"/>
      <c r="G71" s="945"/>
      <c r="H71" s="3347"/>
    </row>
    <row r="72" spans="1:8" s="2574" customFormat="1" ht="41.25" customHeight="1">
      <c r="A72" s="3341"/>
      <c r="B72" s="3342"/>
      <c r="C72" s="3342"/>
      <c r="D72" s="3343"/>
      <c r="E72" s="945"/>
      <c r="F72" s="3348"/>
      <c r="G72" s="945"/>
      <c r="H72" s="3348"/>
    </row>
    <row r="73" spans="1:8" s="2574" customFormat="1" ht="4.5" customHeight="1">
      <c r="A73" s="945"/>
      <c r="B73" s="945"/>
      <c r="C73" s="945"/>
      <c r="D73" s="945"/>
      <c r="E73" s="945"/>
      <c r="F73" s="3348"/>
      <c r="G73" s="945"/>
      <c r="H73" s="3348"/>
    </row>
    <row r="74" spans="1:8" s="2574" customFormat="1" ht="12.75" customHeight="1">
      <c r="A74" s="952" t="s">
        <v>3705</v>
      </c>
      <c r="B74" s="951">
        <f>'Part IV-A-Uses of Funds'!$G$125</f>
        <v>0</v>
      </c>
      <c r="C74" s="952" t="s">
        <v>1790</v>
      </c>
      <c r="D74" s="951">
        <f>'Part IV-A-Uses of Funds'!$J$125+'Part IV-A-Uses of Funds'!$M$125+'Part IV-A-Uses of Funds'!$P$125</f>
        <v>0</v>
      </c>
      <c r="E74" s="945"/>
      <c r="F74" s="3348"/>
      <c r="G74" s="945"/>
      <c r="H74" s="3348"/>
    </row>
    <row r="75" spans="1:8" s="2574" customFormat="1" ht="6" customHeight="1">
      <c r="A75" s="945"/>
      <c r="B75" s="946"/>
      <c r="C75" s="945"/>
      <c r="D75" s="945"/>
      <c r="E75" s="945"/>
      <c r="F75" s="3349"/>
      <c r="G75" s="947"/>
      <c r="H75" s="3349"/>
    </row>
    <row r="76" spans="1:8" s="2574" customFormat="1">
      <c r="A76" s="953" t="s">
        <v>3708</v>
      </c>
      <c r="B76" s="946"/>
      <c r="C76" s="945"/>
      <c r="D76" s="945"/>
      <c r="E76" s="945"/>
      <c r="F76" s="945"/>
      <c r="G76" s="947"/>
    </row>
    <row r="77" spans="1:8" s="2574" customFormat="1" ht="41.25" customHeight="1">
      <c r="A77" s="3350" t="str">
        <f>'Part IV-A-Uses of Funds'!$C$129</f>
        <v>&lt;&lt; Enter description here; provide detail &amp; justification in tab Part IV-b &gt;&gt;</v>
      </c>
      <c r="B77" s="3351"/>
      <c r="C77" s="3351"/>
      <c r="D77" s="3352"/>
      <c r="F77" s="3347"/>
      <c r="G77" s="945"/>
      <c r="H77" s="3347"/>
    </row>
    <row r="78" spans="1:8" s="2574" customFormat="1" ht="41.25" customHeight="1">
      <c r="A78" s="3341"/>
      <c r="B78" s="3342"/>
      <c r="C78" s="3342"/>
      <c r="D78" s="3343"/>
      <c r="E78" s="945"/>
      <c r="F78" s="3348"/>
      <c r="G78" s="945"/>
      <c r="H78" s="3348"/>
    </row>
    <row r="79" spans="1:8" s="2574" customFormat="1" ht="4.5" customHeight="1">
      <c r="A79" s="945"/>
      <c r="B79" s="945"/>
      <c r="C79" s="945"/>
      <c r="D79" s="945"/>
      <c r="E79" s="945"/>
      <c r="F79" s="3348"/>
      <c r="G79" s="945"/>
      <c r="H79" s="3348"/>
    </row>
    <row r="80" spans="1:8" s="2574" customFormat="1" ht="12.75" customHeight="1">
      <c r="A80" s="952" t="s">
        <v>3705</v>
      </c>
      <c r="B80" s="951">
        <f>'Part IV-A-Uses of Funds'!$G$129</f>
        <v>0</v>
      </c>
      <c r="C80" s="952" t="s">
        <v>1790</v>
      </c>
      <c r="D80" s="951">
        <f>'Part IV-A-Uses of Funds'!$J$129+'Part IV-A-Uses of Funds'!$M$129+'Part IV-A-Uses of Funds'!$P$129</f>
        <v>0</v>
      </c>
      <c r="E80" s="950"/>
      <c r="F80" s="3348"/>
      <c r="G80" s="945"/>
      <c r="H80" s="3348"/>
    </row>
    <row r="81" spans="4:8" s="2574" customFormat="1" ht="6" customHeight="1">
      <c r="D81" s="2261"/>
      <c r="E81" s="2575"/>
      <c r="F81" s="3349"/>
      <c r="G81" s="947"/>
      <c r="H81" s="3349"/>
    </row>
    <row r="82" spans="4:8" s="2574" customFormat="1" ht="10.199999999999999"/>
    <row r="83" spans="4:8" s="2574" customFormat="1" ht="10.199999999999999"/>
    <row r="84" spans="4:8" s="2574" customFormat="1" ht="10.199999999999999"/>
    <row r="85" spans="4:8" s="2574" customFormat="1" ht="10.199999999999999"/>
    <row r="86" spans="4:8" s="2574" customFormat="1" ht="10.199999999999999"/>
    <row r="87" spans="4:8" s="2574" customFormat="1" ht="10.199999999999999"/>
    <row r="88" spans="4:8" s="2574" customFormat="1" ht="10.199999999999999"/>
    <row r="89" spans="4:8" s="2574" customFormat="1" ht="10.199999999999999"/>
    <row r="90" spans="4:8" s="2574" customFormat="1" ht="10.199999999999999"/>
    <row r="91" spans="4:8" s="2574" customFormat="1" ht="10.199999999999999"/>
    <row r="92" spans="4:8" s="2574" customFormat="1" ht="10.199999999999999"/>
  </sheetData>
  <sheetProtection algorithmName="SHA-512" hashValue="Gqcvew3KRk0Itq7PcgOEywxXgzflQ0dCwHy30eY0+f8cO7sLT/uXFtOIapvxyoKmARkQdGpckXn5C4cWHiismg==" saltValue="LjQ4yxhuYBySgD2YJOZ23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56" t="str">
        <f>CONCATENATE("PART FIVE - UTILITY ALLOWANCES","  -  ",'Part I-Project Information'!$O$6," ",'Part I-Project Information'!$F$34,", ",'Part I-Project Information'!F38,", ",'Part I-Project Information'!J39," County")</f>
        <v>PART FIVE - UTILITY ALLOWANCES  -  2019-060 Dulles Park II, Gray, Jones County</v>
      </c>
      <c r="B1" s="3357"/>
      <c r="C1" s="3357"/>
      <c r="D1" s="3357"/>
      <c r="E1" s="3357"/>
      <c r="F1" s="3357"/>
      <c r="G1" s="3357"/>
      <c r="H1" s="3357"/>
      <c r="I1" s="3357"/>
      <c r="J1" s="3357"/>
      <c r="K1" s="3357"/>
      <c r="L1" s="3357"/>
      <c r="M1" s="3357"/>
      <c r="N1" s="9"/>
      <c r="O1" s="9"/>
      <c r="P1" s="9"/>
      <c r="Q1" s="9"/>
      <c r="R1" s="15"/>
      <c r="S1" s="15"/>
      <c r="T1" s="15"/>
    </row>
    <row r="2" spans="1:20" s="7" customFormat="1" ht="7.5" customHeight="1"/>
    <row r="3" spans="1:20" s="7" customFormat="1" ht="12.75" customHeight="1">
      <c r="B3" s="3367" t="str">
        <f>'Part I-Project Information'!$B$6</f>
        <v>May 2019</v>
      </c>
      <c r="C3" s="3367"/>
      <c r="D3" s="3367"/>
      <c r="E3" s="3367"/>
      <c r="F3" s="3" t="s">
        <v>4604</v>
      </c>
      <c r="I3" s="2290" t="str">
        <f>VLOOKUP('Part I-Project Information'!$J$39,'DCA Underwriting Assumptions'!$G$158:$H$317,2)</f>
        <v>South</v>
      </c>
    </row>
    <row r="4" spans="1:20" s="7" customFormat="1" ht="6" customHeight="1"/>
    <row r="5" spans="1:20">
      <c r="A5" s="252" t="s">
        <v>3800</v>
      </c>
    </row>
    <row r="6" spans="1:20" ht="6" customHeight="1">
      <c r="A6" s="7"/>
    </row>
    <row r="7" spans="1:20" s="7" customFormat="1">
      <c r="A7" s="12" t="s">
        <v>616</v>
      </c>
      <c r="B7" s="12" t="s">
        <v>2227</v>
      </c>
      <c r="F7" s="1" t="s">
        <v>2519</v>
      </c>
      <c r="G7" s="1"/>
      <c r="H7" s="1"/>
      <c r="I7" s="3358" t="s">
        <v>5234</v>
      </c>
      <c r="J7" s="3359"/>
      <c r="K7" s="3359"/>
      <c r="L7" s="3359"/>
      <c r="M7" s="3360"/>
    </row>
    <row r="8" spans="1:20" s="7" customFormat="1" ht="13.2" customHeight="1">
      <c r="A8" s="12"/>
      <c r="F8" s="1" t="s">
        <v>636</v>
      </c>
      <c r="G8" s="1"/>
      <c r="H8" s="32"/>
      <c r="I8" s="3361">
        <v>43466</v>
      </c>
      <c r="J8" s="3362"/>
      <c r="K8" s="5" t="s">
        <v>540</v>
      </c>
      <c r="L8" s="3363" t="s">
        <v>5235</v>
      </c>
      <c r="M8" s="3364"/>
    </row>
    <row r="9" spans="1:20" s="7" customFormat="1" ht="4.5" customHeight="1">
      <c r="A9" s="12"/>
    </row>
    <row r="10" spans="1:20" s="12" customFormat="1">
      <c r="B10" s="246"/>
      <c r="C10" s="246"/>
      <c r="D10" s="246"/>
      <c r="E10" s="246"/>
      <c r="F10" s="3365" t="s">
        <v>609</v>
      </c>
      <c r="G10" s="3365"/>
      <c r="I10" s="3366" t="s">
        <v>200</v>
      </c>
      <c r="J10" s="3366"/>
      <c r="K10" s="3366"/>
      <c r="L10" s="3366"/>
      <c r="M10" s="3366"/>
    </row>
    <row r="11" spans="1:20" s="12" customFormat="1">
      <c r="B11" s="246" t="s">
        <v>798</v>
      </c>
      <c r="D11" s="246" t="s">
        <v>1599</v>
      </c>
      <c r="F11" s="2288" t="s">
        <v>642</v>
      </c>
      <c r="G11" s="2288" t="s">
        <v>1850</v>
      </c>
      <c r="I11" s="247" t="s">
        <v>568</v>
      </c>
      <c r="J11" s="248">
        <v>1</v>
      </c>
      <c r="K11" s="248">
        <v>2</v>
      </c>
      <c r="L11" s="248">
        <v>3</v>
      </c>
      <c r="M11" s="248">
        <v>4</v>
      </c>
    </row>
    <row r="12" spans="1:20" s="7" customFormat="1" ht="12" customHeight="1">
      <c r="B12" s="2235" t="s">
        <v>1852</v>
      </c>
      <c r="C12" s="2236"/>
      <c r="D12" s="3378" t="s">
        <v>5169</v>
      </c>
      <c r="E12" s="3379"/>
      <c r="F12" s="2576" t="s">
        <v>441</v>
      </c>
      <c r="G12" s="2576"/>
      <c r="H12" s="1036"/>
      <c r="I12" s="2577"/>
      <c r="J12" s="2577">
        <v>4</v>
      </c>
      <c r="K12" s="2577">
        <v>5</v>
      </c>
      <c r="L12" s="2577"/>
      <c r="M12" s="2577"/>
      <c r="O12" s="3368" t="s">
        <v>3825</v>
      </c>
      <c r="P12" s="3368"/>
    </row>
    <row r="13" spans="1:20" s="7" customFormat="1" ht="12" customHeight="1">
      <c r="B13" s="2237" t="s">
        <v>1597</v>
      </c>
      <c r="C13" s="2238"/>
      <c r="D13" s="3369" t="s">
        <v>1596</v>
      </c>
      <c r="E13" s="3370"/>
      <c r="F13" s="2578" t="s">
        <v>441</v>
      </c>
      <c r="G13" s="2578"/>
      <c r="H13" s="1035"/>
      <c r="I13" s="2579"/>
      <c r="J13" s="2579">
        <v>7</v>
      </c>
      <c r="K13" s="2579">
        <v>9</v>
      </c>
      <c r="L13" s="2580"/>
      <c r="M13" s="2580"/>
      <c r="O13" s="3368"/>
      <c r="P13" s="3368"/>
    </row>
    <row r="14" spans="1:20" s="7" customFormat="1" ht="12" customHeight="1">
      <c r="B14" s="2239" t="s">
        <v>1598</v>
      </c>
      <c r="C14" s="2240"/>
      <c r="D14" s="3369" t="s">
        <v>1596</v>
      </c>
      <c r="E14" s="3370"/>
      <c r="F14" s="2578" t="s">
        <v>441</v>
      </c>
      <c r="G14" s="2578"/>
      <c r="H14" s="249"/>
      <c r="I14" s="2579"/>
      <c r="J14" s="2579">
        <v>13</v>
      </c>
      <c r="K14" s="2579">
        <v>18</v>
      </c>
      <c r="L14" s="2580"/>
      <c r="M14" s="2580"/>
      <c r="O14" s="3368"/>
      <c r="P14" s="3368"/>
    </row>
    <row r="15" spans="1:20" s="7" customFormat="1" ht="12" customHeight="1">
      <c r="B15" s="2241" t="s">
        <v>467</v>
      </c>
      <c r="C15" s="2242"/>
      <c r="D15" s="2241" t="s">
        <v>1596</v>
      </c>
      <c r="E15" s="250"/>
      <c r="F15" s="2578" t="s">
        <v>441</v>
      </c>
      <c r="G15" s="2578"/>
      <c r="H15" s="1034"/>
      <c r="I15" s="2579"/>
      <c r="J15" s="2579">
        <v>12</v>
      </c>
      <c r="K15" s="2579">
        <v>15</v>
      </c>
      <c r="L15" s="2580"/>
      <c r="M15" s="2580"/>
      <c r="O15" s="3368"/>
      <c r="P15" s="3368"/>
    </row>
    <row r="16" spans="1:20" s="7" customFormat="1" ht="12" customHeight="1">
      <c r="B16" s="2243" t="s">
        <v>3797</v>
      </c>
      <c r="C16" s="2238"/>
      <c r="D16" s="2237" t="s">
        <v>1596</v>
      </c>
      <c r="E16" s="1033"/>
      <c r="F16" s="2578"/>
      <c r="G16" s="2578" t="s">
        <v>441</v>
      </c>
      <c r="H16" s="1035"/>
      <c r="I16" s="2579"/>
      <c r="J16" s="2579"/>
      <c r="K16" s="2579"/>
      <c r="L16" s="2580"/>
      <c r="M16" s="2580"/>
      <c r="O16" s="3368"/>
      <c r="P16" s="3368"/>
    </row>
    <row r="17" spans="1:19" s="7" customFormat="1" ht="12" customHeight="1">
      <c r="B17" s="2243" t="s">
        <v>3798</v>
      </c>
      <c r="C17" s="2238"/>
      <c r="D17" s="2237" t="s">
        <v>1596</v>
      </c>
      <c r="E17" s="1033"/>
      <c r="F17" s="2578"/>
      <c r="G17" s="2578" t="s">
        <v>441</v>
      </c>
      <c r="H17" s="1035"/>
      <c r="I17" s="2579"/>
      <c r="J17" s="2579"/>
      <c r="K17" s="2579"/>
      <c r="L17" s="2580"/>
      <c r="M17" s="2580"/>
      <c r="O17" s="3368"/>
      <c r="P17" s="3368"/>
    </row>
    <row r="18" spans="1:19" s="7" customFormat="1" ht="12" customHeight="1">
      <c r="B18" s="2244" t="s">
        <v>3799</v>
      </c>
      <c r="C18" s="2240"/>
      <c r="D18" s="2239" t="s">
        <v>1596</v>
      </c>
      <c r="E18" s="1033"/>
      <c r="F18" s="2578" t="s">
        <v>441</v>
      </c>
      <c r="G18" s="2578"/>
      <c r="H18" s="249"/>
      <c r="I18" s="2579"/>
      <c r="J18" s="2579">
        <v>21</v>
      </c>
      <c r="K18" s="2579">
        <v>27</v>
      </c>
      <c r="L18" s="2580"/>
      <c r="M18" s="2580"/>
      <c r="O18" s="3368"/>
      <c r="P18" s="3368"/>
    </row>
    <row r="19" spans="1:19" s="7" customFormat="1" ht="12" customHeight="1">
      <c r="B19" s="2241" t="s">
        <v>1370</v>
      </c>
      <c r="C19" s="2242"/>
      <c r="D19" s="2247" t="s">
        <v>3469</v>
      </c>
      <c r="E19" s="2581" t="s">
        <v>2990</v>
      </c>
      <c r="F19" s="2578" t="s">
        <v>441</v>
      </c>
      <c r="G19" s="2578"/>
      <c r="H19" s="1034"/>
      <c r="I19" s="2579"/>
      <c r="J19" s="2579">
        <v>39</v>
      </c>
      <c r="K19" s="2579">
        <v>48</v>
      </c>
      <c r="L19" s="2580"/>
      <c r="M19" s="2580"/>
      <c r="O19" s="3368"/>
      <c r="P19" s="3368"/>
    </row>
    <row r="20" spans="1:19" s="7" customFormat="1" ht="12" customHeight="1">
      <c r="B20" s="2245" t="s">
        <v>1851</v>
      </c>
      <c r="C20" s="2246"/>
      <c r="D20" s="251"/>
      <c r="E20" s="223"/>
      <c r="F20" s="2578"/>
      <c r="G20" s="2578" t="s">
        <v>441</v>
      </c>
      <c r="H20" s="1035"/>
      <c r="I20" s="2579"/>
      <c r="J20" s="2579"/>
      <c r="K20" s="2579"/>
      <c r="L20" s="2580"/>
      <c r="M20" s="2580"/>
      <c r="O20" s="3368"/>
      <c r="P20" s="3368"/>
    </row>
    <row r="21" spans="1:19" s="7" customFormat="1" ht="12" customHeight="1">
      <c r="B21" s="2245" t="s">
        <v>741</v>
      </c>
      <c r="C21" s="3353"/>
      <c r="D21" s="3354"/>
      <c r="E21" s="3355"/>
      <c r="F21" s="2582"/>
      <c r="G21" s="2582"/>
      <c r="H21" s="1037"/>
      <c r="I21" s="2583"/>
      <c r="J21" s="2583"/>
      <c r="K21" s="2583"/>
      <c r="L21" s="2584"/>
      <c r="M21" s="2584"/>
      <c r="O21" s="3368"/>
      <c r="P21" s="3368"/>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96</v>
      </c>
      <c r="K22" s="150">
        <f>IF(SUM(K12:K21)=0,0,IF(OR($D12="&lt;&lt;Select Fuel &gt;&gt;",$D13="&lt;&lt;Select Fuel &gt;&gt;",$D14="&lt;&lt;Select Fuel &gt;&gt;"),"Select Fuel",IF($E19="&lt;Select&gt;","Submeter?",SUM(K12:K21))))</f>
        <v>122</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71"/>
      <c r="J24" s="3359"/>
      <c r="K24" s="3359"/>
      <c r="L24" s="3359"/>
      <c r="M24" s="3360"/>
    </row>
    <row r="25" spans="1:19" s="7" customFormat="1" ht="13.2" customHeight="1">
      <c r="A25" s="12"/>
      <c r="B25" s="12"/>
      <c r="F25" s="1" t="s">
        <v>636</v>
      </c>
      <c r="G25" s="1"/>
      <c r="H25" s="32"/>
      <c r="I25" s="3361"/>
      <c r="J25" s="3362"/>
      <c r="K25" s="5" t="s">
        <v>540</v>
      </c>
      <c r="L25" s="3363"/>
      <c r="M25" s="3364"/>
    </row>
    <row r="26" spans="1:19" s="7" customFormat="1" ht="4.5" customHeight="1">
      <c r="A26" s="12"/>
    </row>
    <row r="27" spans="1:19" s="12" customFormat="1">
      <c r="B27" s="246"/>
      <c r="C27" s="246"/>
      <c r="D27" s="246"/>
      <c r="E27" s="246"/>
      <c r="F27" s="3365" t="s">
        <v>609</v>
      </c>
      <c r="G27" s="3365"/>
      <c r="I27" s="3366" t="s">
        <v>200</v>
      </c>
      <c r="J27" s="3366"/>
      <c r="K27" s="3366"/>
      <c r="L27" s="3366"/>
      <c r="M27" s="3366"/>
    </row>
    <row r="28" spans="1:19" s="12" customFormat="1">
      <c r="B28" s="246" t="s">
        <v>798</v>
      </c>
      <c r="D28" s="246" t="s">
        <v>1599</v>
      </c>
      <c r="F28" s="2288" t="s">
        <v>642</v>
      </c>
      <c r="G28" s="2288" t="s">
        <v>1850</v>
      </c>
      <c r="I28" s="247" t="s">
        <v>568</v>
      </c>
      <c r="J28" s="248">
        <v>1</v>
      </c>
      <c r="K28" s="248">
        <v>2</v>
      </c>
      <c r="L28" s="248">
        <v>3</v>
      </c>
      <c r="M28" s="248">
        <v>4</v>
      </c>
    </row>
    <row r="29" spans="1:19" s="7" customFormat="1" ht="12" customHeight="1">
      <c r="B29" s="2235" t="s">
        <v>1852</v>
      </c>
      <c r="C29" s="2236"/>
      <c r="D29" s="3378" t="s">
        <v>1820</v>
      </c>
      <c r="E29" s="3379"/>
      <c r="F29" s="2576"/>
      <c r="G29" s="2576"/>
      <c r="H29" s="1036"/>
      <c r="I29" s="2577"/>
      <c r="J29" s="2577"/>
      <c r="K29" s="2577"/>
      <c r="L29" s="2577"/>
      <c r="M29" s="2577"/>
      <c r="O29" s="3368" t="s">
        <v>3825</v>
      </c>
      <c r="P29" s="3368"/>
    </row>
    <row r="30" spans="1:19" s="7" customFormat="1" ht="12" customHeight="1">
      <c r="B30" s="2237" t="s">
        <v>1597</v>
      </c>
      <c r="C30" s="2238"/>
      <c r="D30" s="3369" t="s">
        <v>1820</v>
      </c>
      <c r="E30" s="3370"/>
      <c r="F30" s="2578"/>
      <c r="G30" s="2578"/>
      <c r="H30" s="1035"/>
      <c r="I30" s="2579"/>
      <c r="J30" s="2579"/>
      <c r="K30" s="2579"/>
      <c r="L30" s="2580"/>
      <c r="M30" s="2580"/>
      <c r="O30" s="3368"/>
      <c r="P30" s="3368"/>
    </row>
    <row r="31" spans="1:19" s="7" customFormat="1" ht="12" customHeight="1">
      <c r="B31" s="2239" t="s">
        <v>1598</v>
      </c>
      <c r="C31" s="2240"/>
      <c r="D31" s="3369" t="s">
        <v>1820</v>
      </c>
      <c r="E31" s="3370"/>
      <c r="F31" s="2578"/>
      <c r="G31" s="2578"/>
      <c r="H31" s="249"/>
      <c r="I31" s="2579"/>
      <c r="J31" s="2579"/>
      <c r="K31" s="2579"/>
      <c r="L31" s="2580"/>
      <c r="M31" s="2580"/>
      <c r="O31" s="3368"/>
      <c r="P31" s="3368"/>
    </row>
    <row r="32" spans="1:19" s="7" customFormat="1" ht="12" customHeight="1">
      <c r="B32" s="2241" t="s">
        <v>467</v>
      </c>
      <c r="C32" s="2242"/>
      <c r="D32" s="2241" t="s">
        <v>1596</v>
      </c>
      <c r="E32" s="250"/>
      <c r="F32" s="2578"/>
      <c r="G32" s="2578"/>
      <c r="H32" s="1034"/>
      <c r="I32" s="2579"/>
      <c r="J32" s="2579"/>
      <c r="K32" s="2579"/>
      <c r="L32" s="2580"/>
      <c r="M32" s="2580"/>
      <c r="O32" s="3368"/>
      <c r="P32" s="3368"/>
    </row>
    <row r="33" spans="1:19" s="7" customFormat="1" ht="12" customHeight="1">
      <c r="B33" s="2243" t="s">
        <v>3797</v>
      </c>
      <c r="C33" s="2238"/>
      <c r="D33" s="2237" t="s">
        <v>1596</v>
      </c>
      <c r="E33" s="1033"/>
      <c r="F33" s="2578"/>
      <c r="G33" s="2578"/>
      <c r="H33" s="1035"/>
      <c r="I33" s="2579"/>
      <c r="J33" s="2579"/>
      <c r="K33" s="2579"/>
      <c r="L33" s="2580"/>
      <c r="M33" s="2580"/>
      <c r="O33" s="3368"/>
      <c r="P33" s="3368"/>
    </row>
    <row r="34" spans="1:19" s="7" customFormat="1" ht="12" customHeight="1">
      <c r="B34" s="2243" t="s">
        <v>3798</v>
      </c>
      <c r="C34" s="2238"/>
      <c r="D34" s="2237" t="s">
        <v>1596</v>
      </c>
      <c r="E34" s="1033"/>
      <c r="F34" s="2578"/>
      <c r="G34" s="2578"/>
      <c r="H34" s="1035"/>
      <c r="I34" s="2579"/>
      <c r="J34" s="2579"/>
      <c r="K34" s="2579"/>
      <c r="L34" s="2580"/>
      <c r="M34" s="2580"/>
      <c r="O34" s="3368"/>
      <c r="P34" s="3368"/>
    </row>
    <row r="35" spans="1:19" s="7" customFormat="1" ht="12" customHeight="1">
      <c r="B35" s="2244" t="s">
        <v>3799</v>
      </c>
      <c r="C35" s="2240"/>
      <c r="D35" s="2239" t="s">
        <v>1596</v>
      </c>
      <c r="E35" s="1033"/>
      <c r="F35" s="2578"/>
      <c r="G35" s="2578"/>
      <c r="H35" s="249"/>
      <c r="I35" s="2579"/>
      <c r="J35" s="2579"/>
      <c r="K35" s="2579"/>
      <c r="L35" s="2580"/>
      <c r="M35" s="2580"/>
      <c r="O35" s="3368"/>
      <c r="P35" s="3368"/>
    </row>
    <row r="36" spans="1:19" s="7" customFormat="1" ht="12" customHeight="1">
      <c r="B36" s="2241" t="s">
        <v>1370</v>
      </c>
      <c r="C36" s="2242"/>
      <c r="D36" s="2247" t="s">
        <v>3469</v>
      </c>
      <c r="E36" s="2581" t="s">
        <v>201</v>
      </c>
      <c r="F36" s="2578"/>
      <c r="G36" s="2578"/>
      <c r="H36" s="1034"/>
      <c r="I36" s="2579"/>
      <c r="J36" s="2579"/>
      <c r="K36" s="2579"/>
      <c r="L36" s="2580"/>
      <c r="M36" s="2580"/>
      <c r="O36" s="3368"/>
      <c r="P36" s="3368"/>
    </row>
    <row r="37" spans="1:19" s="7" customFormat="1" ht="12" customHeight="1">
      <c r="B37" s="2245" t="s">
        <v>1851</v>
      </c>
      <c r="C37" s="2246"/>
      <c r="D37" s="251"/>
      <c r="E37" s="223"/>
      <c r="F37" s="2578"/>
      <c r="G37" s="2578"/>
      <c r="H37" s="1035"/>
      <c r="I37" s="2579"/>
      <c r="J37" s="2579"/>
      <c r="K37" s="2579"/>
      <c r="L37" s="2580"/>
      <c r="M37" s="2580"/>
      <c r="O37" s="3368"/>
      <c r="P37" s="3368"/>
    </row>
    <row r="38" spans="1:19" s="7" customFormat="1" ht="12" customHeight="1">
      <c r="B38" s="2245" t="s">
        <v>741</v>
      </c>
      <c r="C38" s="3353"/>
      <c r="D38" s="3354"/>
      <c r="E38" s="3355"/>
      <c r="F38" s="2582"/>
      <c r="G38" s="2582"/>
      <c r="H38" s="1037"/>
      <c r="I38" s="2583"/>
      <c r="J38" s="2583"/>
      <c r="K38" s="2583"/>
      <c r="L38" s="2584"/>
      <c r="M38" s="2584"/>
      <c r="O38" s="3368"/>
      <c r="P38" s="3368"/>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72" t="s">
        <v>5259</v>
      </c>
      <c r="C43" s="3373"/>
      <c r="D43" s="3373"/>
      <c r="E43" s="3373"/>
      <c r="F43" s="3373"/>
      <c r="G43" s="3373"/>
      <c r="H43" s="3373"/>
      <c r="I43" s="3373"/>
      <c r="J43" s="3373"/>
      <c r="K43" s="3373"/>
      <c r="L43" s="3373"/>
      <c r="M43" s="3374"/>
      <c r="N43" s="26"/>
      <c r="O43" s="2765" t="s">
        <v>2693</v>
      </c>
      <c r="P43" s="2765"/>
      <c r="Q43" s="2765"/>
      <c r="R43" s="2765"/>
      <c r="S43" s="2765"/>
    </row>
    <row r="44" spans="1:19" s="7" customFormat="1" ht="3" customHeight="1">
      <c r="M44" s="26"/>
      <c r="N44" s="26"/>
      <c r="O44" s="2765"/>
      <c r="P44" s="2765"/>
      <c r="Q44" s="2765"/>
      <c r="R44" s="2765"/>
      <c r="S44" s="2765"/>
    </row>
    <row r="45" spans="1:19" s="7" customFormat="1" ht="12" customHeight="1">
      <c r="A45" s="12"/>
      <c r="B45" s="12" t="s">
        <v>1845</v>
      </c>
      <c r="M45" s="26"/>
      <c r="N45" s="26"/>
      <c r="O45" s="2765"/>
      <c r="P45" s="2765"/>
      <c r="Q45" s="2765"/>
      <c r="R45" s="2765"/>
      <c r="S45" s="2765"/>
    </row>
    <row r="46" spans="1:19" s="7" customFormat="1" ht="24.75" customHeight="1">
      <c r="B46" s="3375"/>
      <c r="C46" s="3376"/>
      <c r="D46" s="3376"/>
      <c r="E46" s="3376"/>
      <c r="F46" s="3376"/>
      <c r="G46" s="3376"/>
      <c r="H46" s="3376"/>
      <c r="I46" s="3376"/>
      <c r="J46" s="3376"/>
      <c r="K46" s="3376"/>
      <c r="L46" s="3376"/>
      <c r="M46" s="3377"/>
      <c r="N46" s="26"/>
      <c r="O46" s="2765"/>
      <c r="P46" s="2765"/>
      <c r="Q46" s="2765"/>
      <c r="R46" s="2765"/>
      <c r="S46" s="2765"/>
    </row>
  </sheetData>
  <sheetProtection algorithmName="SHA-512" hashValue="Bh7xrm21Nx4S0VBrOeK6Qgj7/9mrYzs6nsBdzrMLHS5DHKr/hvtUhccvu9dD/YZ636owOSjZ0bSkccbP0ieW1g==" saltValue="ue1sC0uGUlARS/vfSxdoIA=="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2" priority="8" operator="equal">
      <formula>"""&lt;&lt;Select Fuel &gt;&gt;"""</formula>
    </cfRule>
  </conditionalFormatting>
  <conditionalFormatting sqref="I22:M22">
    <cfRule type="cellIs" dxfId="121" priority="6" operator="equal">
      <formula>"Select Fuel"</formula>
    </cfRule>
    <cfRule type="cellIs" dxfId="120" priority="7" operator="equal">
      <formula>"&lt;&lt;Select Fuel &gt;&gt;"</formula>
    </cfRule>
  </conditionalFormatting>
  <conditionalFormatting sqref="J22:M22">
    <cfRule type="cellIs" dxfId="119" priority="5" operator="equal">
      <formula>"Select Fuel"</formula>
    </cfRule>
  </conditionalFormatting>
  <conditionalFormatting sqref="I39:M39">
    <cfRule type="cellIs" dxfId="118" priority="2" operator="equal">
      <formula>"Select Fuel"</formula>
    </cfRule>
    <cfRule type="cellIs" dxfId="117" priority="3" operator="equal">
      <formula>"&lt;&lt;Select Fuel &gt;&gt;"</formula>
    </cfRule>
  </conditionalFormatting>
  <conditionalFormatting sqref="J39:M39">
    <cfRule type="cellIs" dxfId="11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2020-01-27T15:39:52Z</dcterms:modified>
</cp:coreProperties>
</file>